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5" documentId="8_{1D8037E3-8FB6-433E-B9E0-10CE48852D6D}" xr6:coauthVersionLast="47" xr6:coauthVersionMax="47" xr10:uidLastSave="{FA09049D-2854-4D6E-B90A-6A10A2196823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6" r:id="rId53"/>
    <sheet name="324" sheetId="75" r:id="rId54"/>
    <sheet name="333" sheetId="34" r:id="rId55"/>
    <sheet name="307" sheetId="64" r:id="rId56"/>
    <sheet name="331" sheetId="28" r:id="rId57"/>
    <sheet name="315" sheetId="69" r:id="rId58"/>
    <sheet name="326" sheetId="77" r:id="rId59"/>
    <sheet name="332" sheetId="31" r:id="rId60"/>
    <sheet name="316" sheetId="70" r:id="rId61"/>
    <sheet name="Div 6" sheetId="51" r:id="rId62"/>
    <sheet name="317" sheetId="71" r:id="rId63"/>
    <sheet name="320" sheetId="72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0" sheetId="87" r:id="rId83"/>
    <sheet name="423" sheetId="88" r:id="rId84"/>
    <sheet name="424" sheetId="89" r:id="rId85"/>
    <sheet name="425" sheetId="90" r:id="rId86"/>
    <sheet name="455" sheetId="96" r:id="rId87"/>
    <sheet name="492" sheetId="45" r:id="rId88"/>
    <sheet name="430" sheetId="91" r:id="rId89"/>
    <sheet name="433" sheetId="92" r:id="rId90"/>
    <sheet name="435" sheetId="93" r:id="rId91"/>
    <sheet name="444" sheetId="94" r:id="rId92"/>
    <sheet name="450" sheetId="95" r:id="rId93"/>
    <sheet name="Div 5" sheetId="48" r:id="rId94"/>
    <sheet name="501" sheetId="97" r:id="rId95"/>
    <sheet name="Dept" sheetId="98" state="hidden" r:id="rId96"/>
    <sheet name="OSR_Dept_Y0WUKY" sheetId="99" state="hidden" r:id="rId97"/>
    <sheet name="OSR_Summary (...56e5d78f_5JEYZH" sheetId="100" state="hidden" r:id="rId98"/>
  </sheets>
  <definedNames>
    <definedName name="OSRRefD13x_0" localSheetId="48">'300'!$D$13:$D$80</definedName>
    <definedName name="OSRRefD13x_0" localSheetId="49">'300 &amp; 317'!$D$13:$D$94</definedName>
    <definedName name="OSRRefD13x_0" localSheetId="55">'307'!$D$13:$D$25</definedName>
    <definedName name="OSRRefD13x_0" localSheetId="51">'308'!$D$13:$D$38</definedName>
    <definedName name="OSRRefD13x_0" localSheetId="65">'309'!$D$13:$D$16</definedName>
    <definedName name="OSRRefD13x_0" localSheetId="64">'310'!$D$13:$D$23</definedName>
    <definedName name="OSRRefD13x_0" localSheetId="72">'310 &amp; 491'!$D$13:$D$25</definedName>
    <definedName name="OSRRefD13x_0" localSheetId="52">'311'!$D$13:$D$38</definedName>
    <definedName name="OSRRefD13x_0" localSheetId="66">'313'!$D$13:$D$16</definedName>
    <definedName name="OSRRefD13x_0" localSheetId="57">'315'!$D$13:$D$54</definedName>
    <definedName name="OSRRefD13x_0" localSheetId="60">'316'!$D$13:$D$25</definedName>
    <definedName name="OSRRefD13x_0" localSheetId="62">'317'!$D$13:$D$33</definedName>
    <definedName name="OSRRefD13x_0" localSheetId="67">'321'!$D$13:$D$16</definedName>
    <definedName name="OSRRefD13x_0" localSheetId="53">'324'!$D$13:$D$16</definedName>
    <definedName name="OSRRefD13x_0" localSheetId="69">'325'!$D$13:$D$14</definedName>
    <definedName name="OSRRefD13x_0" localSheetId="58">'326'!$D$13:$D$36</definedName>
    <definedName name="OSRRefD13x_0" localSheetId="70">'327'!$D$13:$D$14</definedName>
    <definedName name="OSRRefD13x_0" localSheetId="56">'331'!$D$13:$D$54</definedName>
    <definedName name="OSRRefD13x_0" localSheetId="59">'332'!$D$13:$D$25</definedName>
    <definedName name="OSRRefD13x_0" localSheetId="54">'333'!$D$13:$D$56</definedName>
    <definedName name="OSRRefD13x_0" localSheetId="74">'405'!$D$13:$D$14</definedName>
    <definedName name="OSRRefD13x_0" localSheetId="79">'414'!$D$13</definedName>
    <definedName name="OSRRefD13x_0" localSheetId="80">'415'!$D$13:$D$14</definedName>
    <definedName name="OSRRefD13x_0" localSheetId="82">'420'!$D$13</definedName>
    <definedName name="OSRRefD13x_0" localSheetId="85">'425'!$D$13</definedName>
    <definedName name="OSRRefD13x_0" localSheetId="89">'433'!$D$13:$D$15</definedName>
    <definedName name="OSRRefD13x_0" localSheetId="90">'435'!$D$13:$D$14</definedName>
    <definedName name="OSRRefD13x_0" localSheetId="91">'444'!$D$13:$D$15</definedName>
    <definedName name="OSRRefD13x_0" localSheetId="92">'450'!$D$13:$D$15</definedName>
    <definedName name="OSRRefD13x_0" localSheetId="73">'491'!$D$13:$D$17</definedName>
    <definedName name="OSRRefD13x_0" localSheetId="87">'492'!$D$13:$D$17</definedName>
    <definedName name="OSRRefD13x_0" localSheetId="94">'501'!$D$13</definedName>
    <definedName name="OSRRefD13x_0" localSheetId="47">'Div 3'!$D$13:$D$85</definedName>
    <definedName name="OSRRefD13x_0" localSheetId="71">'Div 4'!$D$13:$D$20</definedName>
    <definedName name="OSRRefD13x_0" localSheetId="93">'Div 5'!$D$13</definedName>
    <definedName name="OSRRefD13x_0" localSheetId="61">'Div 6'!$D$13:$D$33</definedName>
    <definedName name="OSRRefD13x_0" localSheetId="2">Summary!$D$13:$D$103</definedName>
    <definedName name="OSRRefD16x_0" localSheetId="48">'300'!$D$83:$D$123</definedName>
    <definedName name="OSRRefD16x_0" localSheetId="49">'300 &amp; 317'!$D$97:$D$146</definedName>
    <definedName name="OSRRefD16x_0" localSheetId="50">'301'!$D$15</definedName>
    <definedName name="OSRRefD16x_0" localSheetId="55">'307'!$D$28:$D$37</definedName>
    <definedName name="OSRRefD16x_0" localSheetId="51">'308'!$D$41:$D$57</definedName>
    <definedName name="OSRRefD16x_0" localSheetId="65">'309'!$D$19:$D$20</definedName>
    <definedName name="OSRRefD16x_0" localSheetId="64">'310'!$D$26:$D$28</definedName>
    <definedName name="OSRRefD16x_0" localSheetId="72">'310 &amp; 491'!$D$28:$D$30</definedName>
    <definedName name="OSRRefD16x_0" localSheetId="52">'311'!$D$41:$D$57</definedName>
    <definedName name="OSRRefD16x_0" localSheetId="66">'313'!$D$19</definedName>
    <definedName name="OSRRefD16x_0" localSheetId="57">'315'!$D$57:$D$81</definedName>
    <definedName name="OSRRefD16x_0" localSheetId="60">'316'!$D$28</definedName>
    <definedName name="OSRRefD16x_0" localSheetId="62">'317'!$D$36:$D$49</definedName>
    <definedName name="OSRRefD16x_0" localSheetId="63">'320'!$D$15:$D$16</definedName>
    <definedName name="OSRRefD16x_0" localSheetId="67">'321'!$D$19:$D$21</definedName>
    <definedName name="OSRRefD16x_0" localSheetId="68">'322'!$D$15</definedName>
    <definedName name="OSRRefD16x_0" localSheetId="53">'324'!$D$19:$D$21</definedName>
    <definedName name="OSRRefD16x_0" localSheetId="69">'325'!$D$17:$D$18</definedName>
    <definedName name="OSRRefD16x_0" localSheetId="58">'326'!$D$39:$D$46</definedName>
    <definedName name="OSRRefD16x_0" localSheetId="70">'327'!$D$17:$D$18</definedName>
    <definedName name="OSRRefD16x_0" localSheetId="56">'331'!$D$57:$D$82</definedName>
    <definedName name="OSRRefD16x_0" localSheetId="59">'332'!$D$28:$D$30</definedName>
    <definedName name="OSRRefD16x_0" localSheetId="54">'333'!$D$59:$D$84</definedName>
    <definedName name="OSRRefD16x_0" localSheetId="74">'405'!$D$17:$D$18</definedName>
    <definedName name="OSRRefD16x_0" localSheetId="79">'414'!$D$16</definedName>
    <definedName name="OSRRefD16x_0" localSheetId="80">'415'!$D$17:$D$18</definedName>
    <definedName name="OSRRefD16x_0" localSheetId="81">'418'!$D$15</definedName>
    <definedName name="OSRRefD16x_0" localSheetId="85">'425'!$D$16</definedName>
    <definedName name="OSRRefD16x_0" localSheetId="89">'433'!$D$18:$D$19</definedName>
    <definedName name="OSRRefD16x_0" localSheetId="91">'444'!$D$18:$D$19</definedName>
    <definedName name="OSRRefD16x_0" localSheetId="92">'450'!$D$18:$D$19</definedName>
    <definedName name="OSRRefD16x_0" localSheetId="73">'491'!$D$20:$D$21</definedName>
    <definedName name="OSRRefD16x_0" localSheetId="87">'492'!$D$20:$D$21</definedName>
    <definedName name="OSRRefD16x_0" localSheetId="47">'Div 3'!$D$88:$D$130</definedName>
    <definedName name="OSRRefD16x_0" localSheetId="71">'Div 4'!$D$23:$D$24</definedName>
    <definedName name="OSRRefD16x_0" localSheetId="61">'Div 6'!$D$36:$D$49</definedName>
    <definedName name="OSRRefD16x_0" localSheetId="2">Summary!$D$106:$D$157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'300'!$D$129:$D$138</definedName>
    <definedName name="OSRRefD22_0x_0" localSheetId="49">'300 &amp; 317'!$D$152:$D$161</definedName>
    <definedName name="OSRRefD22_0x_0" localSheetId="50">'301'!$D$21:$D$30</definedName>
    <definedName name="OSRRefD22_0x_0" localSheetId="55">'307'!$D$43:$D$45</definedName>
    <definedName name="OSRRefD22_0x_0" localSheetId="51">'308'!$D$63:$D$71</definedName>
    <definedName name="OSRRefD22_0x_0" localSheetId="65">'309'!$D$26:$D$27</definedName>
    <definedName name="OSRRefD22_0x_0" localSheetId="64">'310'!$D$34:$D$42</definedName>
    <definedName name="OSRRefD22_0x_0" localSheetId="72">'310 &amp; 491'!$D$36:$D$44</definedName>
    <definedName name="OSRRefD22_0x_0" localSheetId="52">'311'!$D$63:$D$71</definedName>
    <definedName name="OSRRefD22_0x_0" localSheetId="66">'313'!$D$25:$D$32</definedName>
    <definedName name="OSRRefD22_0x_0" localSheetId="57">'315'!$D$87:$D$94</definedName>
    <definedName name="OSRRefD22_0x_0" localSheetId="60">'316'!$D$34:$D$41</definedName>
    <definedName name="OSRRefD22_0x_0" localSheetId="62">'317'!$D$55:$D$63</definedName>
    <definedName name="OSRRefD22_0x_0" localSheetId="63">'320'!$D$22:$D$23</definedName>
    <definedName name="OSRRefD22_0x_0" localSheetId="67">'321'!$D$27:$D$35</definedName>
    <definedName name="OSRRefD22_0x_0" localSheetId="68">'322'!$D$21:$D$25</definedName>
    <definedName name="OSRRefD22_0x_0" localSheetId="69">'325'!$D$24:$D$31</definedName>
    <definedName name="OSRRefD22_0x_0" localSheetId="58">'326'!$D$52:$D$59</definedName>
    <definedName name="OSRRefD22_0x_0" localSheetId="70">'327'!$D$24</definedName>
    <definedName name="OSRRefD22_0x_0" localSheetId="56">'331'!$D$88:$D$95</definedName>
    <definedName name="OSRRefD22_0x_0" localSheetId="59">'332'!$D$36:$D$43</definedName>
    <definedName name="OSRRefD22_0x_0" localSheetId="54">'333'!$D$90:$D$97</definedName>
    <definedName name="OSRRefD22_0x_0" localSheetId="74">'405'!$D$24:$D$31</definedName>
    <definedName name="OSRRefD22_0x_0" localSheetId="75">'406'!$D$20</definedName>
    <definedName name="OSRRefD22_0x_0" localSheetId="76">'411'!$D$20:$D$27</definedName>
    <definedName name="OSRRefD22_0x_0" localSheetId="77">'412'!$D$20</definedName>
    <definedName name="OSRRefD22_0x_0" localSheetId="78">'413'!$D$20:$D$24</definedName>
    <definedName name="OSRRefD22_0x_0" localSheetId="79">'414'!$D$22</definedName>
    <definedName name="OSRRefD22_0x_0" localSheetId="80">'415'!$D$24:$D$32</definedName>
    <definedName name="OSRRefD22_0x_0" localSheetId="81">'418'!$D$21:$D$28</definedName>
    <definedName name="OSRRefD22_0x_0" localSheetId="82">'420'!$D$21</definedName>
    <definedName name="OSRRefD22_0x_0" localSheetId="83">'423'!$D$20:$D$21</definedName>
    <definedName name="OSRRefD22_0x_0" localSheetId="84">'424'!$D$20</definedName>
    <definedName name="OSRRefD22_0x_0" localSheetId="85">'425'!$D$22:$D$26</definedName>
    <definedName name="OSRRefD22_0x_0" localSheetId="88">'430'!$D$20:$D$27</definedName>
    <definedName name="OSRRefD22_0x_0" localSheetId="89">'433'!$D$25:$D$33</definedName>
    <definedName name="OSRRefD22_0x_0" localSheetId="90">'435'!$D$22</definedName>
    <definedName name="OSRRefD22_0x_0" localSheetId="91">'444'!$D$25:$D$33</definedName>
    <definedName name="OSRRefD22_0x_0" localSheetId="92">'450'!$D$25:$D$33</definedName>
    <definedName name="OSRRefD22_0x_0" localSheetId="73">'491'!$D$27:$D$35</definedName>
    <definedName name="OSRRefD22_0x_0" localSheetId="87">'492'!$D$27:$D$35</definedName>
    <definedName name="OSRRefD22_0x_0" localSheetId="94">'501'!$D$21:$D$29</definedName>
    <definedName name="OSRRefD22_0x_0" localSheetId="39">'Div 2'!$D$20:$D$30</definedName>
    <definedName name="OSRRefD22_0x_0" localSheetId="47">'Div 3'!$D$136:$D$145</definedName>
    <definedName name="OSRRefD22_0x_0" localSheetId="71">'Div 4'!$D$30:$D$38</definedName>
    <definedName name="OSRRefD22_0x_0" localSheetId="93">'Div 5'!$D$21:$D$29</definedName>
    <definedName name="OSRRefD22_0x_0" localSheetId="61">'Div 6'!$D$55:$D$63</definedName>
    <definedName name="OSRRefD22_0x_0" localSheetId="2">Summary!$D$163:$D$172</definedName>
    <definedName name="OSRRefD22_10x_0" localSheetId="41">'201'!$D$52:$D$54</definedName>
    <definedName name="OSRRefD22_10x_0" localSheetId="42">'202'!$D$54</definedName>
    <definedName name="OSRRefD22_10x_0" localSheetId="43">'203'!$D$56:$D$59</definedName>
    <definedName name="OSRRefD22_10x_0" localSheetId="48">'300'!$D$167:$D$168</definedName>
    <definedName name="OSRRefD22_10x_0" localSheetId="49">'300 &amp; 317'!$D$190:$D$191</definedName>
    <definedName name="OSRRefD22_10x_0" localSheetId="50">'301'!$D$59</definedName>
    <definedName name="OSRRefD22_10x_0" localSheetId="55">'307'!$D$71</definedName>
    <definedName name="OSRRefD22_10x_0" localSheetId="51">'308'!$D$101:$D$102</definedName>
    <definedName name="OSRRefD22_10x_0" localSheetId="65">'309'!$D$50:$D$51</definedName>
    <definedName name="OSRRefD22_10x_0" localSheetId="64">'310'!$D$68</definedName>
    <definedName name="OSRRefD22_10x_0" localSheetId="72">'310 &amp; 491'!$D$72</definedName>
    <definedName name="OSRRefD22_10x_0" localSheetId="52">'311'!$D$101:$D$102</definedName>
    <definedName name="OSRRefD22_10x_0" localSheetId="57">'315'!$D$122:$D$123</definedName>
    <definedName name="OSRRefD22_10x_0" localSheetId="60">'316'!$D$66</definedName>
    <definedName name="OSRRefD22_10x_0" localSheetId="62">'317'!$D$91</definedName>
    <definedName name="OSRRefD22_10x_0" localSheetId="67">'321'!$D$63:$D$67</definedName>
    <definedName name="OSRRefD22_10x_0" localSheetId="69">'325'!$D$54:$D$55</definedName>
    <definedName name="OSRRefD22_10x_0" localSheetId="58">'326'!$D$84</definedName>
    <definedName name="OSRRefD22_10x_0" localSheetId="56">'331'!$D$122</definedName>
    <definedName name="OSRRefD22_10x_0" localSheetId="59">'332'!$D$68</definedName>
    <definedName name="OSRRefD22_10x_0" localSheetId="54">'333'!$D$124</definedName>
    <definedName name="OSRRefD22_10x_0" localSheetId="74">'405'!$D$55:$D$56</definedName>
    <definedName name="OSRRefD22_10x_0" localSheetId="76">'411'!$D$55:$D$57</definedName>
    <definedName name="OSRRefD22_10x_0" localSheetId="80">'415'!$D$57</definedName>
    <definedName name="OSRRefD22_10x_0" localSheetId="81">'418'!$D$53</definedName>
    <definedName name="OSRRefD22_10x_0" localSheetId="89">'433'!$D$58</definedName>
    <definedName name="OSRRefD22_10x_0" localSheetId="91">'444'!$D$58</definedName>
    <definedName name="OSRRefD22_10x_0" localSheetId="92">'450'!$D$57</definedName>
    <definedName name="OSRRefD22_10x_0" localSheetId="73">'491'!$D$61</definedName>
    <definedName name="OSRRefD22_10x_0" localSheetId="87">'492'!$D$61</definedName>
    <definedName name="OSRRefD22_10x_0" localSheetId="94">'501'!$D$59</definedName>
    <definedName name="OSRRefD22_10x_0" localSheetId="39">'Div 2'!$D$56</definedName>
    <definedName name="OSRRefD22_10x_0" localSheetId="47">'Div 3'!$D$174:$D$175</definedName>
    <definedName name="OSRRefD22_10x_0" localSheetId="71">'Div 4'!$D$65</definedName>
    <definedName name="OSRRefD22_10x_0" localSheetId="93">'Div 5'!$D$59</definedName>
    <definedName name="OSRRefD22_10x_0" localSheetId="61">'Div 6'!$D$91</definedName>
    <definedName name="OSRRefD22_10x_0" localSheetId="2">Summary!$D$201:$D$202</definedName>
    <definedName name="OSRRefD22_11x_0" localSheetId="41">'201'!$D$56</definedName>
    <definedName name="OSRRefD22_11x_0" localSheetId="42">'202'!$D$56</definedName>
    <definedName name="OSRRefD22_11x_0" localSheetId="43">'203'!$D$61</definedName>
    <definedName name="OSRRefD22_11x_0" localSheetId="48">'300'!$D$170</definedName>
    <definedName name="OSRRefD22_11x_0" localSheetId="49">'300 &amp; 317'!$D$193</definedName>
    <definedName name="OSRRefD22_11x_0" localSheetId="50">'301'!$D$61</definedName>
    <definedName name="OSRRefD22_11x_0" localSheetId="55">'307'!$D$73:$D$76</definedName>
    <definedName name="OSRRefD22_11x_0" localSheetId="51">'308'!$D$104:$D$105</definedName>
    <definedName name="OSRRefD22_11x_0" localSheetId="65">'309'!$D$53</definedName>
    <definedName name="OSRRefD22_11x_0" localSheetId="64">'310'!$D$70:$D$71</definedName>
    <definedName name="OSRRefD22_11x_0" localSheetId="72">'310 &amp; 491'!$D$74</definedName>
    <definedName name="OSRRefD22_11x_0" localSheetId="52">'311'!$D$104:$D$105</definedName>
    <definedName name="OSRRefD22_11x_0" localSheetId="57">'315'!$D$125:$D$126</definedName>
    <definedName name="OSRRefD22_11x_0" localSheetId="60">'316'!$D$68:$D$72</definedName>
    <definedName name="OSRRefD22_11x_0" localSheetId="62">'317'!$D$93</definedName>
    <definedName name="OSRRefD22_11x_0" localSheetId="67">'321'!$D$69</definedName>
    <definedName name="OSRRefD22_11x_0" localSheetId="69">'325'!$D$57:$D$60</definedName>
    <definedName name="OSRRefD22_11x_0" localSheetId="58">'326'!$D$86:$D$88</definedName>
    <definedName name="OSRRefD22_11x_0" localSheetId="56">'331'!$D$124:$D$125</definedName>
    <definedName name="OSRRefD22_11x_0" localSheetId="59">'332'!$D$70:$D$74</definedName>
    <definedName name="OSRRefD22_11x_0" localSheetId="54">'333'!$D$126:$D$127</definedName>
    <definedName name="OSRRefD22_11x_0" localSheetId="74">'405'!$D$58:$D$61</definedName>
    <definedName name="OSRRefD22_11x_0" localSheetId="76">'411'!$D$59</definedName>
    <definedName name="OSRRefD22_11x_0" localSheetId="80">'415'!$D$59:$D$60</definedName>
    <definedName name="OSRRefD22_11x_0" localSheetId="81">'418'!$D$55:$D$60</definedName>
    <definedName name="OSRRefD22_11x_0" localSheetId="89">'433'!$D$60:$D$61</definedName>
    <definedName name="OSRRefD22_11x_0" localSheetId="91">'444'!$D$60:$D$61</definedName>
    <definedName name="OSRRefD22_11x_0" localSheetId="92">'450'!$D$59</definedName>
    <definedName name="OSRRefD22_11x_0" localSheetId="73">'491'!$D$63</definedName>
    <definedName name="OSRRefD22_11x_0" localSheetId="87">'492'!$D$63</definedName>
    <definedName name="OSRRefD22_11x_0" localSheetId="39">'Div 2'!$D$58</definedName>
    <definedName name="OSRRefD22_11x_0" localSheetId="47">'Div 3'!$D$177</definedName>
    <definedName name="OSRRefD22_11x_0" localSheetId="71">'Div 4'!$D$67</definedName>
    <definedName name="OSRRefD22_11x_0" localSheetId="61">'Div 6'!$D$93</definedName>
    <definedName name="OSRRefD22_11x_0" localSheetId="2">Summary!$D$204</definedName>
    <definedName name="OSRRefD22_12x_0" localSheetId="41">'201'!$D$58:$D$59</definedName>
    <definedName name="OSRRefD22_12x_0" localSheetId="42">'202'!$D$58</definedName>
    <definedName name="OSRRefD22_12x_0" localSheetId="43">'203'!$D$63</definedName>
    <definedName name="OSRRefD22_12x_0" localSheetId="48">'300'!$D$172</definedName>
    <definedName name="OSRRefD22_12x_0" localSheetId="49">'300 &amp; 317'!$D$195</definedName>
    <definedName name="OSRRefD22_12x_0" localSheetId="50">'301'!$D$63</definedName>
    <definedName name="OSRRefD22_12x_0" localSheetId="55">'307'!$D$78</definedName>
    <definedName name="OSRRefD22_12x_0" localSheetId="51">'308'!$D$107:$D$108</definedName>
    <definedName name="OSRRefD22_12x_0" localSheetId="65">'309'!$D$55</definedName>
    <definedName name="OSRRefD22_12x_0" localSheetId="64">'310'!$D$73</definedName>
    <definedName name="OSRRefD22_12x_0" localSheetId="72">'310 &amp; 491'!$D$76</definedName>
    <definedName name="OSRRefD22_12x_0" localSheetId="52">'311'!$D$107:$D$108</definedName>
    <definedName name="OSRRefD22_12x_0" localSheetId="57">'315'!$D$128:$D$129</definedName>
    <definedName name="OSRRefD22_12x_0" localSheetId="60">'316'!$D$74</definedName>
    <definedName name="OSRRefD22_12x_0" localSheetId="67">'321'!$D$71</definedName>
    <definedName name="OSRRefD22_12x_0" localSheetId="69">'325'!$D$62:$D$67</definedName>
    <definedName name="OSRRefD22_12x_0" localSheetId="58">'326'!$D$90:$D$92</definedName>
    <definedName name="OSRRefD22_12x_0" localSheetId="56">'331'!$D$127</definedName>
    <definedName name="OSRRefD22_12x_0" localSheetId="59">'332'!$D$76</definedName>
    <definedName name="OSRRefD22_12x_0" localSheetId="54">'333'!$D$129</definedName>
    <definedName name="OSRRefD22_12x_0" localSheetId="74">'405'!$D$63</definedName>
    <definedName name="OSRRefD22_12x_0" localSheetId="76">'411'!$D$61:$D$62</definedName>
    <definedName name="OSRRefD22_12x_0" localSheetId="80">'415'!$D$62:$D$65</definedName>
    <definedName name="OSRRefD22_12x_0" localSheetId="81">'418'!$D$62</definedName>
    <definedName name="OSRRefD22_12x_0" localSheetId="89">'433'!$D$63:$D$65</definedName>
    <definedName name="OSRRefD22_12x_0" localSheetId="91">'444'!$D$63:$D$66</definedName>
    <definedName name="OSRRefD22_12x_0" localSheetId="92">'450'!$D$61:$D$62</definedName>
    <definedName name="OSRRefD22_12x_0" localSheetId="73">'491'!$D$65</definedName>
    <definedName name="OSRRefD22_12x_0" localSheetId="87">'492'!$D$65:$D$67</definedName>
    <definedName name="OSRRefD22_12x_0" localSheetId="39">'Div 2'!$D$60:$D$62</definedName>
    <definedName name="OSRRefD22_12x_0" localSheetId="47">'Div 3'!$D$179</definedName>
    <definedName name="OSRRefD22_12x_0" localSheetId="71">'Div 4'!$D$69</definedName>
    <definedName name="OSRRefD22_12x_0" localSheetId="2">Summary!$D$206</definedName>
    <definedName name="OSRRefD22_13x_0" localSheetId="41">'201'!$D$61</definedName>
    <definedName name="OSRRefD22_13x_0" localSheetId="43">'203'!$D$65</definedName>
    <definedName name="OSRRefD22_13x_0" localSheetId="48">'300'!$D$174:$D$175</definedName>
    <definedName name="OSRRefD22_13x_0" localSheetId="49">'300 &amp; 317'!$D$197:$D$198</definedName>
    <definedName name="OSRRefD22_13x_0" localSheetId="50">'301'!$D$65</definedName>
    <definedName name="OSRRefD22_13x_0" localSheetId="55">'307'!$D$80</definedName>
    <definedName name="OSRRefD22_13x_0" localSheetId="51">'308'!$D$110</definedName>
    <definedName name="OSRRefD22_13x_0" localSheetId="64">'310'!$D$75:$D$78</definedName>
    <definedName name="OSRRefD22_13x_0" localSheetId="72">'310 &amp; 491'!$D$78:$D$81</definedName>
    <definedName name="OSRRefD22_13x_0" localSheetId="52">'311'!$D$110</definedName>
    <definedName name="OSRRefD22_13x_0" localSheetId="57">'315'!$D$131:$D$135</definedName>
    <definedName name="OSRRefD22_13x_0" localSheetId="60">'316'!$D$76</definedName>
    <definedName name="OSRRefD22_13x_0" localSheetId="67">'321'!$D$73</definedName>
    <definedName name="OSRRefD22_13x_0" localSheetId="69">'325'!$D$69</definedName>
    <definedName name="OSRRefD22_13x_0" localSheetId="58">'326'!$D$94:$D$95</definedName>
    <definedName name="OSRRefD22_13x_0" localSheetId="56">'331'!$D$129</definedName>
    <definedName name="OSRRefD22_13x_0" localSheetId="59">'332'!$D$78</definedName>
    <definedName name="OSRRefD22_13x_0" localSheetId="54">'333'!$D$131</definedName>
    <definedName name="OSRRefD22_13x_0" localSheetId="74">'405'!$D$65:$D$73</definedName>
    <definedName name="OSRRefD22_13x_0" localSheetId="76">'411'!$D$64</definedName>
    <definedName name="OSRRefD22_13x_0" localSheetId="80">'415'!$D$67</definedName>
    <definedName name="OSRRefD22_13x_0" localSheetId="81">'418'!$D$64</definedName>
    <definedName name="OSRRefD22_13x_0" localSheetId="89">'433'!$D$67:$D$74</definedName>
    <definedName name="OSRRefD22_13x_0" localSheetId="91">'444'!$D$68</definedName>
    <definedName name="OSRRefD22_13x_0" localSheetId="92">'450'!$D$64:$D$66</definedName>
    <definedName name="OSRRefD22_13x_0" localSheetId="73">'491'!$D$67:$D$70</definedName>
    <definedName name="OSRRefD22_13x_0" localSheetId="87">'492'!$D$69:$D$72</definedName>
    <definedName name="OSRRefD22_13x_0" localSheetId="39">'Div 2'!$D$64:$D$67</definedName>
    <definedName name="OSRRefD22_13x_0" localSheetId="47">'Div 3'!$D$181</definedName>
    <definedName name="OSRRefD22_13x_0" localSheetId="71">'Div 4'!$D$71</definedName>
    <definedName name="OSRRefD22_13x_0" localSheetId="2">Summary!$D$208</definedName>
    <definedName name="OSRRefD22_14x_0" localSheetId="41">'201'!$D$63</definedName>
    <definedName name="OSRRefD22_14x_0" localSheetId="48">'300'!$D$177</definedName>
    <definedName name="OSRRefD22_14x_0" localSheetId="49">'300 &amp; 317'!$D$200</definedName>
    <definedName name="OSRRefD22_14x_0" localSheetId="50">'301'!$D$67</definedName>
    <definedName name="OSRRefD22_14x_0" localSheetId="64">'310'!$D$80:$D$85</definedName>
    <definedName name="OSRRefD22_14x_0" localSheetId="72">'310 &amp; 491'!$D$83</definedName>
    <definedName name="OSRRefD22_14x_0" localSheetId="57">'315'!$D$137</definedName>
    <definedName name="OSRRefD22_14x_0" localSheetId="69">'325'!$D$71</definedName>
    <definedName name="OSRRefD22_14x_0" localSheetId="58">'326'!$D$97:$D$100</definedName>
    <definedName name="OSRRefD22_14x_0" localSheetId="56">'331'!$D$131:$D$133</definedName>
    <definedName name="OSRRefD22_14x_0" localSheetId="54">'333'!$D$133:$D$135</definedName>
    <definedName name="OSRRefD22_14x_0" localSheetId="74">'405'!$D$75</definedName>
    <definedName name="OSRRefD22_14x_0" localSheetId="76">'411'!$D$66:$D$67</definedName>
    <definedName name="OSRRefD22_14x_0" localSheetId="80">'415'!$D$69:$D$74</definedName>
    <definedName name="OSRRefD22_14x_0" localSheetId="89">'433'!$D$76</definedName>
    <definedName name="OSRRefD22_14x_0" localSheetId="91">'444'!$D$70:$D$77</definedName>
    <definedName name="OSRRefD22_14x_0" localSheetId="92">'450'!$D$68:$D$73</definedName>
    <definedName name="OSRRefD22_14x_0" localSheetId="73">'491'!$D$72</definedName>
    <definedName name="OSRRefD22_14x_0" localSheetId="87">'492'!$D$74</definedName>
    <definedName name="OSRRefD22_14x_0" localSheetId="39">'Div 2'!$D$69</definedName>
    <definedName name="OSRRefD22_14x_0" localSheetId="47">'Div 3'!$D$183:$D$184</definedName>
    <definedName name="OSRRefD22_14x_0" localSheetId="71">'Div 4'!$D$73</definedName>
    <definedName name="OSRRefD22_14x_0" localSheetId="2">Summary!$D$210:$D$211</definedName>
    <definedName name="OSRRefD22_15x_0" localSheetId="48">'300'!$D$179</definedName>
    <definedName name="OSRRefD22_15x_0" localSheetId="49">'300 &amp; 317'!$D$202</definedName>
    <definedName name="OSRRefD22_15x_0" localSheetId="50">'301'!$D$69:$D$72</definedName>
    <definedName name="OSRRefD22_15x_0" localSheetId="64">'310'!$D$87</definedName>
    <definedName name="OSRRefD22_15x_0" localSheetId="72">'310 &amp; 491'!$D$85:$D$88</definedName>
    <definedName name="OSRRefD22_15x_0" localSheetId="57">'315'!$D$139</definedName>
    <definedName name="OSRRefD22_15x_0" localSheetId="69">'325'!$D$73</definedName>
    <definedName name="OSRRefD22_15x_0" localSheetId="58">'326'!$D$102</definedName>
    <definedName name="OSRRefD22_15x_0" localSheetId="56">'331'!$D$135:$D$136</definedName>
    <definedName name="OSRRefD22_15x_0" localSheetId="54">'333'!$D$137:$D$138</definedName>
    <definedName name="OSRRefD22_15x_0" localSheetId="74">'405'!$D$77</definedName>
    <definedName name="OSRRefD22_15x_0" localSheetId="76">'411'!$D$69</definedName>
    <definedName name="OSRRefD22_15x_0" localSheetId="80">'415'!$D$76</definedName>
    <definedName name="OSRRefD22_15x_0" localSheetId="91">'444'!$D$79</definedName>
    <definedName name="OSRRefD22_15x_0" localSheetId="92">'450'!$D$75</definedName>
    <definedName name="OSRRefD22_15x_0" localSheetId="73">'491'!$D$74:$D$77</definedName>
    <definedName name="OSRRefD22_15x_0" localSheetId="87">'492'!$D$76:$D$83</definedName>
    <definedName name="OSRRefD22_15x_0" localSheetId="39">'Div 2'!$D$71:$D$72</definedName>
    <definedName name="OSRRefD22_15x_0" localSheetId="47">'Div 3'!$D$186</definedName>
    <definedName name="OSRRefD22_15x_0" localSheetId="71">'Div 4'!$D$75:$D$78</definedName>
    <definedName name="OSRRefD22_15x_0" localSheetId="2">Summary!$D$213</definedName>
    <definedName name="OSRRefD22_16x_0" localSheetId="48">'300'!$D$181:$D$184</definedName>
    <definedName name="OSRRefD22_16x_0" localSheetId="49">'300 &amp; 317'!$D$204:$D$207</definedName>
    <definedName name="OSRRefD22_16x_0" localSheetId="50">'301'!$D$74:$D$76</definedName>
    <definedName name="OSRRefD22_16x_0" localSheetId="64">'310'!$D$89</definedName>
    <definedName name="OSRRefD22_16x_0" localSheetId="72">'310 &amp; 491'!$D$90</definedName>
    <definedName name="OSRRefD22_16x_0" localSheetId="57">'315'!$D$141</definedName>
    <definedName name="OSRRefD22_16x_0" localSheetId="58">'326'!$D$104</definedName>
    <definedName name="OSRRefD22_16x_0" localSheetId="56">'331'!$D$138:$D$140</definedName>
    <definedName name="OSRRefD22_16x_0" localSheetId="54">'333'!$D$140:$D$143</definedName>
    <definedName name="OSRRefD22_16x_0" localSheetId="74">'405'!$D$79</definedName>
    <definedName name="OSRRefD22_16x_0" localSheetId="80">'415'!$D$78</definedName>
    <definedName name="OSRRefD22_16x_0" localSheetId="91">'444'!$D$81</definedName>
    <definedName name="OSRRefD22_16x_0" localSheetId="92">'450'!$D$77</definedName>
    <definedName name="OSRRefD22_16x_0" localSheetId="73">'491'!$D$79</definedName>
    <definedName name="OSRRefD22_16x_0" localSheetId="87">'492'!$D$85</definedName>
    <definedName name="OSRRefD22_16x_0" localSheetId="39">'Div 2'!$D$74:$D$78</definedName>
    <definedName name="OSRRefD22_16x_0" localSheetId="47">'Div 3'!$D$188</definedName>
    <definedName name="OSRRefD22_16x_0" localSheetId="71">'Div 4'!$D$80</definedName>
    <definedName name="OSRRefD22_16x_0" localSheetId="2">Summary!$D$215</definedName>
    <definedName name="OSRRefD22_17x_0" localSheetId="48">'300'!$D$186:$D$188</definedName>
    <definedName name="OSRRefD22_17x_0" localSheetId="49">'300 &amp; 317'!$D$209:$D$211</definedName>
    <definedName name="OSRRefD22_17x_0" localSheetId="50">'301'!$D$78</definedName>
    <definedName name="OSRRefD22_17x_0" localSheetId="64">'310'!$D$91</definedName>
    <definedName name="OSRRefD22_17x_0" localSheetId="72">'310 &amp; 491'!$D$92:$D$100</definedName>
    <definedName name="OSRRefD22_17x_0" localSheetId="58">'326'!$D$106</definedName>
    <definedName name="OSRRefD22_17x_0" localSheetId="56">'331'!$D$142:$D$143</definedName>
    <definedName name="OSRRefD22_17x_0" localSheetId="54">'333'!$D$145:$D$146</definedName>
    <definedName name="OSRRefD22_17x_0" localSheetId="80">'415'!$D$80</definedName>
    <definedName name="OSRRefD22_17x_0" localSheetId="73">'491'!$D$81:$D$89</definedName>
    <definedName name="OSRRefD22_17x_0" localSheetId="87">'492'!$D$87</definedName>
    <definedName name="OSRRefD22_17x_0" localSheetId="39">'Div 2'!$D$80:$D$81</definedName>
    <definedName name="OSRRefD22_17x_0" localSheetId="47">'Div 3'!$D$190:$D$193</definedName>
    <definedName name="OSRRefD22_17x_0" localSheetId="71">'Div 4'!$D$82:$D$85</definedName>
    <definedName name="OSRRefD22_17x_0" localSheetId="2">Summary!$D$217</definedName>
    <definedName name="OSRRefD22_18x_0" localSheetId="48">'300'!$D$190:$D$193</definedName>
    <definedName name="OSRRefD22_18x_0" localSheetId="49">'300 &amp; 317'!$D$213:$D$216</definedName>
    <definedName name="OSRRefD22_18x_0" localSheetId="50">'301'!$D$80:$D$85</definedName>
    <definedName name="OSRRefD22_18x_0" localSheetId="72">'310 &amp; 491'!$D$102</definedName>
    <definedName name="OSRRefD22_18x_0" localSheetId="56">'331'!$D$145:$D$150</definedName>
    <definedName name="OSRRefD22_18x_0" localSheetId="54">'333'!$D$148:$D$153</definedName>
    <definedName name="OSRRefD22_18x_0" localSheetId="73">'491'!$D$91</definedName>
    <definedName name="OSRRefD22_18x_0" localSheetId="87">'492'!$D$89:$D$90</definedName>
    <definedName name="OSRRefD22_18x_0" localSheetId="39">'Div 2'!$D$83</definedName>
    <definedName name="OSRRefD22_18x_0" localSheetId="47">'Div 3'!$D$195:$D$197</definedName>
    <definedName name="OSRRefD22_18x_0" localSheetId="71">'Div 4'!$D$87:$D$88</definedName>
    <definedName name="OSRRefD22_18x_0" localSheetId="2">Summary!$D$219:$D$222</definedName>
    <definedName name="OSRRefD22_19x_0" localSheetId="48">'300'!$D$195:$D$196</definedName>
    <definedName name="OSRRefD22_19x_0" localSheetId="49">'300 &amp; 317'!$D$218:$D$219</definedName>
    <definedName name="OSRRefD22_19x_0" localSheetId="50">'301'!$D$87</definedName>
    <definedName name="OSRRefD22_19x_0" localSheetId="72">'310 &amp; 491'!$D$104</definedName>
    <definedName name="OSRRefD22_19x_0" localSheetId="56">'331'!$D$152</definedName>
    <definedName name="OSRRefD22_19x_0" localSheetId="54">'333'!$D$155</definedName>
    <definedName name="OSRRefD22_19x_0" localSheetId="73">'491'!$D$93</definedName>
    <definedName name="OSRRefD22_19x_0" localSheetId="39">'Div 2'!$D$85:$D$86</definedName>
    <definedName name="OSRRefD22_19x_0" localSheetId="47">'Div 3'!$D$199:$D$203</definedName>
    <definedName name="OSRRefD22_19x_0" localSheetId="71">'Div 4'!$D$90:$D$98</definedName>
    <definedName name="OSRRefD22_19x_0" localSheetId="2">Summary!$D$224:$D$226</definedName>
    <definedName name="OSRRefD22_1x_0" localSheetId="40">'200'!$D$22</definedName>
    <definedName name="OSRRefD22_1x_0" localSheetId="41">'201'!$D$29:$D$32</definedName>
    <definedName name="OSRRefD22_1x_0" localSheetId="42">'202'!$D$29:$D$31</definedName>
    <definedName name="OSRRefD22_1x_0" localSheetId="43">'203'!$D$31:$D$35</definedName>
    <definedName name="OSRRefD22_1x_0" localSheetId="44">'204'!$D$30:$D$32</definedName>
    <definedName name="OSRRefD22_1x_0" localSheetId="45">'205'!$D$29</definedName>
    <definedName name="OSRRefD22_1x_0" localSheetId="46">'206'!$D$29:$D$32</definedName>
    <definedName name="OSRRefD22_1x_0" localSheetId="48">'300'!$D$140:$D$146</definedName>
    <definedName name="OSRRefD22_1x_0" localSheetId="49">'300 &amp; 317'!$D$163:$D$169</definedName>
    <definedName name="OSRRefD22_1x_0" localSheetId="50">'301'!$D$32:$D$38</definedName>
    <definedName name="OSRRefD22_1x_0" localSheetId="55">'307'!$D$47:$D$50</definedName>
    <definedName name="OSRRefD22_1x_0" localSheetId="51">'308'!$D$73:$D$79</definedName>
    <definedName name="OSRRefD22_1x_0" localSheetId="65">'309'!$D$29:$D$30</definedName>
    <definedName name="OSRRefD22_1x_0" localSheetId="64">'310'!$D$44:$D$49</definedName>
    <definedName name="OSRRefD22_1x_0" localSheetId="72">'310 &amp; 491'!$D$46:$D$52</definedName>
    <definedName name="OSRRefD22_1x_0" localSheetId="52">'311'!$D$73:$D$79</definedName>
    <definedName name="OSRRefD22_1x_0" localSheetId="66">'313'!$D$34</definedName>
    <definedName name="OSRRefD22_1x_0" localSheetId="57">'315'!$D$96:$D$101</definedName>
    <definedName name="OSRRefD22_1x_0" localSheetId="60">'316'!$D$43:$D$45</definedName>
    <definedName name="OSRRefD22_1x_0" localSheetId="62">'317'!$D$65:$D$69</definedName>
    <definedName name="OSRRefD22_1x_0" localSheetId="63">'320'!$D$25</definedName>
    <definedName name="OSRRefD22_1x_0" localSheetId="67">'321'!$D$37:$D$42</definedName>
    <definedName name="OSRRefD22_1x_0" localSheetId="68">'322'!$D$27</definedName>
    <definedName name="OSRRefD22_1x_0" localSheetId="69">'325'!$D$33:$D$35</definedName>
    <definedName name="OSRRefD22_1x_0" localSheetId="58">'326'!$D$61:$D$66</definedName>
    <definedName name="OSRRefD22_1x_0" localSheetId="70">'327'!$D$26</definedName>
    <definedName name="OSRRefD22_1x_0" localSheetId="56">'331'!$D$97:$D$102</definedName>
    <definedName name="OSRRefD22_1x_0" localSheetId="59">'332'!$D$45:$D$47</definedName>
    <definedName name="OSRRefD22_1x_0" localSheetId="54">'333'!$D$99:$D$104</definedName>
    <definedName name="OSRRefD22_1x_0" localSheetId="74">'405'!$D$33:$D$36</definedName>
    <definedName name="OSRRefD22_1x_0" localSheetId="75">'406'!$D$22</definedName>
    <definedName name="OSRRefD22_1x_0" localSheetId="76">'411'!$D$29:$D$33</definedName>
    <definedName name="OSRRefD22_1x_0" localSheetId="77">'412'!$D$22</definedName>
    <definedName name="OSRRefD22_1x_0" localSheetId="78">'413'!$D$26</definedName>
    <definedName name="OSRRefD22_1x_0" localSheetId="79">'414'!$D$24</definedName>
    <definedName name="OSRRefD22_1x_0" localSheetId="80">'415'!$D$34:$D$38</definedName>
    <definedName name="OSRRefD22_1x_0" localSheetId="81">'418'!$D$30:$D$33</definedName>
    <definedName name="OSRRefD22_1x_0" localSheetId="82">'420'!$D$23</definedName>
    <definedName name="OSRRefD22_1x_0" localSheetId="83">'423'!$D$23</definedName>
    <definedName name="OSRRefD22_1x_0" localSheetId="84">'424'!$D$22</definedName>
    <definedName name="OSRRefD22_1x_0" localSheetId="85">'425'!$D$28</definedName>
    <definedName name="OSRRefD22_1x_0" localSheetId="88">'430'!$D$29</definedName>
    <definedName name="OSRRefD22_1x_0" localSheetId="89">'433'!$D$35:$D$40</definedName>
    <definedName name="OSRRefD22_1x_0" localSheetId="90">'435'!$D$24</definedName>
    <definedName name="OSRRefD22_1x_0" localSheetId="91">'444'!$D$35:$D$40</definedName>
    <definedName name="OSRRefD22_1x_0" localSheetId="92">'450'!$D$35:$D$39</definedName>
    <definedName name="OSRRefD22_1x_0" localSheetId="73">'491'!$D$37:$D$42</definedName>
    <definedName name="OSRRefD22_1x_0" localSheetId="87">'492'!$D$37:$D$43</definedName>
    <definedName name="OSRRefD22_1x_0" localSheetId="94">'501'!$D$31:$D$36</definedName>
    <definedName name="OSRRefD22_1x_0" localSheetId="39">'Div 2'!$D$32:$D$37</definedName>
    <definedName name="OSRRefD22_1x_0" localSheetId="47">'Div 3'!$D$147:$D$153</definedName>
    <definedName name="OSRRefD22_1x_0" localSheetId="71">'Div 4'!$D$40:$D$46</definedName>
    <definedName name="OSRRefD22_1x_0" localSheetId="93">'Div 5'!$D$31:$D$36</definedName>
    <definedName name="OSRRefD22_1x_0" localSheetId="61">'Div 6'!$D$65:$D$69</definedName>
    <definedName name="OSRRefD22_1x_0" localSheetId="2">Summary!$D$174:$D$180</definedName>
    <definedName name="OSRRefD22_20x_0" localSheetId="48">'300'!$D$198:$D$204</definedName>
    <definedName name="OSRRefD22_20x_0" localSheetId="49">'300 &amp; 317'!$D$221:$D$227</definedName>
    <definedName name="OSRRefD22_20x_0" localSheetId="50">'301'!$D$89</definedName>
    <definedName name="OSRRefD22_20x_0" localSheetId="72">'310 &amp; 491'!$D$106:$D$107</definedName>
    <definedName name="OSRRefD22_20x_0" localSheetId="56">'331'!$D$154</definedName>
    <definedName name="OSRRefD22_20x_0" localSheetId="54">'333'!$D$157</definedName>
    <definedName name="OSRRefD22_20x_0" localSheetId="73">'491'!$D$95:$D$96</definedName>
    <definedName name="OSRRefD22_20x_0" localSheetId="47">'Div 3'!$D$205:$D$206</definedName>
    <definedName name="OSRRefD22_20x_0" localSheetId="71">'Div 4'!$D$100</definedName>
    <definedName name="OSRRefD22_20x_0" localSheetId="2">Summary!$D$228:$D$232</definedName>
    <definedName name="OSRRefD22_21x_0" localSheetId="48">'300'!$D$206:$D$207</definedName>
    <definedName name="OSRRefD22_21x_0" localSheetId="49">'300 &amp; 317'!$D$229:$D$230</definedName>
    <definedName name="OSRRefD22_21x_0" localSheetId="50">'301'!$D$91:$D$92</definedName>
    <definedName name="OSRRefD22_21x_0" localSheetId="72">'310 &amp; 491'!$D$109</definedName>
    <definedName name="OSRRefD22_21x_0" localSheetId="56">'331'!$D$156</definedName>
    <definedName name="OSRRefD22_21x_0" localSheetId="54">'333'!$D$159</definedName>
    <definedName name="OSRRefD22_21x_0" localSheetId="73">'491'!$D$98</definedName>
    <definedName name="OSRRefD22_21x_0" localSheetId="47">'Div 3'!$D$208:$D$214</definedName>
    <definedName name="OSRRefD22_21x_0" localSheetId="71">'Div 4'!$D$102</definedName>
    <definedName name="OSRRefD22_21x_0" localSheetId="2">Summary!$D$234:$D$235</definedName>
    <definedName name="OSRRefD22_22x_0" localSheetId="48">'300'!$D$209</definedName>
    <definedName name="OSRRefD22_22x_0" localSheetId="49">'300 &amp; 317'!$D$232</definedName>
    <definedName name="OSRRefD22_22x_0" localSheetId="50">'301'!$D$94</definedName>
    <definedName name="OSRRefD22_22x_0" localSheetId="56">'331'!$D$158</definedName>
    <definedName name="OSRRefD22_22x_0" localSheetId="54">'333'!$D$161</definedName>
    <definedName name="OSRRefD22_22x_0" localSheetId="47">'Div 3'!$D$216:$D$217</definedName>
    <definedName name="OSRRefD22_22x_0" localSheetId="71">'Div 4'!$D$104:$D$105</definedName>
    <definedName name="OSRRefD22_22x_0" localSheetId="2">Summary!$D$237:$D$245</definedName>
    <definedName name="OSRRefD22_23x_0" localSheetId="48">'300'!$D$211:$D$213</definedName>
    <definedName name="OSRRefD22_23x_0" localSheetId="49">'300 &amp; 317'!$D$234:$D$236</definedName>
    <definedName name="OSRRefD22_23x_0" localSheetId="47">'Div 3'!$D$219</definedName>
    <definedName name="OSRRefD22_23x_0" localSheetId="71">'Div 4'!$D$107</definedName>
    <definedName name="OSRRefD22_23x_0" localSheetId="2">Summary!$D$247:$D$248</definedName>
    <definedName name="OSRRefD22_24x_0" localSheetId="48">'300'!$D$215</definedName>
    <definedName name="OSRRefD22_24x_0" localSheetId="49">'300 &amp; 317'!$D$238</definedName>
    <definedName name="OSRRefD22_24x_0" localSheetId="47">'Div 3'!$D$221:$D$223</definedName>
    <definedName name="OSRRefD22_24x_0" localSheetId="2">Summary!$D$250</definedName>
    <definedName name="OSRRefD22_25x_0" localSheetId="47">'Div 3'!$D$225</definedName>
    <definedName name="OSRRefD22_25x_0" localSheetId="2">Summary!$D$252:$D$254</definedName>
    <definedName name="OSRRefD22_26x_0" localSheetId="2">Summary!$D$256</definedName>
    <definedName name="OSRRefD22_2x_0" localSheetId="40">'200'!$D$24</definedName>
    <definedName name="OSRRefD22_2x_0" localSheetId="41">'201'!$D$34</definedName>
    <definedName name="OSRRefD22_2x_0" localSheetId="42">'202'!$D$33</definedName>
    <definedName name="OSRRefD22_2x_0" localSheetId="43">'203'!$D$37</definedName>
    <definedName name="OSRRefD22_2x_0" localSheetId="44">'204'!$D$34</definedName>
    <definedName name="OSRRefD22_2x_0" localSheetId="45">'205'!$D$31</definedName>
    <definedName name="OSRRefD22_2x_0" localSheetId="46">'206'!$D$34</definedName>
    <definedName name="OSRRefD22_2x_0" localSheetId="48">'300'!$D$148</definedName>
    <definedName name="OSRRefD22_2x_0" localSheetId="49">'300 &amp; 317'!$D$171</definedName>
    <definedName name="OSRRefD22_2x_0" localSheetId="50">'301'!$D$40</definedName>
    <definedName name="OSRRefD22_2x_0" localSheetId="55">'307'!$D$52</definedName>
    <definedName name="OSRRefD22_2x_0" localSheetId="51">'308'!$D$81</definedName>
    <definedName name="OSRRefD22_2x_0" localSheetId="65">'309'!$D$32</definedName>
    <definedName name="OSRRefD22_2x_0" localSheetId="64">'310'!$D$51</definedName>
    <definedName name="OSRRefD22_2x_0" localSheetId="72">'310 &amp; 491'!$D$54</definedName>
    <definedName name="OSRRefD22_2x_0" localSheetId="52">'311'!$D$81</definedName>
    <definedName name="OSRRefD22_2x_0" localSheetId="66">'313'!$D$36</definedName>
    <definedName name="OSRRefD22_2x_0" localSheetId="57">'315'!$D$103</definedName>
    <definedName name="OSRRefD22_2x_0" localSheetId="60">'316'!$D$47</definedName>
    <definedName name="OSRRefD22_2x_0" localSheetId="62">'317'!$D$71</definedName>
    <definedName name="OSRRefD22_2x_0" localSheetId="63">'320'!$D$27</definedName>
    <definedName name="OSRRefD22_2x_0" localSheetId="67">'321'!$D$44</definedName>
    <definedName name="OSRRefD22_2x_0" localSheetId="68">'322'!$D$29</definedName>
    <definedName name="OSRRefD22_2x_0" localSheetId="69">'325'!$D$37</definedName>
    <definedName name="OSRRefD22_2x_0" localSheetId="58">'326'!$D$68</definedName>
    <definedName name="OSRRefD22_2x_0" localSheetId="56">'331'!$D$104</definedName>
    <definedName name="OSRRefD22_2x_0" localSheetId="59">'332'!$D$49</definedName>
    <definedName name="OSRRefD22_2x_0" localSheetId="54">'333'!$D$106</definedName>
    <definedName name="OSRRefD22_2x_0" localSheetId="74">'405'!$D$38</definedName>
    <definedName name="OSRRefD22_2x_0" localSheetId="75">'406'!$D$24</definedName>
    <definedName name="OSRRefD22_2x_0" localSheetId="76">'411'!$D$35</definedName>
    <definedName name="OSRRefD22_2x_0" localSheetId="77">'412'!$D$24:$D$25</definedName>
    <definedName name="OSRRefD22_2x_0" localSheetId="78">'413'!$D$28</definedName>
    <definedName name="OSRRefD22_2x_0" localSheetId="79">'414'!$D$26</definedName>
    <definedName name="OSRRefD22_2x_0" localSheetId="80">'415'!$D$40</definedName>
    <definedName name="OSRRefD22_2x_0" localSheetId="81">'418'!$D$35</definedName>
    <definedName name="OSRRefD22_2x_0" localSheetId="83">'423'!$D$25</definedName>
    <definedName name="OSRRefD22_2x_0" localSheetId="84">'424'!$D$24</definedName>
    <definedName name="OSRRefD22_2x_0" localSheetId="85">'425'!$D$30</definedName>
    <definedName name="OSRRefD22_2x_0" localSheetId="88">'430'!$D$31</definedName>
    <definedName name="OSRRefD22_2x_0" localSheetId="89">'433'!$D$42</definedName>
    <definedName name="OSRRefD22_2x_0" localSheetId="90">'435'!$D$26</definedName>
    <definedName name="OSRRefD22_2x_0" localSheetId="91">'444'!$D$42</definedName>
    <definedName name="OSRRefD22_2x_0" localSheetId="92">'450'!$D$41</definedName>
    <definedName name="OSRRefD22_2x_0" localSheetId="73">'491'!$D$44</definedName>
    <definedName name="OSRRefD22_2x_0" localSheetId="87">'492'!$D$45</definedName>
    <definedName name="OSRRefD22_2x_0" localSheetId="94">'501'!$D$38</definedName>
    <definedName name="OSRRefD22_2x_0" localSheetId="39">'Div 2'!$D$39</definedName>
    <definedName name="OSRRefD22_2x_0" localSheetId="47">'Div 3'!$D$155</definedName>
    <definedName name="OSRRefD22_2x_0" localSheetId="71">'Div 4'!$D$48</definedName>
    <definedName name="OSRRefD22_2x_0" localSheetId="93">'Div 5'!$D$38</definedName>
    <definedName name="OSRRefD22_2x_0" localSheetId="61">'Div 6'!$D$71</definedName>
    <definedName name="OSRRefD22_2x_0" localSheetId="2">Summary!$D$182</definedName>
    <definedName name="OSRRefD22_3x_0" localSheetId="40">'200'!$D$26</definedName>
    <definedName name="OSRRefD22_3x_0" localSheetId="41">'201'!$D$36</definedName>
    <definedName name="OSRRefD22_3x_0" localSheetId="42">'202'!$D$35</definedName>
    <definedName name="OSRRefD22_3x_0" localSheetId="43">'203'!$D$39</definedName>
    <definedName name="OSRRefD22_3x_0" localSheetId="44">'204'!$D$36</definedName>
    <definedName name="OSRRefD22_3x_0" localSheetId="45">'205'!$D$33</definedName>
    <definedName name="OSRRefD22_3x_0" localSheetId="46">'206'!$D$36</definedName>
    <definedName name="OSRRefD22_3x_0" localSheetId="48">'300'!$D$150:$D$151</definedName>
    <definedName name="OSRRefD22_3x_0" localSheetId="49">'300 &amp; 317'!$D$173:$D$174</definedName>
    <definedName name="OSRRefD22_3x_0" localSheetId="50">'301'!$D$42:$D$43</definedName>
    <definedName name="OSRRefD22_3x_0" localSheetId="55">'307'!$D$54</definedName>
    <definedName name="OSRRefD22_3x_0" localSheetId="51">'308'!$D$83:$D$84</definedName>
    <definedName name="OSRRefD22_3x_0" localSheetId="65">'309'!$D$34</definedName>
    <definedName name="OSRRefD22_3x_0" localSheetId="64">'310'!$D$53</definedName>
    <definedName name="OSRRefD22_3x_0" localSheetId="72">'310 &amp; 491'!$D$56</definedName>
    <definedName name="OSRRefD22_3x_0" localSheetId="52">'311'!$D$83:$D$84</definedName>
    <definedName name="OSRRefD22_3x_0" localSheetId="66">'313'!$D$38</definedName>
    <definedName name="OSRRefD22_3x_0" localSheetId="57">'315'!$D$105:$D$106</definedName>
    <definedName name="OSRRefD22_3x_0" localSheetId="60">'316'!$D$49</definedName>
    <definedName name="OSRRefD22_3x_0" localSheetId="62">'317'!$D$73</definedName>
    <definedName name="OSRRefD22_3x_0" localSheetId="67">'321'!$D$46</definedName>
    <definedName name="OSRRefD22_3x_0" localSheetId="68">'322'!$D$31</definedName>
    <definedName name="OSRRefD22_3x_0" localSheetId="69">'325'!$D$39</definedName>
    <definedName name="OSRRefD22_3x_0" localSheetId="58">'326'!$D$70</definedName>
    <definedName name="OSRRefD22_3x_0" localSheetId="56">'331'!$D$106</definedName>
    <definedName name="OSRRefD22_3x_0" localSheetId="59">'332'!$D$51</definedName>
    <definedName name="OSRRefD22_3x_0" localSheetId="54">'333'!$D$108</definedName>
    <definedName name="OSRRefD22_3x_0" localSheetId="74">'405'!$D$40</definedName>
    <definedName name="OSRRefD22_3x_0" localSheetId="75">'406'!$D$26</definedName>
    <definedName name="OSRRefD22_3x_0" localSheetId="76">'411'!$D$37:$D$38</definedName>
    <definedName name="OSRRefD22_3x_0" localSheetId="77">'412'!$D$27</definedName>
    <definedName name="OSRRefD22_3x_0" localSheetId="78">'413'!$D$30</definedName>
    <definedName name="OSRRefD22_3x_0" localSheetId="79">'414'!$D$28</definedName>
    <definedName name="OSRRefD22_3x_0" localSheetId="80">'415'!$D$42</definedName>
    <definedName name="OSRRefD22_3x_0" localSheetId="81">'418'!$D$37</definedName>
    <definedName name="OSRRefD22_3x_0" localSheetId="83">'423'!$D$27</definedName>
    <definedName name="OSRRefD22_3x_0" localSheetId="84">'424'!$D$26</definedName>
    <definedName name="OSRRefD22_3x_0" localSheetId="85">'425'!$D$32</definedName>
    <definedName name="OSRRefD22_3x_0" localSheetId="88">'430'!$D$33</definedName>
    <definedName name="OSRRefD22_3x_0" localSheetId="89">'433'!$D$44</definedName>
    <definedName name="OSRRefD22_3x_0" localSheetId="91">'444'!$D$44</definedName>
    <definedName name="OSRRefD22_3x_0" localSheetId="92">'450'!$D$43</definedName>
    <definedName name="OSRRefD22_3x_0" localSheetId="73">'491'!$D$46</definedName>
    <definedName name="OSRRefD22_3x_0" localSheetId="87">'492'!$D$47</definedName>
    <definedName name="OSRRefD22_3x_0" localSheetId="94">'501'!$D$40</definedName>
    <definedName name="OSRRefD22_3x_0" localSheetId="39">'Div 2'!$D$41</definedName>
    <definedName name="OSRRefD22_3x_0" localSheetId="47">'Div 3'!$D$157:$D$158</definedName>
    <definedName name="OSRRefD22_3x_0" localSheetId="71">'Div 4'!$D$50</definedName>
    <definedName name="OSRRefD22_3x_0" localSheetId="93">'Div 5'!$D$40</definedName>
    <definedName name="OSRRefD22_3x_0" localSheetId="61">'Div 6'!$D$73</definedName>
    <definedName name="OSRRefD22_3x_0" localSheetId="2">Summary!$D$184:$D$185</definedName>
    <definedName name="OSRRefD22_4x_0" localSheetId="41">'201'!$D$38</definedName>
    <definedName name="OSRRefD22_4x_0" localSheetId="42">'202'!$D$37</definedName>
    <definedName name="OSRRefD22_4x_0" localSheetId="43">'203'!$D$41</definedName>
    <definedName name="OSRRefD22_4x_0" localSheetId="44">'204'!$D$38</definedName>
    <definedName name="OSRRefD22_4x_0" localSheetId="45">'205'!$D$35:$D$36</definedName>
    <definedName name="OSRRefD22_4x_0" localSheetId="46">'206'!$D$38</definedName>
    <definedName name="OSRRefD22_4x_0" localSheetId="48">'300'!$D$153</definedName>
    <definedName name="OSRRefD22_4x_0" localSheetId="49">'300 &amp; 317'!$D$176</definedName>
    <definedName name="OSRRefD22_4x_0" localSheetId="50">'301'!$D$45</definedName>
    <definedName name="OSRRefD22_4x_0" localSheetId="55">'307'!$D$56:$D$57</definedName>
    <definedName name="OSRRefD22_4x_0" localSheetId="51">'308'!$D$86</definedName>
    <definedName name="OSRRefD22_4x_0" localSheetId="65">'309'!$D$36</definedName>
    <definedName name="OSRRefD22_4x_0" localSheetId="64">'310'!$D$55</definedName>
    <definedName name="OSRRefD22_4x_0" localSheetId="72">'310 &amp; 491'!$D$58</definedName>
    <definedName name="OSRRefD22_4x_0" localSheetId="52">'311'!$D$86</definedName>
    <definedName name="OSRRefD22_4x_0" localSheetId="66">'313'!$D$40</definedName>
    <definedName name="OSRRefD22_4x_0" localSheetId="57">'315'!$D$108</definedName>
    <definedName name="OSRRefD22_4x_0" localSheetId="60">'316'!$D$51</definedName>
    <definedName name="OSRRefD22_4x_0" localSheetId="62">'317'!$D$75</definedName>
    <definedName name="OSRRefD22_4x_0" localSheetId="67">'321'!$D$48</definedName>
    <definedName name="OSRRefD22_4x_0" localSheetId="68">'322'!$D$33:$D$34</definedName>
    <definedName name="OSRRefD22_4x_0" localSheetId="69">'325'!$D$41</definedName>
    <definedName name="OSRRefD22_4x_0" localSheetId="58">'326'!$D$72</definedName>
    <definedName name="OSRRefD22_4x_0" localSheetId="56">'331'!$D$108</definedName>
    <definedName name="OSRRefD22_4x_0" localSheetId="59">'332'!$D$53</definedName>
    <definedName name="OSRRefD22_4x_0" localSheetId="54">'333'!$D$110</definedName>
    <definedName name="OSRRefD22_4x_0" localSheetId="74">'405'!$D$42</definedName>
    <definedName name="OSRRefD22_4x_0" localSheetId="75">'406'!$D$28</definedName>
    <definedName name="OSRRefD22_4x_0" localSheetId="76">'411'!$D$40</definedName>
    <definedName name="OSRRefD22_4x_0" localSheetId="77">'412'!$D$29</definedName>
    <definedName name="OSRRefD22_4x_0" localSheetId="78">'413'!$D$32</definedName>
    <definedName name="OSRRefD22_4x_0" localSheetId="79">'414'!$D$30</definedName>
    <definedName name="OSRRefD22_4x_0" localSheetId="80">'415'!$D$44</definedName>
    <definedName name="OSRRefD22_4x_0" localSheetId="81">'418'!$D$39:$D$40</definedName>
    <definedName name="OSRRefD22_4x_0" localSheetId="85">'425'!$D$34</definedName>
    <definedName name="OSRRefD22_4x_0" localSheetId="88">'430'!$D$35</definedName>
    <definedName name="OSRRefD22_4x_0" localSheetId="89">'433'!$D$46</definedName>
    <definedName name="OSRRefD22_4x_0" localSheetId="91">'444'!$D$46</definedName>
    <definedName name="OSRRefD22_4x_0" localSheetId="92">'450'!$D$45</definedName>
    <definedName name="OSRRefD22_4x_0" localSheetId="73">'491'!$D$48</definedName>
    <definedName name="OSRRefD22_4x_0" localSheetId="87">'492'!$D$49</definedName>
    <definedName name="OSRRefD22_4x_0" localSheetId="94">'501'!$D$42:$D$43</definedName>
    <definedName name="OSRRefD22_4x_0" localSheetId="39">'Div 2'!$D$43</definedName>
    <definedName name="OSRRefD22_4x_0" localSheetId="47">'Div 3'!$D$160</definedName>
    <definedName name="OSRRefD22_4x_0" localSheetId="71">'Div 4'!$D$52</definedName>
    <definedName name="OSRRefD22_4x_0" localSheetId="93">'Div 5'!$D$42:$D$43</definedName>
    <definedName name="OSRRefD22_4x_0" localSheetId="61">'Div 6'!$D$75</definedName>
    <definedName name="OSRRefD22_4x_0" localSheetId="2">Summary!$D$187</definedName>
    <definedName name="OSRRefD22_5x_0" localSheetId="41">'201'!$D$40</definedName>
    <definedName name="OSRRefD22_5x_0" localSheetId="42">'202'!$D$39:$D$40</definedName>
    <definedName name="OSRRefD22_5x_0" localSheetId="43">'203'!$D$43</definedName>
    <definedName name="OSRRefD22_5x_0" localSheetId="44">'204'!$D$40:$D$43</definedName>
    <definedName name="OSRRefD22_5x_0" localSheetId="45">'205'!$D$38:$D$40</definedName>
    <definedName name="OSRRefD22_5x_0" localSheetId="46">'206'!$D$40</definedName>
    <definedName name="OSRRefD22_5x_0" localSheetId="48">'300'!$D$155:$D$156</definedName>
    <definedName name="OSRRefD22_5x_0" localSheetId="49">'300 &amp; 317'!$D$178:$D$179</definedName>
    <definedName name="OSRRefD22_5x_0" localSheetId="50">'301'!$D$47:$D$48</definedName>
    <definedName name="OSRRefD22_5x_0" localSheetId="55">'307'!$D$59</definedName>
    <definedName name="OSRRefD22_5x_0" localSheetId="51">'308'!$D$88</definedName>
    <definedName name="OSRRefD22_5x_0" localSheetId="65">'309'!$D$38</definedName>
    <definedName name="OSRRefD22_5x_0" localSheetId="64">'310'!$D$57:$D$58</definedName>
    <definedName name="OSRRefD22_5x_0" localSheetId="72">'310 &amp; 491'!$D$60:$D$61</definedName>
    <definedName name="OSRRefD22_5x_0" localSheetId="52">'311'!$D$88</definedName>
    <definedName name="OSRRefD22_5x_0" localSheetId="66">'313'!$D$42</definedName>
    <definedName name="OSRRefD22_5x_0" localSheetId="57">'315'!$D$110</definedName>
    <definedName name="OSRRefD22_5x_0" localSheetId="60">'316'!$D$53</definedName>
    <definedName name="OSRRefD22_5x_0" localSheetId="62">'317'!$D$77:$D$78</definedName>
    <definedName name="OSRRefD22_5x_0" localSheetId="67">'321'!$D$50</definedName>
    <definedName name="OSRRefD22_5x_0" localSheetId="68">'322'!$D$36</definedName>
    <definedName name="OSRRefD22_5x_0" localSheetId="69">'325'!$D$43:$D$44</definedName>
    <definedName name="OSRRefD22_5x_0" localSheetId="58">'326'!$D$74</definedName>
    <definedName name="OSRRefD22_5x_0" localSheetId="56">'331'!$D$110:$D$111</definedName>
    <definedName name="OSRRefD22_5x_0" localSheetId="59">'332'!$D$55</definedName>
    <definedName name="OSRRefD22_5x_0" localSheetId="54">'333'!$D$112:$D$113</definedName>
    <definedName name="OSRRefD22_5x_0" localSheetId="74">'405'!$D$44:$D$45</definedName>
    <definedName name="OSRRefD22_5x_0" localSheetId="76">'411'!$D$42</definedName>
    <definedName name="OSRRefD22_5x_0" localSheetId="78">'413'!$D$34</definedName>
    <definedName name="OSRRefD22_5x_0" localSheetId="79">'414'!$D$32:$D$33</definedName>
    <definedName name="OSRRefD22_5x_0" localSheetId="80">'415'!$D$46:$D$47</definedName>
    <definedName name="OSRRefD22_5x_0" localSheetId="81">'418'!$D$42</definedName>
    <definedName name="OSRRefD22_5x_0" localSheetId="85">'425'!$D$36:$D$37</definedName>
    <definedName name="OSRRefD22_5x_0" localSheetId="88">'430'!$D$37:$D$38</definedName>
    <definedName name="OSRRefD22_5x_0" localSheetId="89">'433'!$D$48</definedName>
    <definedName name="OSRRefD22_5x_0" localSheetId="91">'444'!$D$48</definedName>
    <definedName name="OSRRefD22_5x_0" localSheetId="92">'450'!$D$47</definedName>
    <definedName name="OSRRefD22_5x_0" localSheetId="73">'491'!$D$50:$D$51</definedName>
    <definedName name="OSRRefD22_5x_0" localSheetId="87">'492'!$D$51</definedName>
    <definedName name="OSRRefD22_5x_0" localSheetId="94">'501'!$D$45</definedName>
    <definedName name="OSRRefD22_5x_0" localSheetId="39">'Div 2'!$D$45</definedName>
    <definedName name="OSRRefD22_5x_0" localSheetId="47">'Div 3'!$D$162:$D$163</definedName>
    <definedName name="OSRRefD22_5x_0" localSheetId="71">'Div 4'!$D$54:$D$55</definedName>
    <definedName name="OSRRefD22_5x_0" localSheetId="93">'Div 5'!$D$45</definedName>
    <definedName name="OSRRefD22_5x_0" localSheetId="61">'Div 6'!$D$77:$D$78</definedName>
    <definedName name="OSRRefD22_5x_0" localSheetId="2">Summary!$D$189:$D$190</definedName>
    <definedName name="OSRRefD22_6x_0" localSheetId="41">'201'!$D$42</definedName>
    <definedName name="OSRRefD22_6x_0" localSheetId="42">'202'!$D$42</definedName>
    <definedName name="OSRRefD22_6x_0" localSheetId="43">'203'!$D$45</definedName>
    <definedName name="OSRRefD22_6x_0" localSheetId="44">'204'!$D$45</definedName>
    <definedName name="OSRRefD22_6x_0" localSheetId="45">'205'!$D$42</definedName>
    <definedName name="OSRRefD22_6x_0" localSheetId="46">'206'!$D$42</definedName>
    <definedName name="OSRRefD22_6x_0" localSheetId="48">'300'!$D$158:$D$159</definedName>
    <definedName name="OSRRefD22_6x_0" localSheetId="49">'300 &amp; 317'!$D$181:$D$182</definedName>
    <definedName name="OSRRefD22_6x_0" localSheetId="50">'301'!$D$50:$D$51</definedName>
    <definedName name="OSRRefD22_6x_0" localSheetId="55">'307'!$D$61</definedName>
    <definedName name="OSRRefD22_6x_0" localSheetId="51">'308'!$D$90:$D$91</definedName>
    <definedName name="OSRRefD22_6x_0" localSheetId="65">'309'!$D$40</definedName>
    <definedName name="OSRRefD22_6x_0" localSheetId="64">'310'!$D$60</definedName>
    <definedName name="OSRRefD22_6x_0" localSheetId="72">'310 &amp; 491'!$D$63</definedName>
    <definedName name="OSRRefD22_6x_0" localSheetId="52">'311'!$D$90:$D$91</definedName>
    <definedName name="OSRRefD22_6x_0" localSheetId="66">'313'!$D$44</definedName>
    <definedName name="OSRRefD22_6x_0" localSheetId="57">'315'!$D$112:$D$113</definedName>
    <definedName name="OSRRefD22_6x_0" localSheetId="60">'316'!$D$55:$D$56</definedName>
    <definedName name="OSRRefD22_6x_0" localSheetId="62">'317'!$D$80</definedName>
    <definedName name="OSRRefD22_6x_0" localSheetId="67">'321'!$D$52</definedName>
    <definedName name="OSRRefD22_6x_0" localSheetId="68">'322'!$D$38</definedName>
    <definedName name="OSRRefD22_6x_0" localSheetId="69">'325'!$D$46</definedName>
    <definedName name="OSRRefD22_6x_0" localSheetId="58">'326'!$D$76</definedName>
    <definedName name="OSRRefD22_6x_0" localSheetId="56">'331'!$D$113</definedName>
    <definedName name="OSRRefD22_6x_0" localSheetId="59">'332'!$D$57:$D$58</definedName>
    <definedName name="OSRRefD22_6x_0" localSheetId="54">'333'!$D$115</definedName>
    <definedName name="OSRRefD22_6x_0" localSheetId="74">'405'!$D$47</definedName>
    <definedName name="OSRRefD22_6x_0" localSheetId="76">'411'!$D$44</definedName>
    <definedName name="OSRRefD22_6x_0" localSheetId="80">'415'!$D$49</definedName>
    <definedName name="OSRRefD22_6x_0" localSheetId="81">'418'!$D$44</definedName>
    <definedName name="OSRRefD22_6x_0" localSheetId="85">'425'!$D$39</definedName>
    <definedName name="OSRRefD22_6x_0" localSheetId="88">'430'!$D$40</definedName>
    <definedName name="OSRRefD22_6x_0" localSheetId="89">'433'!$D$50</definedName>
    <definedName name="OSRRefD22_6x_0" localSheetId="91">'444'!$D$50</definedName>
    <definedName name="OSRRefD22_6x_0" localSheetId="92">'450'!$D$49</definedName>
    <definedName name="OSRRefD22_6x_0" localSheetId="73">'491'!$D$53</definedName>
    <definedName name="OSRRefD22_6x_0" localSheetId="87">'492'!$D$53</definedName>
    <definedName name="OSRRefD22_6x_0" localSheetId="94">'501'!$D$47</definedName>
    <definedName name="OSRRefD22_6x_0" localSheetId="39">'Div 2'!$D$47</definedName>
    <definedName name="OSRRefD22_6x_0" localSheetId="47">'Div 3'!$D$165:$D$166</definedName>
    <definedName name="OSRRefD22_6x_0" localSheetId="71">'Div 4'!$D$57</definedName>
    <definedName name="OSRRefD22_6x_0" localSheetId="93">'Div 5'!$D$47</definedName>
    <definedName name="OSRRefD22_6x_0" localSheetId="61">'Div 6'!$D$80</definedName>
    <definedName name="OSRRefD22_6x_0" localSheetId="2">Summary!$D$192:$D$193</definedName>
    <definedName name="OSRRefD22_7x_0" localSheetId="41">'201'!$D$44</definedName>
    <definedName name="OSRRefD22_7x_0" localSheetId="42">'202'!$D$44:$D$46</definedName>
    <definedName name="OSRRefD22_7x_0" localSheetId="43">'203'!$D$47:$D$48</definedName>
    <definedName name="OSRRefD22_7x_0" localSheetId="44">'204'!$D$47:$D$48</definedName>
    <definedName name="OSRRefD22_7x_0" localSheetId="48">'300'!$D$161</definedName>
    <definedName name="OSRRefD22_7x_0" localSheetId="49">'300 &amp; 317'!$D$184</definedName>
    <definedName name="OSRRefD22_7x_0" localSheetId="50">'301'!$D$53</definedName>
    <definedName name="OSRRefD22_7x_0" localSheetId="55">'307'!$D$63</definedName>
    <definedName name="OSRRefD22_7x_0" localSheetId="51">'308'!$D$93</definedName>
    <definedName name="OSRRefD22_7x_0" localSheetId="65">'309'!$D$42</definedName>
    <definedName name="OSRRefD22_7x_0" localSheetId="64">'310'!$D$62</definedName>
    <definedName name="OSRRefD22_7x_0" localSheetId="72">'310 &amp; 491'!$D$65</definedName>
    <definedName name="OSRRefD22_7x_0" localSheetId="52">'311'!$D$93</definedName>
    <definedName name="OSRRefD22_7x_0" localSheetId="66">'313'!$D$46</definedName>
    <definedName name="OSRRefD22_7x_0" localSheetId="57">'315'!$D$115</definedName>
    <definedName name="OSRRefD22_7x_0" localSheetId="60">'316'!$D$58</definedName>
    <definedName name="OSRRefD22_7x_0" localSheetId="62">'317'!$D$82</definedName>
    <definedName name="OSRRefD22_7x_0" localSheetId="67">'321'!$D$54:$D$55</definedName>
    <definedName name="OSRRefD22_7x_0" localSheetId="68">'322'!$D$40</definedName>
    <definedName name="OSRRefD22_7x_0" localSheetId="69">'325'!$D$48</definedName>
    <definedName name="OSRRefD22_7x_0" localSheetId="58">'326'!$D$78</definedName>
    <definedName name="OSRRefD22_7x_0" localSheetId="56">'331'!$D$115</definedName>
    <definedName name="OSRRefD22_7x_0" localSheetId="59">'332'!$D$60</definedName>
    <definedName name="OSRRefD22_7x_0" localSheetId="54">'333'!$D$117</definedName>
    <definedName name="OSRRefD22_7x_0" localSheetId="74">'405'!$D$49</definedName>
    <definedName name="OSRRefD22_7x_0" localSheetId="76">'411'!$D$46</definedName>
    <definedName name="OSRRefD22_7x_0" localSheetId="80">'415'!$D$51</definedName>
    <definedName name="OSRRefD22_7x_0" localSheetId="81">'418'!$D$46</definedName>
    <definedName name="OSRRefD22_7x_0" localSheetId="85">'425'!$D$41</definedName>
    <definedName name="OSRRefD22_7x_0" localSheetId="88">'430'!$D$42</definedName>
    <definedName name="OSRRefD22_7x_0" localSheetId="89">'433'!$D$52</definedName>
    <definedName name="OSRRefD22_7x_0" localSheetId="91">'444'!$D$52</definedName>
    <definedName name="OSRRefD22_7x_0" localSheetId="92">'450'!$D$51</definedName>
    <definedName name="OSRRefD22_7x_0" localSheetId="73">'491'!$D$55</definedName>
    <definedName name="OSRRefD22_7x_0" localSheetId="87">'492'!$D$55</definedName>
    <definedName name="OSRRefD22_7x_0" localSheetId="94">'501'!$D$49:$D$52</definedName>
    <definedName name="OSRRefD22_7x_0" localSheetId="39">'Div 2'!$D$49</definedName>
    <definedName name="OSRRefD22_7x_0" localSheetId="47">'Div 3'!$D$168</definedName>
    <definedName name="OSRRefD22_7x_0" localSheetId="71">'Div 4'!$D$59</definedName>
    <definedName name="OSRRefD22_7x_0" localSheetId="93">'Div 5'!$D$49:$D$52</definedName>
    <definedName name="OSRRefD22_7x_0" localSheetId="61">'Div 6'!$D$82</definedName>
    <definedName name="OSRRefD22_7x_0" localSheetId="2">Summary!$D$195</definedName>
    <definedName name="OSRRefD22_8x_0" localSheetId="41">'201'!$D$46</definedName>
    <definedName name="OSRRefD22_8x_0" localSheetId="42">'202'!$D$48</definedName>
    <definedName name="OSRRefD22_8x_0" localSheetId="43">'203'!$D$50:$D$51</definedName>
    <definedName name="OSRRefD22_8x_0" localSheetId="44">'204'!$D$50</definedName>
    <definedName name="OSRRefD22_8x_0" localSheetId="48">'300'!$D$163</definedName>
    <definedName name="OSRRefD22_8x_0" localSheetId="49">'300 &amp; 317'!$D$186</definedName>
    <definedName name="OSRRefD22_8x_0" localSheetId="50">'301'!$D$55</definedName>
    <definedName name="OSRRefD22_8x_0" localSheetId="55">'307'!$D$65:$D$66</definedName>
    <definedName name="OSRRefD22_8x_0" localSheetId="51">'308'!$D$95</definedName>
    <definedName name="OSRRefD22_8x_0" localSheetId="65">'309'!$D$44:$D$45</definedName>
    <definedName name="OSRRefD22_8x_0" localSheetId="64">'310'!$D$64</definedName>
    <definedName name="OSRRefD22_8x_0" localSheetId="72">'310 &amp; 491'!$D$67:$D$68</definedName>
    <definedName name="OSRRefD22_8x_0" localSheetId="52">'311'!$D$95</definedName>
    <definedName name="OSRRefD22_8x_0" localSheetId="57">'315'!$D$117:$D$118</definedName>
    <definedName name="OSRRefD22_8x_0" localSheetId="60">'316'!$D$60:$D$62</definedName>
    <definedName name="OSRRefD22_8x_0" localSheetId="62">'317'!$D$84</definedName>
    <definedName name="OSRRefD22_8x_0" localSheetId="67">'321'!$D$57</definedName>
    <definedName name="OSRRefD22_8x_0" localSheetId="69">'325'!$D$50</definedName>
    <definedName name="OSRRefD22_8x_0" localSheetId="58">'326'!$D$80</definedName>
    <definedName name="OSRRefD22_8x_0" localSheetId="56">'331'!$D$117:$D$118</definedName>
    <definedName name="OSRRefD22_8x_0" localSheetId="59">'332'!$D$62:$D$64</definedName>
    <definedName name="OSRRefD22_8x_0" localSheetId="54">'333'!$D$119:$D$120</definedName>
    <definedName name="OSRRefD22_8x_0" localSheetId="74">'405'!$D$51</definedName>
    <definedName name="OSRRefD22_8x_0" localSheetId="76">'411'!$D$48</definedName>
    <definedName name="OSRRefD22_8x_0" localSheetId="80">'415'!$D$53</definedName>
    <definedName name="OSRRefD22_8x_0" localSheetId="81">'418'!$D$48:$D$49</definedName>
    <definedName name="OSRRefD22_8x_0" localSheetId="85">'425'!$D$43</definedName>
    <definedName name="OSRRefD22_8x_0" localSheetId="88">'430'!$D$44</definedName>
    <definedName name="OSRRefD22_8x_0" localSheetId="89">'433'!$D$54</definedName>
    <definedName name="OSRRefD22_8x_0" localSheetId="91">'444'!$D$54</definedName>
    <definedName name="OSRRefD22_8x_0" localSheetId="92">'450'!$D$53</definedName>
    <definedName name="OSRRefD22_8x_0" localSheetId="73">'491'!$D$57</definedName>
    <definedName name="OSRRefD22_8x_0" localSheetId="87">'492'!$D$57</definedName>
    <definedName name="OSRRefD22_8x_0" localSheetId="94">'501'!$D$54:$D$55</definedName>
    <definedName name="OSRRefD22_8x_0" localSheetId="39">'Div 2'!$D$51</definedName>
    <definedName name="OSRRefD22_8x_0" localSheetId="47">'Div 3'!$D$170</definedName>
    <definedName name="OSRRefD22_8x_0" localSheetId="71">'Div 4'!$D$61</definedName>
    <definedName name="OSRRefD22_8x_0" localSheetId="93">'Div 5'!$D$54:$D$55</definedName>
    <definedName name="OSRRefD22_8x_0" localSheetId="61">'Div 6'!$D$84</definedName>
    <definedName name="OSRRefD22_8x_0" localSheetId="2">Summary!$D$197</definedName>
    <definedName name="OSRRefD22_9x_0" localSheetId="41">'201'!$D$48:$D$50</definedName>
    <definedName name="OSRRefD22_9x_0" localSheetId="42">'202'!$D$50:$D$52</definedName>
    <definedName name="OSRRefD22_9x_0" localSheetId="43">'203'!$D$53:$D$54</definedName>
    <definedName name="OSRRefD22_9x_0" localSheetId="44">'204'!$D$52</definedName>
    <definedName name="OSRRefD22_9x_0" localSheetId="48">'300'!$D$165</definedName>
    <definedName name="OSRRefD22_9x_0" localSheetId="49">'300 &amp; 317'!$D$188</definedName>
    <definedName name="OSRRefD22_9x_0" localSheetId="50">'301'!$D$57</definedName>
    <definedName name="OSRRefD22_9x_0" localSheetId="55">'307'!$D$68:$D$69</definedName>
    <definedName name="OSRRefD22_9x_0" localSheetId="51">'308'!$D$97:$D$99</definedName>
    <definedName name="OSRRefD22_9x_0" localSheetId="65">'309'!$D$47:$D$48</definedName>
    <definedName name="OSRRefD22_9x_0" localSheetId="64">'310'!$D$66</definedName>
    <definedName name="OSRRefD22_9x_0" localSheetId="72">'310 &amp; 491'!$D$70</definedName>
    <definedName name="OSRRefD22_9x_0" localSheetId="52">'311'!$D$97:$D$99</definedName>
    <definedName name="OSRRefD22_9x_0" localSheetId="57">'315'!$D$120</definedName>
    <definedName name="OSRRefD22_9x_0" localSheetId="60">'316'!$D$64</definedName>
    <definedName name="OSRRefD22_9x_0" localSheetId="62">'317'!$D$86:$D$89</definedName>
    <definedName name="OSRRefD22_9x_0" localSheetId="67">'321'!$D$59:$D$61</definedName>
    <definedName name="OSRRefD22_9x_0" localSheetId="69">'325'!$D$52</definedName>
    <definedName name="OSRRefD22_9x_0" localSheetId="58">'326'!$D$82</definedName>
    <definedName name="OSRRefD22_9x_0" localSheetId="56">'331'!$D$120</definedName>
    <definedName name="OSRRefD22_9x_0" localSheetId="59">'332'!$D$66</definedName>
    <definedName name="OSRRefD22_9x_0" localSheetId="54">'333'!$D$122</definedName>
    <definedName name="OSRRefD22_9x_0" localSheetId="74">'405'!$D$53</definedName>
    <definedName name="OSRRefD22_9x_0" localSheetId="76">'411'!$D$50:$D$53</definedName>
    <definedName name="OSRRefD22_9x_0" localSheetId="80">'415'!$D$55</definedName>
    <definedName name="OSRRefD22_9x_0" localSheetId="81">'418'!$D$51</definedName>
    <definedName name="OSRRefD22_9x_0" localSheetId="89">'433'!$D$56</definedName>
    <definedName name="OSRRefD22_9x_0" localSheetId="91">'444'!$D$56</definedName>
    <definedName name="OSRRefD22_9x_0" localSheetId="92">'450'!$D$55</definedName>
    <definedName name="OSRRefD22_9x_0" localSheetId="73">'491'!$D$59</definedName>
    <definedName name="OSRRefD22_9x_0" localSheetId="87">'492'!$D$59</definedName>
    <definedName name="OSRRefD22_9x_0" localSheetId="94">'501'!$D$57</definedName>
    <definedName name="OSRRefD22_9x_0" localSheetId="39">'Div 2'!$D$53:$D$54</definedName>
    <definedName name="OSRRefD22_9x_0" localSheetId="47">'Div 3'!$D$172</definedName>
    <definedName name="OSRRefD22_9x_0" localSheetId="71">'Div 4'!$D$63</definedName>
    <definedName name="OSRRefD22_9x_0" localSheetId="93">'Div 5'!$D$57</definedName>
    <definedName name="OSRRefD22_9x_0" localSheetId="61">'Div 6'!$D$86:$D$89</definedName>
    <definedName name="OSRRefD22_9x_0" localSheetId="2">Summary!$D$199</definedName>
    <definedName name="OSRRefD22x_0" localSheetId="40">'200'!$D$20,'200'!$D$22,'200'!$D$24,'200'!$D$26</definedName>
    <definedName name="OSRRefD22x_0" localSheetId="41">'201'!$D$20:$D$27,'201'!$D$29:$D$32,'201'!$D$34,'201'!$D$36,'201'!$D$38,'201'!$D$40,'201'!$D$42,'201'!$D$44,'201'!$D$46,'201'!$D$48:$D$50,'201'!$D$52:$D$54,'201'!$D$56,'201'!$D$58:$D$59,'201'!$D$61,'201'!$D$63</definedName>
    <definedName name="OSRRefD22x_0" localSheetId="42">'202'!$D$20:$D$27,'202'!$D$29:$D$31,'202'!$D$33,'202'!$D$35,'202'!$D$37,'202'!$D$39:$D$40,'202'!$D$42,'202'!$D$44:$D$46,'202'!$D$48,'202'!$D$50:$D$52,'202'!$D$54,'202'!$D$56,'202'!$D$58</definedName>
    <definedName name="OSRRefD22x_0" localSheetId="43">'203'!$D$20:$D$29,'203'!$D$31:$D$35,'203'!$D$37,'203'!$D$39,'203'!$D$41,'203'!$D$43,'203'!$D$45,'203'!$D$47:$D$48,'203'!$D$50:$D$51,'203'!$D$53:$D$54,'203'!$D$56:$D$59,'203'!$D$61,'203'!$D$63,'203'!$D$65</definedName>
    <definedName name="OSRRefD22x_0" localSheetId="44">'204'!$D$20:$D$28,'204'!$D$30:$D$32,'204'!$D$34,'204'!$D$36,'204'!$D$38,'204'!$D$40:$D$43,'204'!$D$45,'204'!$D$47:$D$48,'204'!$D$50,'204'!$D$52</definedName>
    <definedName name="OSRRefD22x_0" localSheetId="45">'205'!$D$20:$D$27,'205'!$D$29,'205'!$D$31,'205'!$D$33,'205'!$D$35:$D$36,'205'!$D$38:$D$40,'205'!$D$42</definedName>
    <definedName name="OSRRefD22x_0" localSheetId="46">'206'!$D$20:$D$27,'206'!$D$29:$D$32,'206'!$D$34,'206'!$D$36,'206'!$D$38,'206'!$D$40,'206'!$D$42</definedName>
    <definedName name="OSRRefD22x_0" localSheetId="48">'300'!$D$129:$D$138,'300'!$D$140:$D$146,'300'!$D$148,'300'!$D$150:$D$151,'300'!$D$153,'300'!$D$155:$D$156,'300'!$D$158:$D$159,'300'!$D$161,'300'!$D$163,'300'!$D$165,'300'!$D$167:$D$168,'300'!$D$170,'300'!$D$172,'300'!$D$174:$D$175,'300'!$D$177,'300'!$D$179,'300'!$D$181:$D$184,'300'!$D$186:$D$188,'300'!$D$190:$D$193,'300'!$D$195:$D$196,'300'!$D$198:$D$204,'300'!$D$206:$D$207,'300'!$D$209,'300'!$D$211:$D$213,'300'!$D$215</definedName>
    <definedName name="OSRRefD22x_0" localSheetId="49">'300 &amp; 317'!$D$152:$D$161,'300 &amp; 317'!$D$163:$D$169,'300 &amp; 317'!$D$171,'300 &amp; 317'!$D$173:$D$174,'300 &amp; 317'!$D$176,'300 &amp; 317'!$D$178:$D$179,'300 &amp; 317'!$D$181:$D$182,'300 &amp; 317'!$D$184,'300 &amp; 317'!$D$186,'300 &amp; 317'!$D$188,'300 &amp; 317'!$D$190:$D$191,'300 &amp; 317'!$D$193,'300 &amp; 317'!$D$195,'300 &amp; 317'!$D$197:$D$198,'300 &amp; 317'!$D$200,'300 &amp; 317'!$D$202,'300 &amp; 317'!$D$204:$D$207,'300 &amp; 317'!$D$209:$D$211,'300 &amp; 317'!$D$213:$D$216,'300 &amp; 317'!$D$218:$D$219,'300 &amp; 317'!$D$221:$D$227,'300 &amp; 317'!$D$229:$D$230,'300 &amp; 317'!$D$232,'300 &amp; 317'!$D$234:$D$236,'300 &amp; 317'!$D$238</definedName>
    <definedName name="OSRRefD22x_0" localSheetId="50">'301'!$D$21:$D$30,'301'!$D$32:$D$38,'301'!$D$40,'301'!$D$42:$D$43,'301'!$D$45,'301'!$D$47:$D$48,'301'!$D$50:$D$51,'301'!$D$53,'301'!$D$55,'301'!$D$57,'301'!$D$59,'301'!$D$61,'301'!$D$63,'301'!$D$65,'301'!$D$67,'301'!$D$69:$D$72,'301'!$D$74:$D$76,'301'!$D$78,'301'!$D$80:$D$85,'301'!$D$87,'301'!$D$89,'301'!$D$91:$D$92,'301'!$D$94</definedName>
    <definedName name="OSRRefD22x_0" localSheetId="55">'307'!$D$43:$D$45,'307'!$D$47:$D$50,'307'!$D$52,'307'!$D$54,'307'!$D$56:$D$57,'307'!$D$59,'307'!$D$61,'307'!$D$63,'307'!$D$65:$D$66,'307'!$D$68:$D$69,'307'!$D$71,'307'!$D$73:$D$76,'307'!$D$78,'307'!$D$80</definedName>
    <definedName name="OSRRefD22x_0" localSheetId="51">'308'!$D$63:$D$71,'308'!$D$73:$D$79,'308'!$D$81,'308'!$D$83:$D$84,'308'!$D$86,'308'!$D$88,'308'!$D$90:$D$91,'308'!$D$93,'308'!$D$95,'308'!$D$97:$D$99,'308'!$D$101:$D$102,'308'!$D$104:$D$105,'308'!$D$107:$D$108,'308'!$D$110</definedName>
    <definedName name="OSRRefD22x_0" localSheetId="65">'309'!$D$26:$D$27,'309'!$D$29:$D$30,'309'!$D$32,'309'!$D$34,'309'!$D$36,'309'!$D$38,'309'!$D$40,'309'!$D$42,'309'!$D$44:$D$45,'309'!$D$47:$D$48,'309'!$D$50:$D$51,'309'!$D$53,'309'!$D$55</definedName>
    <definedName name="OSRRefD22x_0" localSheetId="64">'310'!$D$34:$D$42,'310'!$D$44:$D$49,'310'!$D$51,'310'!$D$53,'310'!$D$55,'310'!$D$57:$D$58,'310'!$D$60,'310'!$D$62,'310'!$D$64,'310'!$D$66,'310'!$D$68,'310'!$D$70:$D$71,'310'!$D$73,'310'!$D$75:$D$78,'310'!$D$80:$D$85,'310'!$D$87,'310'!$D$89,'310'!$D$91</definedName>
    <definedName name="OSRRefD22x_0" localSheetId="72">'310 &amp; 491'!$D$36:$D$44,'310 &amp; 491'!$D$46:$D$52,'310 &amp; 491'!$D$54,'310 &amp; 491'!$D$56,'310 &amp; 491'!$D$58,'310 &amp; 491'!$D$60:$D$61,'310 &amp; 491'!$D$63,'310 &amp; 491'!$D$65,'310 &amp; 491'!$D$67:$D$68,'310 &amp; 491'!$D$70,'310 &amp; 491'!$D$72,'310 &amp; 491'!$D$74,'310 &amp; 491'!$D$76,'310 &amp; 491'!$D$78:$D$81,'310 &amp; 491'!$D$83,'310 &amp; 491'!$D$85:$D$88,'310 &amp; 491'!$D$90,'310 &amp; 491'!$D$92:$D$100,'310 &amp; 491'!$D$102,'310 &amp; 491'!$D$104,'310 &amp; 491'!$D$106:$D$107,'310 &amp; 491'!$D$109</definedName>
    <definedName name="OSRRefD22x_0" localSheetId="52">'311'!$D$63:$D$71,'311'!$D$73:$D$79,'311'!$D$81,'311'!$D$83:$D$84,'311'!$D$86,'311'!$D$88,'311'!$D$90:$D$91,'311'!$D$93,'311'!$D$95,'311'!$D$97:$D$99,'311'!$D$101:$D$102,'311'!$D$104:$D$105,'311'!$D$107:$D$108,'311'!$D$110</definedName>
    <definedName name="OSRRefD22x_0" localSheetId="66">'313'!$D$25:$D$32,'313'!$D$34,'313'!$D$36,'313'!$D$38,'313'!$D$40,'313'!$D$42,'313'!$D$44,'313'!$D$46</definedName>
    <definedName name="OSRRefD22x_0" localSheetId="57">'315'!$D$87:$D$94,'315'!$D$96:$D$101,'315'!$D$103,'315'!$D$105:$D$106,'315'!$D$108,'315'!$D$110,'315'!$D$112:$D$113,'315'!$D$115,'315'!$D$117:$D$118,'315'!$D$120,'315'!$D$122:$D$123,'315'!$D$125:$D$126,'315'!$D$128:$D$129,'315'!$D$131:$D$135,'315'!$D$137,'315'!$D$139,'315'!$D$141</definedName>
    <definedName name="OSRRefD22x_0" localSheetId="60">'316'!$D$34:$D$41,'316'!$D$43:$D$45,'316'!$D$47,'316'!$D$49,'316'!$D$51,'316'!$D$53,'316'!$D$55:$D$56,'316'!$D$58,'316'!$D$60:$D$62,'316'!$D$64,'316'!$D$66,'316'!$D$68:$D$72,'316'!$D$74,'316'!$D$76</definedName>
    <definedName name="OSRRefD22x_0" localSheetId="62">'317'!$D$55:$D$63,'317'!$D$65:$D$69,'317'!$D$71,'317'!$D$73,'317'!$D$75,'317'!$D$77:$D$78,'317'!$D$80,'317'!$D$82,'317'!$D$84,'317'!$D$86:$D$89,'317'!$D$91,'317'!$D$93</definedName>
    <definedName name="OSRRefD22x_0" localSheetId="63">'320'!$D$22:$D$23,'320'!$D$25,'320'!$D$27</definedName>
    <definedName name="OSRRefD22x_0" localSheetId="67">'321'!$D$27:$D$35,'321'!$D$37:$D$42,'321'!$D$44,'321'!$D$46,'321'!$D$48,'321'!$D$50,'321'!$D$52,'321'!$D$54:$D$55,'321'!$D$57,'321'!$D$59:$D$61,'321'!$D$63:$D$67,'321'!$D$69,'321'!$D$71,'321'!$D$73</definedName>
    <definedName name="OSRRefD22x_0" localSheetId="68">'322'!$D$21:$D$25,'322'!$D$27,'322'!$D$29,'322'!$D$31,'322'!$D$33:$D$34,'322'!$D$36,'322'!$D$38,'322'!$D$40</definedName>
    <definedName name="OSRRefD22x_0" localSheetId="69">'325'!$D$24:$D$31,'325'!$D$33:$D$35,'325'!$D$37,'325'!$D$39,'325'!$D$41,'325'!$D$43:$D$44,'325'!$D$46,'325'!$D$48,'325'!$D$50,'325'!$D$52,'325'!$D$54:$D$55,'325'!$D$57:$D$60,'325'!$D$62:$D$67,'325'!$D$69,'325'!$D$71,'325'!$D$73</definedName>
    <definedName name="OSRRefD22x_0" localSheetId="58">'326'!$D$52:$D$59,'326'!$D$61:$D$66,'326'!$D$68,'326'!$D$70,'326'!$D$72,'326'!$D$74,'326'!$D$76,'326'!$D$78,'326'!$D$80,'326'!$D$82,'326'!$D$84,'326'!$D$86:$D$88,'326'!$D$90:$D$92,'326'!$D$94:$D$95,'326'!$D$97:$D$100,'326'!$D$102,'326'!$D$104,'326'!$D$106</definedName>
    <definedName name="OSRRefD22x_0" localSheetId="70">'327'!$D$24,'327'!$D$26</definedName>
    <definedName name="OSRRefD22x_0" localSheetId="56">'331'!$D$88:$D$95,'331'!$D$97:$D$102,'331'!$D$104,'331'!$D$106,'331'!$D$108,'331'!$D$110:$D$111,'331'!$D$113,'331'!$D$115,'331'!$D$117:$D$118,'331'!$D$120,'331'!$D$122,'331'!$D$124:$D$125,'331'!$D$127,'331'!$D$129,'331'!$D$131:$D$133,'331'!$D$135:$D$136,'331'!$D$138:$D$140,'331'!$D$142:$D$143,'331'!$D$145:$D$150,'331'!$D$152,'331'!$D$154,'331'!$D$156,'331'!$D$158</definedName>
    <definedName name="OSRRefD22x_0" localSheetId="59">'332'!$D$36:$D$43,'332'!$D$45:$D$47,'332'!$D$49,'332'!$D$51,'332'!$D$53,'332'!$D$55,'332'!$D$57:$D$58,'332'!$D$60,'332'!$D$62:$D$64,'332'!$D$66,'332'!$D$68,'332'!$D$70:$D$74,'332'!$D$76,'332'!$D$78</definedName>
    <definedName name="OSRRefD22x_0" localSheetId="54">'333'!$D$90:$D$97,'333'!$D$99:$D$104,'333'!$D$106,'333'!$D$108,'333'!$D$110,'333'!$D$112:$D$113,'333'!$D$115,'333'!$D$117,'333'!$D$119:$D$120,'333'!$D$122,'333'!$D$124,'333'!$D$126:$D$127,'333'!$D$129,'333'!$D$131,'333'!$D$133:$D$135,'333'!$D$137:$D$138,'333'!$D$140:$D$143,'333'!$D$145:$D$146,'333'!$D$148:$D$153,'333'!$D$155,'333'!$D$157,'333'!$D$159,'333'!$D$161</definedName>
    <definedName name="OSRRefD22x_0" localSheetId="74">'405'!$D$24:$D$31,'405'!$D$33:$D$36,'405'!$D$38,'405'!$D$40,'405'!$D$42,'405'!$D$44:$D$45,'405'!$D$47,'405'!$D$49,'405'!$D$51,'405'!$D$53,'405'!$D$55:$D$56,'405'!$D$58:$D$61,'405'!$D$63,'405'!$D$65:$D$73,'405'!$D$75,'405'!$D$77,'405'!$D$79</definedName>
    <definedName name="OSRRefD22x_0" localSheetId="75">'406'!$D$20,'406'!$D$22,'406'!$D$24,'406'!$D$26,'406'!$D$28</definedName>
    <definedName name="OSRRefD22x_0" localSheetId="76">'411'!$D$20:$D$27,'411'!$D$29:$D$33,'411'!$D$35,'411'!$D$37:$D$38,'411'!$D$40,'411'!$D$42,'411'!$D$44,'411'!$D$46,'411'!$D$48,'411'!$D$50:$D$53,'411'!$D$55:$D$57,'411'!$D$59,'411'!$D$61:$D$62,'411'!$D$64,'411'!$D$66:$D$67,'411'!$D$69</definedName>
    <definedName name="OSRRefD22x_0" localSheetId="77">'412'!$D$20,'412'!$D$22,'412'!$D$24:$D$25,'412'!$D$27,'412'!$D$29</definedName>
    <definedName name="OSRRefD22x_0" localSheetId="78">'413'!$D$20:$D$24,'413'!$D$26,'413'!$D$28,'413'!$D$30,'413'!$D$32,'413'!$D$34</definedName>
    <definedName name="OSRRefD22x_0" localSheetId="79">'414'!$D$22,'414'!$D$24,'414'!$D$26,'414'!$D$28,'414'!$D$30,'414'!$D$32:$D$33</definedName>
    <definedName name="OSRRefD22x_0" localSheetId="80">'415'!$D$24:$D$32,'415'!$D$34:$D$38,'415'!$D$40,'415'!$D$42,'415'!$D$44,'415'!$D$46:$D$47,'415'!$D$49,'415'!$D$51,'415'!$D$53,'415'!$D$55,'415'!$D$57,'415'!$D$59:$D$60,'415'!$D$62:$D$65,'415'!$D$67,'415'!$D$69:$D$74,'415'!$D$76,'415'!$D$78,'415'!$D$80</definedName>
    <definedName name="OSRRefD22x_0" localSheetId="81">'418'!$D$21:$D$28,'418'!$D$30:$D$33,'418'!$D$35,'418'!$D$37,'418'!$D$39:$D$40,'418'!$D$42,'418'!$D$44,'418'!$D$46,'418'!$D$48:$D$49,'418'!$D$51,'418'!$D$53,'418'!$D$55:$D$60,'418'!$D$62,'418'!$D$64</definedName>
    <definedName name="OSRRefD22x_0" localSheetId="82">'420'!$D$21,'420'!$D$23</definedName>
    <definedName name="OSRRefD22x_0" localSheetId="83">'423'!$D$20:$D$21,'423'!$D$23,'423'!$D$25,'423'!$D$27</definedName>
    <definedName name="OSRRefD22x_0" localSheetId="84">'424'!$D$20,'424'!$D$22,'424'!$D$24,'424'!$D$26</definedName>
    <definedName name="OSRRefD22x_0" localSheetId="85">'425'!$D$22:$D$26,'425'!$D$28,'425'!$D$30,'425'!$D$32,'425'!$D$34,'425'!$D$36:$D$37,'425'!$D$39,'425'!$D$41,'425'!$D$43</definedName>
    <definedName name="OSRRefD22x_0" localSheetId="88">'430'!$D$20:$D$27,'430'!$D$29,'430'!$D$31,'430'!$D$33,'430'!$D$35,'430'!$D$37:$D$38,'430'!$D$40,'430'!$D$42,'430'!$D$44</definedName>
    <definedName name="OSRRefD22x_0" localSheetId="89">'433'!$D$25:$D$33,'433'!$D$35:$D$40,'433'!$D$42,'433'!$D$44,'433'!$D$46,'433'!$D$48,'433'!$D$50,'433'!$D$52,'433'!$D$54,'433'!$D$56,'433'!$D$58,'433'!$D$60:$D$61,'433'!$D$63:$D$65,'433'!$D$67:$D$74,'433'!$D$76</definedName>
    <definedName name="OSRRefD22x_0" localSheetId="90">'435'!$D$22,'435'!$D$24,'435'!$D$26</definedName>
    <definedName name="OSRRefD22x_0" localSheetId="91">'444'!$D$25:$D$33,'444'!$D$35:$D$40,'444'!$D$42,'444'!$D$44,'444'!$D$46,'444'!$D$48,'444'!$D$50,'444'!$D$52,'444'!$D$54,'444'!$D$56,'444'!$D$58,'444'!$D$60:$D$61,'444'!$D$63:$D$66,'444'!$D$68,'444'!$D$70:$D$77,'444'!$D$79,'444'!$D$81</definedName>
    <definedName name="OSRRefD22x_0" localSheetId="92">'450'!$D$25:$D$33,'450'!$D$35:$D$39,'450'!$D$41,'450'!$D$43,'450'!$D$45,'450'!$D$47,'450'!$D$49,'450'!$D$51,'450'!$D$53,'450'!$D$55,'450'!$D$57,'450'!$D$59,'450'!$D$61:$D$62,'450'!$D$64:$D$66,'450'!$D$68:$D$73,'450'!$D$75,'450'!$D$77</definedName>
    <definedName name="OSRRefD22x_0" localSheetId="73">'491'!$D$27:$D$35,'491'!$D$37:$D$42,'491'!$D$44,'491'!$D$46,'491'!$D$48,'491'!$D$50:$D$51,'491'!$D$53,'491'!$D$55,'491'!$D$57,'491'!$D$59,'491'!$D$61,'491'!$D$63,'491'!$D$65,'491'!$D$67:$D$70,'491'!$D$72,'491'!$D$74:$D$77,'491'!$D$79,'491'!$D$81:$D$89,'491'!$D$91,'491'!$D$93,'491'!$D$95:$D$96,'491'!$D$98</definedName>
    <definedName name="OSRRefD22x_0" localSheetId="87">'492'!$D$27:$D$35,'492'!$D$37:$D$43,'492'!$D$45,'492'!$D$47,'492'!$D$49,'492'!$D$51,'492'!$D$53,'492'!$D$55,'492'!$D$57,'492'!$D$59,'492'!$D$61,'492'!$D$63,'492'!$D$65:$D$67,'492'!$D$69:$D$72,'492'!$D$74,'492'!$D$76:$D$83,'492'!$D$85,'492'!$D$87,'492'!$D$89:$D$90</definedName>
    <definedName name="OSRRefD22x_0" localSheetId="94">'501'!$D$21:$D$29,'501'!$D$31:$D$36,'501'!$D$38,'501'!$D$40,'501'!$D$42:$D$43,'501'!$D$45,'501'!$D$47,'501'!$D$49:$D$52,'501'!$D$54:$D$55,'501'!$D$57,'501'!$D$59</definedName>
    <definedName name="OSRRefD22x_0" localSheetId="39">'Div 2'!$D$20:$D$30,'Div 2'!$D$32:$D$37,'Div 2'!$D$39,'Div 2'!$D$41,'Div 2'!$D$43,'Div 2'!$D$45,'Div 2'!$D$47,'Div 2'!$D$49,'Div 2'!$D$51,'Div 2'!$D$53:$D$54,'Div 2'!$D$56,'Div 2'!$D$58,'Div 2'!$D$60:$D$62,'Div 2'!$D$64:$D$67,'Div 2'!$D$69,'Div 2'!$D$71:$D$72,'Div 2'!$D$74:$D$78,'Div 2'!$D$80:$D$81,'Div 2'!$D$83,'Div 2'!$D$85:$D$86</definedName>
    <definedName name="OSRRefD22x_0" localSheetId="47">'Div 3'!$D$136:$D$145,'Div 3'!$D$147:$D$153,'Div 3'!$D$155,'Div 3'!$D$157:$D$158,'Div 3'!$D$160,'Div 3'!$D$162:$D$163,'Div 3'!$D$165:$D$166,'Div 3'!$D$168,'Div 3'!$D$170,'Div 3'!$D$172,'Div 3'!$D$174:$D$175,'Div 3'!$D$177,'Div 3'!$D$179,'Div 3'!$D$181,'Div 3'!$D$183:$D$184,'Div 3'!$D$186,'Div 3'!$D$188,'Div 3'!$D$190:$D$193,'Div 3'!$D$195:$D$197,'Div 3'!$D$199:$D$203,'Div 3'!$D$205:$D$206,'Div 3'!$D$208:$D$214,'Div 3'!$D$216:$D$217,'Div 3'!$D$219,'Div 3'!$D$221:$D$223,'Div 3'!$D$225</definedName>
    <definedName name="OSRRefD22x_0" localSheetId="71">'Div 4'!$D$30:$D$38,'Div 4'!$D$40:$D$46,'Div 4'!$D$48,'Div 4'!$D$50,'Div 4'!$D$52,'Div 4'!$D$54:$D$55,'Div 4'!$D$57,'Div 4'!$D$59,'Div 4'!$D$61,'Div 4'!$D$63,'Div 4'!$D$65,'Div 4'!$D$67,'Div 4'!$D$69,'Div 4'!$D$71,'Div 4'!$D$73,'Div 4'!$D$75:$D$78,'Div 4'!$D$80,'Div 4'!$D$82:$D$85,'Div 4'!$D$87:$D$88,'Div 4'!$D$90:$D$98,'Div 4'!$D$100,'Div 4'!$D$102,'Div 4'!$D$104:$D$105,'Div 4'!$D$107</definedName>
    <definedName name="OSRRefD22x_0" localSheetId="93">'Div 5'!$D$21:$D$29,'Div 5'!$D$31:$D$36,'Div 5'!$D$38,'Div 5'!$D$40,'Div 5'!$D$42:$D$43,'Div 5'!$D$45,'Div 5'!$D$47,'Div 5'!$D$49:$D$52,'Div 5'!$D$54:$D$55,'Div 5'!$D$57,'Div 5'!$D$59</definedName>
    <definedName name="OSRRefD22x_0" localSheetId="61">'Div 6'!$D$55:$D$63,'Div 6'!$D$65:$D$69,'Div 6'!$D$71,'Div 6'!$D$73,'Div 6'!$D$75,'Div 6'!$D$77:$D$78,'Div 6'!$D$80,'Div 6'!$D$82,'Div 6'!$D$84,'Div 6'!$D$86:$D$89,'Div 6'!$D$91,'Div 6'!$D$93</definedName>
    <definedName name="OSRRefD22x_0" localSheetId="2">Summary!$D$163:$D$172,Summary!$D$174:$D$180,Summary!$D$182,Summary!$D$184:$D$185,Summary!$D$187,Summary!$D$189:$D$190,Summary!$D$192:$D$193,Summary!$D$195,Summary!$D$197,Summary!$D$199,Summary!$D$201:$D$202,Summary!$D$204,Summary!$D$206,Summary!$D$208,Summary!$D$210:$D$211,Summary!$D$213,Summary!$D$215,Summary!$D$217,Summary!$D$219:$D$222,Summary!$D$224:$D$226,Summary!$D$228:$D$232,Summary!$D$234:$D$235,Summary!$D$237:$D$245,Summary!$D$247:$D$248,Summary!$D$250,Summary!$D$252:$D$254,Summary!$D$256</definedName>
    <definedName name="OSRRefD25x_0" localSheetId="48">'300'!$D$218:$D$221</definedName>
    <definedName name="OSRRefD25x_0" localSheetId="49">'300 &amp; 317'!$D$241:$D$246</definedName>
    <definedName name="OSRRefD25x_0" localSheetId="50">'301'!$D$97</definedName>
    <definedName name="OSRRefD25x_0" localSheetId="51">'308'!$D$113:$D$115</definedName>
    <definedName name="OSRRefD25x_0" localSheetId="72">'310 &amp; 491'!$D$112:$D$114</definedName>
    <definedName name="OSRRefD25x_0" localSheetId="52">'311'!$D$113:$D$115</definedName>
    <definedName name="OSRRefD25x_0" localSheetId="57">'315'!$D$144:$D$145</definedName>
    <definedName name="OSRRefD25x_0" localSheetId="60">'316'!$D$79</definedName>
    <definedName name="OSRRefD25x_0" localSheetId="62">'317'!$D$96:$D$98</definedName>
    <definedName name="OSRRefD25x_0" localSheetId="63">'320'!$D$30</definedName>
    <definedName name="OSRRefD25x_0" localSheetId="56">'331'!$D$161:$D$162</definedName>
    <definedName name="OSRRefD25x_0" localSheetId="59">'332'!$D$81:$D$82</definedName>
    <definedName name="OSRRefD25x_0" localSheetId="54">'333'!$D$164:$D$165</definedName>
    <definedName name="OSRRefD25x_0" localSheetId="74">'405'!$D$82</definedName>
    <definedName name="OSRRefD25x_0" localSheetId="76">'411'!$D$72:$D$73</definedName>
    <definedName name="OSRRefD25x_0" localSheetId="80">'415'!$D$83</definedName>
    <definedName name="OSRRefD25x_0" localSheetId="81">'418'!$D$67</definedName>
    <definedName name="OSRRefD25x_0" localSheetId="83">'423'!$D$30</definedName>
    <definedName name="OSRRefD25x_0" localSheetId="86">'455'!$D$21:$D$22</definedName>
    <definedName name="OSRRefD25x_0" localSheetId="73">'491'!$D$101:$D$103</definedName>
    <definedName name="OSRRefD25x_0" localSheetId="94">'501'!$D$62</definedName>
    <definedName name="OSRRefD25x_0" localSheetId="47">'Div 3'!$D$228:$D$231</definedName>
    <definedName name="OSRRefD25x_0" localSheetId="71">'Div 4'!$D$110:$D$112</definedName>
    <definedName name="OSRRefD25x_0" localSheetId="93">'Div 5'!$D$62</definedName>
    <definedName name="OSRRefD25x_0" localSheetId="61">'Div 6'!$D$96:$D$98</definedName>
    <definedName name="OSRRefD25x_0" localSheetId="2">Summary!$D$259:$D$266</definedName>
    <definedName name="OSRRefH13x_0" localSheetId="48">'300'!$H$13:$H$80</definedName>
    <definedName name="OSRRefH13x_0" localSheetId="49">'300 &amp; 317'!$H$13:$H$94</definedName>
    <definedName name="OSRRefH13x_0" localSheetId="55">'307'!$H$13:$H$25</definedName>
    <definedName name="OSRRefH13x_0" localSheetId="51">'308'!$H$13:$H$38</definedName>
    <definedName name="OSRRefH13x_0" localSheetId="65">'309'!$H$13:$H$16</definedName>
    <definedName name="OSRRefH13x_0" localSheetId="64">'310'!$H$13:$H$23</definedName>
    <definedName name="OSRRefH13x_0" localSheetId="72">'310 &amp; 491'!$H$13:$H$25</definedName>
    <definedName name="OSRRefH13x_0" localSheetId="52">'311'!$H$13:$H$38</definedName>
    <definedName name="OSRRefH13x_0" localSheetId="66">'313'!$H$13:$H$16</definedName>
    <definedName name="OSRRefH13x_0" localSheetId="57">'315'!$H$13:$H$54</definedName>
    <definedName name="OSRRefH13x_0" localSheetId="60">'316'!$H$13:$H$25</definedName>
    <definedName name="OSRRefH13x_0" localSheetId="62">'317'!$H$13:$H$33</definedName>
    <definedName name="OSRRefH13x_0" localSheetId="67">'321'!$H$13:$H$16</definedName>
    <definedName name="OSRRefH13x_0" localSheetId="53">'324'!$H$13:$H$16</definedName>
    <definedName name="OSRRefH13x_0" localSheetId="69">'325'!$H$13:$H$14</definedName>
    <definedName name="OSRRefH13x_0" localSheetId="58">'326'!$H$13:$H$36</definedName>
    <definedName name="OSRRefH13x_0" localSheetId="70">'327'!$H$13:$H$14</definedName>
    <definedName name="OSRRefH13x_0" localSheetId="56">'331'!$H$13:$H$54</definedName>
    <definedName name="OSRRefH13x_0" localSheetId="59">'332'!$H$13:$H$25</definedName>
    <definedName name="OSRRefH13x_0" localSheetId="54">'333'!$H$13:$H$56</definedName>
    <definedName name="OSRRefH13x_0" localSheetId="74">'405'!$H$13:$H$14</definedName>
    <definedName name="OSRRefH13x_0" localSheetId="79">'414'!$H$13</definedName>
    <definedName name="OSRRefH13x_0" localSheetId="80">'415'!$H$13:$H$14</definedName>
    <definedName name="OSRRefH13x_0" localSheetId="82">'420'!$H$13</definedName>
    <definedName name="OSRRefH13x_0" localSheetId="85">'425'!$H$13</definedName>
    <definedName name="OSRRefH13x_0" localSheetId="89">'433'!$H$13:$H$15</definedName>
    <definedName name="OSRRefH13x_0" localSheetId="90">'435'!$H$13:$H$14</definedName>
    <definedName name="OSRRefH13x_0" localSheetId="91">'444'!$H$13:$H$15</definedName>
    <definedName name="OSRRefH13x_0" localSheetId="92">'450'!$H$13:$H$15</definedName>
    <definedName name="OSRRefH13x_0" localSheetId="73">'491'!$H$13:$H$17</definedName>
    <definedName name="OSRRefH13x_0" localSheetId="87">'492'!$H$13:$H$17</definedName>
    <definedName name="OSRRefH13x_0" localSheetId="94">'501'!$H$13</definedName>
    <definedName name="OSRRefH13x_0" localSheetId="47">'Div 3'!$H$13:$H$85</definedName>
    <definedName name="OSRRefH13x_0" localSheetId="71">'Div 4'!$H$13:$H$20</definedName>
    <definedName name="OSRRefH13x_0" localSheetId="93">'Div 5'!$H$13</definedName>
    <definedName name="OSRRefH13x_0" localSheetId="61">'Div 6'!$H$13:$H$33</definedName>
    <definedName name="OSRRefH13x_0" localSheetId="2">Summary!$H$13:$H$103</definedName>
    <definedName name="OSRRefH16x_0" localSheetId="48">'300'!$H$83:$H$123</definedName>
    <definedName name="OSRRefH16x_0" localSheetId="49">'300 &amp; 317'!$H$97:$H$146</definedName>
    <definedName name="OSRRefH16x_0" localSheetId="50">'301'!$H$15</definedName>
    <definedName name="OSRRefH16x_0" localSheetId="55">'307'!$H$28:$H$37</definedName>
    <definedName name="OSRRefH16x_0" localSheetId="51">'308'!$H$41:$H$57</definedName>
    <definedName name="OSRRefH16x_0" localSheetId="65">'309'!$H$19:$H$20</definedName>
    <definedName name="OSRRefH16x_0" localSheetId="64">'310'!$H$26:$H$28</definedName>
    <definedName name="OSRRefH16x_0" localSheetId="72">'310 &amp; 491'!$H$28:$H$30</definedName>
    <definedName name="OSRRefH16x_0" localSheetId="52">'311'!$H$41:$H$57</definedName>
    <definedName name="OSRRefH16x_0" localSheetId="66">'313'!$H$19</definedName>
    <definedName name="OSRRefH16x_0" localSheetId="57">'315'!$H$57:$H$81</definedName>
    <definedName name="OSRRefH16x_0" localSheetId="60">'316'!$H$28</definedName>
    <definedName name="OSRRefH16x_0" localSheetId="62">'317'!$H$36:$H$49</definedName>
    <definedName name="OSRRefH16x_0" localSheetId="63">'320'!$H$15:$H$16</definedName>
    <definedName name="OSRRefH16x_0" localSheetId="67">'321'!$H$19:$H$21</definedName>
    <definedName name="OSRRefH16x_0" localSheetId="68">'322'!$H$15</definedName>
    <definedName name="OSRRefH16x_0" localSheetId="53">'324'!$H$19:$H$21</definedName>
    <definedName name="OSRRefH16x_0" localSheetId="69">'325'!$H$17:$H$18</definedName>
    <definedName name="OSRRefH16x_0" localSheetId="58">'326'!$H$39:$H$46</definedName>
    <definedName name="OSRRefH16x_0" localSheetId="70">'327'!$H$17:$H$18</definedName>
    <definedName name="OSRRefH16x_0" localSheetId="56">'331'!$H$57:$H$82</definedName>
    <definedName name="OSRRefH16x_0" localSheetId="59">'332'!$H$28:$H$30</definedName>
    <definedName name="OSRRefH16x_0" localSheetId="54">'333'!$H$59:$H$84</definedName>
    <definedName name="OSRRefH16x_0" localSheetId="74">'405'!$H$17:$H$18</definedName>
    <definedName name="OSRRefH16x_0" localSheetId="79">'414'!$H$16</definedName>
    <definedName name="OSRRefH16x_0" localSheetId="80">'415'!$H$17:$H$18</definedName>
    <definedName name="OSRRefH16x_0" localSheetId="81">'418'!$H$15</definedName>
    <definedName name="OSRRefH16x_0" localSheetId="85">'425'!$H$16</definedName>
    <definedName name="OSRRefH16x_0" localSheetId="89">'433'!$H$18:$H$19</definedName>
    <definedName name="OSRRefH16x_0" localSheetId="91">'444'!$H$18:$H$19</definedName>
    <definedName name="OSRRefH16x_0" localSheetId="92">'450'!$H$18:$H$19</definedName>
    <definedName name="OSRRefH16x_0" localSheetId="73">'491'!$H$20:$H$21</definedName>
    <definedName name="OSRRefH16x_0" localSheetId="87">'492'!$H$20:$H$21</definedName>
    <definedName name="OSRRefH16x_0" localSheetId="47">'Div 3'!$H$88:$H$130</definedName>
    <definedName name="OSRRefH16x_0" localSheetId="71">'Div 4'!$H$23:$H$24</definedName>
    <definedName name="OSRRefH16x_0" localSheetId="61">'Div 6'!$H$36:$H$49</definedName>
    <definedName name="OSRRefH16x_0" localSheetId="2">Summary!$H$106:$H$157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'300'!$H$129:$H$138</definedName>
    <definedName name="OSRRefH22_0x_0" localSheetId="49">'300 &amp; 317'!$H$152:$H$161</definedName>
    <definedName name="OSRRefH22_0x_0" localSheetId="50">'301'!$H$21:$H$30</definedName>
    <definedName name="OSRRefH22_0x_0" localSheetId="55">'307'!$H$43:$H$45</definedName>
    <definedName name="OSRRefH22_0x_0" localSheetId="51">'308'!$H$63:$H$71</definedName>
    <definedName name="OSRRefH22_0x_0" localSheetId="65">'309'!$H$26:$H$27</definedName>
    <definedName name="OSRRefH22_0x_0" localSheetId="64">'310'!$H$34:$H$42</definedName>
    <definedName name="OSRRefH22_0x_0" localSheetId="72">'310 &amp; 491'!$H$36:$H$44</definedName>
    <definedName name="OSRRefH22_0x_0" localSheetId="52">'311'!$H$63:$H$71</definedName>
    <definedName name="OSRRefH22_0x_0" localSheetId="66">'313'!$H$25:$H$32</definedName>
    <definedName name="OSRRefH22_0x_0" localSheetId="57">'315'!$H$87:$H$94</definedName>
    <definedName name="OSRRefH22_0x_0" localSheetId="60">'316'!$H$34:$H$41</definedName>
    <definedName name="OSRRefH22_0x_0" localSheetId="62">'317'!$H$55:$H$63</definedName>
    <definedName name="OSRRefH22_0x_0" localSheetId="63">'320'!$H$22:$H$23</definedName>
    <definedName name="OSRRefH22_0x_0" localSheetId="67">'321'!$H$27:$H$35</definedName>
    <definedName name="OSRRefH22_0x_0" localSheetId="68">'322'!$H$21:$H$25</definedName>
    <definedName name="OSRRefH22_0x_0" localSheetId="69">'325'!$H$24:$H$31</definedName>
    <definedName name="OSRRefH22_0x_0" localSheetId="58">'326'!$H$52:$H$59</definedName>
    <definedName name="OSRRefH22_0x_0" localSheetId="70">'327'!$H$24</definedName>
    <definedName name="OSRRefH22_0x_0" localSheetId="56">'331'!$H$88:$H$95</definedName>
    <definedName name="OSRRefH22_0x_0" localSheetId="59">'332'!$H$36:$H$43</definedName>
    <definedName name="OSRRefH22_0x_0" localSheetId="54">'333'!$H$90:$H$97</definedName>
    <definedName name="OSRRefH22_0x_0" localSheetId="74">'405'!$H$24:$H$31</definedName>
    <definedName name="OSRRefH22_0x_0" localSheetId="75">'406'!$H$20</definedName>
    <definedName name="OSRRefH22_0x_0" localSheetId="76">'411'!$H$20:$H$27</definedName>
    <definedName name="OSRRefH22_0x_0" localSheetId="77">'412'!$H$20</definedName>
    <definedName name="OSRRefH22_0x_0" localSheetId="78">'413'!$H$20:$H$24</definedName>
    <definedName name="OSRRefH22_0x_0" localSheetId="79">'414'!$H$22</definedName>
    <definedName name="OSRRefH22_0x_0" localSheetId="80">'415'!$H$24:$H$32</definedName>
    <definedName name="OSRRefH22_0x_0" localSheetId="81">'418'!$H$21:$H$28</definedName>
    <definedName name="OSRRefH22_0x_0" localSheetId="82">'420'!$H$21</definedName>
    <definedName name="OSRRefH22_0x_0" localSheetId="83">'423'!$H$20:$H$21</definedName>
    <definedName name="OSRRefH22_0x_0" localSheetId="84">'424'!$H$20</definedName>
    <definedName name="OSRRefH22_0x_0" localSheetId="85">'425'!$H$22:$H$26</definedName>
    <definedName name="OSRRefH22_0x_0" localSheetId="88">'430'!$H$20:$H$27</definedName>
    <definedName name="OSRRefH22_0x_0" localSheetId="89">'433'!$H$25:$H$33</definedName>
    <definedName name="OSRRefH22_0x_0" localSheetId="90">'435'!$H$22</definedName>
    <definedName name="OSRRefH22_0x_0" localSheetId="91">'444'!$H$25:$H$33</definedName>
    <definedName name="OSRRefH22_0x_0" localSheetId="92">'450'!$H$25:$H$33</definedName>
    <definedName name="OSRRefH22_0x_0" localSheetId="73">'491'!$H$27:$H$35</definedName>
    <definedName name="OSRRefH22_0x_0" localSheetId="87">'492'!$H$27:$H$35</definedName>
    <definedName name="OSRRefH22_0x_0" localSheetId="94">'501'!$H$21:$H$29</definedName>
    <definedName name="OSRRefH22_0x_0" localSheetId="39">'Div 2'!$H$20:$H$30</definedName>
    <definedName name="OSRRefH22_0x_0" localSheetId="47">'Div 3'!$H$136:$H$145</definedName>
    <definedName name="OSRRefH22_0x_0" localSheetId="71">'Div 4'!$H$30:$H$38</definedName>
    <definedName name="OSRRefH22_0x_0" localSheetId="93">'Div 5'!$H$21:$H$29</definedName>
    <definedName name="OSRRefH22_0x_0" localSheetId="61">'Div 6'!$H$55:$H$63</definedName>
    <definedName name="OSRRefH22_0x_0" localSheetId="2">Summary!$H$163:$H$172</definedName>
    <definedName name="OSRRefH22_10x_0" localSheetId="41">'201'!$H$52:$H$54</definedName>
    <definedName name="OSRRefH22_10x_0" localSheetId="42">'202'!$H$54</definedName>
    <definedName name="OSRRefH22_10x_0" localSheetId="43">'203'!$H$56:$H$59</definedName>
    <definedName name="OSRRefH22_10x_0" localSheetId="48">'300'!$H$167:$H$168</definedName>
    <definedName name="OSRRefH22_10x_0" localSheetId="49">'300 &amp; 317'!$H$190:$H$191</definedName>
    <definedName name="OSRRefH22_10x_0" localSheetId="50">'301'!$H$59</definedName>
    <definedName name="OSRRefH22_10x_0" localSheetId="55">'307'!$H$71</definedName>
    <definedName name="OSRRefH22_10x_0" localSheetId="51">'308'!$H$101:$H$102</definedName>
    <definedName name="OSRRefH22_10x_0" localSheetId="65">'309'!$H$50:$H$51</definedName>
    <definedName name="OSRRefH22_10x_0" localSheetId="64">'310'!$H$68</definedName>
    <definedName name="OSRRefH22_10x_0" localSheetId="72">'310 &amp; 491'!$H$72</definedName>
    <definedName name="OSRRefH22_10x_0" localSheetId="52">'311'!$H$101:$H$102</definedName>
    <definedName name="OSRRefH22_10x_0" localSheetId="57">'315'!$H$122:$H$123</definedName>
    <definedName name="OSRRefH22_10x_0" localSheetId="60">'316'!$H$66</definedName>
    <definedName name="OSRRefH22_10x_0" localSheetId="62">'317'!$H$91</definedName>
    <definedName name="OSRRefH22_10x_0" localSheetId="67">'321'!$H$63:$H$67</definedName>
    <definedName name="OSRRefH22_10x_0" localSheetId="69">'325'!$H$54:$H$55</definedName>
    <definedName name="OSRRefH22_10x_0" localSheetId="58">'326'!$H$84</definedName>
    <definedName name="OSRRefH22_10x_0" localSheetId="56">'331'!$H$122</definedName>
    <definedName name="OSRRefH22_10x_0" localSheetId="59">'332'!$H$68</definedName>
    <definedName name="OSRRefH22_10x_0" localSheetId="54">'333'!$H$124</definedName>
    <definedName name="OSRRefH22_10x_0" localSheetId="74">'405'!$H$55:$H$56</definedName>
    <definedName name="OSRRefH22_10x_0" localSheetId="76">'411'!$H$55:$H$57</definedName>
    <definedName name="OSRRefH22_10x_0" localSheetId="80">'415'!$H$57</definedName>
    <definedName name="OSRRefH22_10x_0" localSheetId="81">'418'!$H$53</definedName>
    <definedName name="OSRRefH22_10x_0" localSheetId="89">'433'!$H$58</definedName>
    <definedName name="OSRRefH22_10x_0" localSheetId="91">'444'!$H$58</definedName>
    <definedName name="OSRRefH22_10x_0" localSheetId="92">'450'!$H$57</definedName>
    <definedName name="OSRRefH22_10x_0" localSheetId="73">'491'!$H$61</definedName>
    <definedName name="OSRRefH22_10x_0" localSheetId="87">'492'!$H$61</definedName>
    <definedName name="OSRRefH22_10x_0" localSheetId="94">'501'!$H$59</definedName>
    <definedName name="OSRRefH22_10x_0" localSheetId="39">'Div 2'!$H$56</definedName>
    <definedName name="OSRRefH22_10x_0" localSheetId="47">'Div 3'!$H$174:$H$175</definedName>
    <definedName name="OSRRefH22_10x_0" localSheetId="71">'Div 4'!$H$65</definedName>
    <definedName name="OSRRefH22_10x_0" localSheetId="93">'Div 5'!$H$59</definedName>
    <definedName name="OSRRefH22_10x_0" localSheetId="61">'Div 6'!$H$91</definedName>
    <definedName name="OSRRefH22_10x_0" localSheetId="2">Summary!$H$201:$H$202</definedName>
    <definedName name="OSRRefH22_11x_0" localSheetId="41">'201'!$H$56</definedName>
    <definedName name="OSRRefH22_11x_0" localSheetId="42">'202'!$H$56</definedName>
    <definedName name="OSRRefH22_11x_0" localSheetId="43">'203'!$H$61</definedName>
    <definedName name="OSRRefH22_11x_0" localSheetId="48">'300'!$H$170</definedName>
    <definedName name="OSRRefH22_11x_0" localSheetId="49">'300 &amp; 317'!$H$193</definedName>
    <definedName name="OSRRefH22_11x_0" localSheetId="50">'301'!$H$61</definedName>
    <definedName name="OSRRefH22_11x_0" localSheetId="55">'307'!$H$73:$H$76</definedName>
    <definedName name="OSRRefH22_11x_0" localSheetId="51">'308'!$H$104:$H$105</definedName>
    <definedName name="OSRRefH22_11x_0" localSheetId="65">'309'!$H$53</definedName>
    <definedName name="OSRRefH22_11x_0" localSheetId="64">'310'!$H$70:$H$71</definedName>
    <definedName name="OSRRefH22_11x_0" localSheetId="72">'310 &amp; 491'!$H$74</definedName>
    <definedName name="OSRRefH22_11x_0" localSheetId="52">'311'!$H$104:$H$105</definedName>
    <definedName name="OSRRefH22_11x_0" localSheetId="57">'315'!$H$125:$H$126</definedName>
    <definedName name="OSRRefH22_11x_0" localSheetId="60">'316'!$H$68:$H$72</definedName>
    <definedName name="OSRRefH22_11x_0" localSheetId="62">'317'!$H$93</definedName>
    <definedName name="OSRRefH22_11x_0" localSheetId="67">'321'!$H$69</definedName>
    <definedName name="OSRRefH22_11x_0" localSheetId="69">'325'!$H$57:$H$60</definedName>
    <definedName name="OSRRefH22_11x_0" localSheetId="58">'326'!$H$86:$H$88</definedName>
    <definedName name="OSRRefH22_11x_0" localSheetId="56">'331'!$H$124:$H$125</definedName>
    <definedName name="OSRRefH22_11x_0" localSheetId="59">'332'!$H$70:$H$74</definedName>
    <definedName name="OSRRefH22_11x_0" localSheetId="54">'333'!$H$126:$H$127</definedName>
    <definedName name="OSRRefH22_11x_0" localSheetId="74">'405'!$H$58:$H$61</definedName>
    <definedName name="OSRRefH22_11x_0" localSheetId="76">'411'!$H$59</definedName>
    <definedName name="OSRRefH22_11x_0" localSheetId="80">'415'!$H$59:$H$60</definedName>
    <definedName name="OSRRefH22_11x_0" localSheetId="81">'418'!$H$55:$H$60</definedName>
    <definedName name="OSRRefH22_11x_0" localSheetId="89">'433'!$H$60:$H$61</definedName>
    <definedName name="OSRRefH22_11x_0" localSheetId="91">'444'!$H$60:$H$61</definedName>
    <definedName name="OSRRefH22_11x_0" localSheetId="92">'450'!$H$59</definedName>
    <definedName name="OSRRefH22_11x_0" localSheetId="73">'491'!$H$63</definedName>
    <definedName name="OSRRefH22_11x_0" localSheetId="87">'492'!$H$63</definedName>
    <definedName name="OSRRefH22_11x_0" localSheetId="39">'Div 2'!$H$58</definedName>
    <definedName name="OSRRefH22_11x_0" localSheetId="47">'Div 3'!$H$177</definedName>
    <definedName name="OSRRefH22_11x_0" localSheetId="71">'Div 4'!$H$67</definedName>
    <definedName name="OSRRefH22_11x_0" localSheetId="61">'Div 6'!$H$93</definedName>
    <definedName name="OSRRefH22_11x_0" localSheetId="2">Summary!$H$204</definedName>
    <definedName name="OSRRefH22_12x_0" localSheetId="41">'201'!$H$58:$H$59</definedName>
    <definedName name="OSRRefH22_12x_0" localSheetId="42">'202'!$H$58</definedName>
    <definedName name="OSRRefH22_12x_0" localSheetId="43">'203'!$H$63</definedName>
    <definedName name="OSRRefH22_12x_0" localSheetId="48">'300'!$H$172</definedName>
    <definedName name="OSRRefH22_12x_0" localSheetId="49">'300 &amp; 317'!$H$195</definedName>
    <definedName name="OSRRefH22_12x_0" localSheetId="50">'301'!$H$63</definedName>
    <definedName name="OSRRefH22_12x_0" localSheetId="55">'307'!$H$78</definedName>
    <definedName name="OSRRefH22_12x_0" localSheetId="51">'308'!$H$107:$H$108</definedName>
    <definedName name="OSRRefH22_12x_0" localSheetId="65">'309'!$H$55</definedName>
    <definedName name="OSRRefH22_12x_0" localSheetId="64">'310'!$H$73</definedName>
    <definedName name="OSRRefH22_12x_0" localSheetId="72">'310 &amp; 491'!$H$76</definedName>
    <definedName name="OSRRefH22_12x_0" localSheetId="52">'311'!$H$107:$H$108</definedName>
    <definedName name="OSRRefH22_12x_0" localSheetId="57">'315'!$H$128:$H$129</definedName>
    <definedName name="OSRRefH22_12x_0" localSheetId="60">'316'!$H$74</definedName>
    <definedName name="OSRRefH22_12x_0" localSheetId="67">'321'!$H$71</definedName>
    <definedName name="OSRRefH22_12x_0" localSheetId="69">'325'!$H$62:$H$67</definedName>
    <definedName name="OSRRefH22_12x_0" localSheetId="58">'326'!$H$90:$H$92</definedName>
    <definedName name="OSRRefH22_12x_0" localSheetId="56">'331'!$H$127</definedName>
    <definedName name="OSRRefH22_12x_0" localSheetId="59">'332'!$H$76</definedName>
    <definedName name="OSRRefH22_12x_0" localSheetId="54">'333'!$H$129</definedName>
    <definedName name="OSRRefH22_12x_0" localSheetId="74">'405'!$H$63</definedName>
    <definedName name="OSRRefH22_12x_0" localSheetId="76">'411'!$H$61:$H$62</definedName>
    <definedName name="OSRRefH22_12x_0" localSheetId="80">'415'!$H$62:$H$65</definedName>
    <definedName name="OSRRefH22_12x_0" localSheetId="81">'418'!$H$62</definedName>
    <definedName name="OSRRefH22_12x_0" localSheetId="89">'433'!$H$63:$H$65</definedName>
    <definedName name="OSRRefH22_12x_0" localSheetId="91">'444'!$H$63:$H$66</definedName>
    <definedName name="OSRRefH22_12x_0" localSheetId="92">'450'!$H$61:$H$62</definedName>
    <definedName name="OSRRefH22_12x_0" localSheetId="73">'491'!$H$65</definedName>
    <definedName name="OSRRefH22_12x_0" localSheetId="87">'492'!$H$65:$H$67</definedName>
    <definedName name="OSRRefH22_12x_0" localSheetId="39">'Div 2'!$H$60:$H$62</definedName>
    <definedName name="OSRRefH22_12x_0" localSheetId="47">'Div 3'!$H$179</definedName>
    <definedName name="OSRRefH22_12x_0" localSheetId="71">'Div 4'!$H$69</definedName>
    <definedName name="OSRRefH22_12x_0" localSheetId="2">Summary!$H$206</definedName>
    <definedName name="OSRRefH22_13x_0" localSheetId="41">'201'!$H$61</definedName>
    <definedName name="OSRRefH22_13x_0" localSheetId="43">'203'!$H$65</definedName>
    <definedName name="OSRRefH22_13x_0" localSheetId="48">'300'!$H$174:$H$175</definedName>
    <definedName name="OSRRefH22_13x_0" localSheetId="49">'300 &amp; 317'!$H$197:$H$198</definedName>
    <definedName name="OSRRefH22_13x_0" localSheetId="50">'301'!$H$65</definedName>
    <definedName name="OSRRefH22_13x_0" localSheetId="55">'307'!$H$80</definedName>
    <definedName name="OSRRefH22_13x_0" localSheetId="51">'308'!$H$110</definedName>
    <definedName name="OSRRefH22_13x_0" localSheetId="64">'310'!$H$75:$H$78</definedName>
    <definedName name="OSRRefH22_13x_0" localSheetId="72">'310 &amp; 491'!$H$78:$H$81</definedName>
    <definedName name="OSRRefH22_13x_0" localSheetId="52">'311'!$H$110</definedName>
    <definedName name="OSRRefH22_13x_0" localSheetId="57">'315'!$H$131:$H$135</definedName>
    <definedName name="OSRRefH22_13x_0" localSheetId="60">'316'!$H$76</definedName>
    <definedName name="OSRRefH22_13x_0" localSheetId="67">'321'!$H$73</definedName>
    <definedName name="OSRRefH22_13x_0" localSheetId="69">'325'!$H$69</definedName>
    <definedName name="OSRRefH22_13x_0" localSheetId="58">'326'!$H$94:$H$95</definedName>
    <definedName name="OSRRefH22_13x_0" localSheetId="56">'331'!$H$129</definedName>
    <definedName name="OSRRefH22_13x_0" localSheetId="59">'332'!$H$78</definedName>
    <definedName name="OSRRefH22_13x_0" localSheetId="54">'333'!$H$131</definedName>
    <definedName name="OSRRefH22_13x_0" localSheetId="74">'405'!$H$65:$H$73</definedName>
    <definedName name="OSRRefH22_13x_0" localSheetId="76">'411'!$H$64</definedName>
    <definedName name="OSRRefH22_13x_0" localSheetId="80">'415'!$H$67</definedName>
    <definedName name="OSRRefH22_13x_0" localSheetId="81">'418'!$H$64</definedName>
    <definedName name="OSRRefH22_13x_0" localSheetId="89">'433'!$H$67:$H$74</definedName>
    <definedName name="OSRRefH22_13x_0" localSheetId="91">'444'!$H$68</definedName>
    <definedName name="OSRRefH22_13x_0" localSheetId="92">'450'!$H$64:$H$66</definedName>
    <definedName name="OSRRefH22_13x_0" localSheetId="73">'491'!$H$67:$H$70</definedName>
    <definedName name="OSRRefH22_13x_0" localSheetId="87">'492'!$H$69:$H$72</definedName>
    <definedName name="OSRRefH22_13x_0" localSheetId="39">'Div 2'!$H$64:$H$67</definedName>
    <definedName name="OSRRefH22_13x_0" localSheetId="47">'Div 3'!$H$181</definedName>
    <definedName name="OSRRefH22_13x_0" localSheetId="71">'Div 4'!$H$71</definedName>
    <definedName name="OSRRefH22_13x_0" localSheetId="2">Summary!$H$208</definedName>
    <definedName name="OSRRefH22_14x_0" localSheetId="41">'201'!$H$63</definedName>
    <definedName name="OSRRefH22_14x_0" localSheetId="48">'300'!$H$177</definedName>
    <definedName name="OSRRefH22_14x_0" localSheetId="49">'300 &amp; 317'!$H$200</definedName>
    <definedName name="OSRRefH22_14x_0" localSheetId="50">'301'!$H$67</definedName>
    <definedName name="OSRRefH22_14x_0" localSheetId="64">'310'!$H$80:$H$85</definedName>
    <definedName name="OSRRefH22_14x_0" localSheetId="72">'310 &amp; 491'!$H$83</definedName>
    <definedName name="OSRRefH22_14x_0" localSheetId="57">'315'!$H$137</definedName>
    <definedName name="OSRRefH22_14x_0" localSheetId="69">'325'!$H$71</definedName>
    <definedName name="OSRRefH22_14x_0" localSheetId="58">'326'!$H$97:$H$100</definedName>
    <definedName name="OSRRefH22_14x_0" localSheetId="56">'331'!$H$131:$H$133</definedName>
    <definedName name="OSRRefH22_14x_0" localSheetId="54">'333'!$H$133:$H$135</definedName>
    <definedName name="OSRRefH22_14x_0" localSheetId="74">'405'!$H$75</definedName>
    <definedName name="OSRRefH22_14x_0" localSheetId="76">'411'!$H$66:$H$67</definedName>
    <definedName name="OSRRefH22_14x_0" localSheetId="80">'415'!$H$69:$H$74</definedName>
    <definedName name="OSRRefH22_14x_0" localSheetId="89">'433'!$H$76</definedName>
    <definedName name="OSRRefH22_14x_0" localSheetId="91">'444'!$H$70:$H$77</definedName>
    <definedName name="OSRRefH22_14x_0" localSheetId="92">'450'!$H$68:$H$73</definedName>
    <definedName name="OSRRefH22_14x_0" localSheetId="73">'491'!$H$72</definedName>
    <definedName name="OSRRefH22_14x_0" localSheetId="87">'492'!$H$74</definedName>
    <definedName name="OSRRefH22_14x_0" localSheetId="39">'Div 2'!$H$69</definedName>
    <definedName name="OSRRefH22_14x_0" localSheetId="47">'Div 3'!$H$183:$H$184</definedName>
    <definedName name="OSRRefH22_14x_0" localSheetId="71">'Div 4'!$H$73</definedName>
    <definedName name="OSRRefH22_14x_0" localSheetId="2">Summary!$H$210:$H$211</definedName>
    <definedName name="OSRRefH22_15x_0" localSheetId="48">'300'!$H$179</definedName>
    <definedName name="OSRRefH22_15x_0" localSheetId="49">'300 &amp; 317'!$H$202</definedName>
    <definedName name="OSRRefH22_15x_0" localSheetId="50">'301'!$H$69:$H$72</definedName>
    <definedName name="OSRRefH22_15x_0" localSheetId="64">'310'!$H$87</definedName>
    <definedName name="OSRRefH22_15x_0" localSheetId="72">'310 &amp; 491'!$H$85:$H$88</definedName>
    <definedName name="OSRRefH22_15x_0" localSheetId="57">'315'!$H$139</definedName>
    <definedName name="OSRRefH22_15x_0" localSheetId="69">'325'!$H$73</definedName>
    <definedName name="OSRRefH22_15x_0" localSheetId="58">'326'!$H$102</definedName>
    <definedName name="OSRRefH22_15x_0" localSheetId="56">'331'!$H$135:$H$136</definedName>
    <definedName name="OSRRefH22_15x_0" localSheetId="54">'333'!$H$137:$H$138</definedName>
    <definedName name="OSRRefH22_15x_0" localSheetId="74">'405'!$H$77</definedName>
    <definedName name="OSRRefH22_15x_0" localSheetId="76">'411'!$H$69</definedName>
    <definedName name="OSRRefH22_15x_0" localSheetId="80">'415'!$H$76</definedName>
    <definedName name="OSRRefH22_15x_0" localSheetId="91">'444'!$H$79</definedName>
    <definedName name="OSRRefH22_15x_0" localSheetId="92">'450'!$H$75</definedName>
    <definedName name="OSRRefH22_15x_0" localSheetId="73">'491'!$H$74:$H$77</definedName>
    <definedName name="OSRRefH22_15x_0" localSheetId="87">'492'!$H$76:$H$83</definedName>
    <definedName name="OSRRefH22_15x_0" localSheetId="39">'Div 2'!$H$71:$H$72</definedName>
    <definedName name="OSRRefH22_15x_0" localSheetId="47">'Div 3'!$H$186</definedName>
    <definedName name="OSRRefH22_15x_0" localSheetId="71">'Div 4'!$H$75:$H$78</definedName>
    <definedName name="OSRRefH22_15x_0" localSheetId="2">Summary!$H$213</definedName>
    <definedName name="OSRRefH22_16x_0" localSheetId="48">'300'!$H$181:$H$184</definedName>
    <definedName name="OSRRefH22_16x_0" localSheetId="49">'300 &amp; 317'!$H$204:$H$207</definedName>
    <definedName name="OSRRefH22_16x_0" localSheetId="50">'301'!$H$74:$H$76</definedName>
    <definedName name="OSRRefH22_16x_0" localSheetId="64">'310'!$H$89</definedName>
    <definedName name="OSRRefH22_16x_0" localSheetId="72">'310 &amp; 491'!$H$90</definedName>
    <definedName name="OSRRefH22_16x_0" localSheetId="57">'315'!$H$141</definedName>
    <definedName name="OSRRefH22_16x_0" localSheetId="58">'326'!$H$104</definedName>
    <definedName name="OSRRefH22_16x_0" localSheetId="56">'331'!$H$138:$H$140</definedName>
    <definedName name="OSRRefH22_16x_0" localSheetId="54">'333'!$H$140:$H$143</definedName>
    <definedName name="OSRRefH22_16x_0" localSheetId="74">'405'!$H$79</definedName>
    <definedName name="OSRRefH22_16x_0" localSheetId="80">'415'!$H$78</definedName>
    <definedName name="OSRRefH22_16x_0" localSheetId="91">'444'!$H$81</definedName>
    <definedName name="OSRRefH22_16x_0" localSheetId="92">'450'!$H$77</definedName>
    <definedName name="OSRRefH22_16x_0" localSheetId="73">'491'!$H$79</definedName>
    <definedName name="OSRRefH22_16x_0" localSheetId="87">'492'!$H$85</definedName>
    <definedName name="OSRRefH22_16x_0" localSheetId="39">'Div 2'!$H$74:$H$78</definedName>
    <definedName name="OSRRefH22_16x_0" localSheetId="47">'Div 3'!$H$188</definedName>
    <definedName name="OSRRefH22_16x_0" localSheetId="71">'Div 4'!$H$80</definedName>
    <definedName name="OSRRefH22_16x_0" localSheetId="2">Summary!$H$215</definedName>
    <definedName name="OSRRefH22_17x_0" localSheetId="48">'300'!$H$186:$H$188</definedName>
    <definedName name="OSRRefH22_17x_0" localSheetId="49">'300 &amp; 317'!$H$209:$H$211</definedName>
    <definedName name="OSRRefH22_17x_0" localSheetId="50">'301'!$H$78</definedName>
    <definedName name="OSRRefH22_17x_0" localSheetId="64">'310'!$H$91</definedName>
    <definedName name="OSRRefH22_17x_0" localSheetId="72">'310 &amp; 491'!$H$92:$H$100</definedName>
    <definedName name="OSRRefH22_17x_0" localSheetId="58">'326'!$H$106</definedName>
    <definedName name="OSRRefH22_17x_0" localSheetId="56">'331'!$H$142:$H$143</definedName>
    <definedName name="OSRRefH22_17x_0" localSheetId="54">'333'!$H$145:$H$146</definedName>
    <definedName name="OSRRefH22_17x_0" localSheetId="80">'415'!$H$80</definedName>
    <definedName name="OSRRefH22_17x_0" localSheetId="73">'491'!$H$81:$H$89</definedName>
    <definedName name="OSRRefH22_17x_0" localSheetId="87">'492'!$H$87</definedName>
    <definedName name="OSRRefH22_17x_0" localSheetId="39">'Div 2'!$H$80:$H$81</definedName>
    <definedName name="OSRRefH22_17x_0" localSheetId="47">'Div 3'!$H$190:$H$193</definedName>
    <definedName name="OSRRefH22_17x_0" localSheetId="71">'Div 4'!$H$82:$H$85</definedName>
    <definedName name="OSRRefH22_17x_0" localSheetId="2">Summary!$H$217</definedName>
    <definedName name="OSRRefH22_18x_0" localSheetId="48">'300'!$H$190:$H$193</definedName>
    <definedName name="OSRRefH22_18x_0" localSheetId="49">'300 &amp; 317'!$H$213:$H$216</definedName>
    <definedName name="OSRRefH22_18x_0" localSheetId="50">'301'!$H$80:$H$85</definedName>
    <definedName name="OSRRefH22_18x_0" localSheetId="72">'310 &amp; 491'!$H$102</definedName>
    <definedName name="OSRRefH22_18x_0" localSheetId="56">'331'!$H$145:$H$150</definedName>
    <definedName name="OSRRefH22_18x_0" localSheetId="54">'333'!$H$148:$H$153</definedName>
    <definedName name="OSRRefH22_18x_0" localSheetId="73">'491'!$H$91</definedName>
    <definedName name="OSRRefH22_18x_0" localSheetId="87">'492'!$H$89:$H$90</definedName>
    <definedName name="OSRRefH22_18x_0" localSheetId="39">'Div 2'!$H$83</definedName>
    <definedName name="OSRRefH22_18x_0" localSheetId="47">'Div 3'!$H$195:$H$197</definedName>
    <definedName name="OSRRefH22_18x_0" localSheetId="71">'Div 4'!$H$87:$H$88</definedName>
    <definedName name="OSRRefH22_18x_0" localSheetId="2">Summary!$H$219:$H$222</definedName>
    <definedName name="OSRRefH22_19x_0" localSheetId="48">'300'!$H$195:$H$196</definedName>
    <definedName name="OSRRefH22_19x_0" localSheetId="49">'300 &amp; 317'!$H$218:$H$219</definedName>
    <definedName name="OSRRefH22_19x_0" localSheetId="50">'301'!$H$87</definedName>
    <definedName name="OSRRefH22_19x_0" localSheetId="72">'310 &amp; 491'!$H$104</definedName>
    <definedName name="OSRRefH22_19x_0" localSheetId="56">'331'!$H$152</definedName>
    <definedName name="OSRRefH22_19x_0" localSheetId="54">'333'!$H$155</definedName>
    <definedName name="OSRRefH22_19x_0" localSheetId="73">'491'!$H$93</definedName>
    <definedName name="OSRRefH22_19x_0" localSheetId="39">'Div 2'!$H$85:$H$86</definedName>
    <definedName name="OSRRefH22_19x_0" localSheetId="47">'Div 3'!$H$199:$H$203</definedName>
    <definedName name="OSRRefH22_19x_0" localSheetId="71">'Div 4'!$H$90:$H$98</definedName>
    <definedName name="OSRRefH22_19x_0" localSheetId="2">Summary!$H$224:$H$226</definedName>
    <definedName name="OSRRefH22_1x_0" localSheetId="40">'200'!$H$22</definedName>
    <definedName name="OSRRefH22_1x_0" localSheetId="41">'201'!$H$29:$H$32</definedName>
    <definedName name="OSRRefH22_1x_0" localSheetId="42">'202'!$H$29:$H$31</definedName>
    <definedName name="OSRRefH22_1x_0" localSheetId="43">'203'!$H$31:$H$35</definedName>
    <definedName name="OSRRefH22_1x_0" localSheetId="44">'204'!$H$30:$H$32</definedName>
    <definedName name="OSRRefH22_1x_0" localSheetId="45">'205'!$H$29</definedName>
    <definedName name="OSRRefH22_1x_0" localSheetId="46">'206'!$H$29:$H$32</definedName>
    <definedName name="OSRRefH22_1x_0" localSheetId="48">'300'!$H$140:$H$146</definedName>
    <definedName name="OSRRefH22_1x_0" localSheetId="49">'300 &amp; 317'!$H$163:$H$169</definedName>
    <definedName name="OSRRefH22_1x_0" localSheetId="50">'301'!$H$32:$H$38</definedName>
    <definedName name="OSRRefH22_1x_0" localSheetId="55">'307'!$H$47:$H$50</definedName>
    <definedName name="OSRRefH22_1x_0" localSheetId="51">'308'!$H$73:$H$79</definedName>
    <definedName name="OSRRefH22_1x_0" localSheetId="65">'309'!$H$29:$H$30</definedName>
    <definedName name="OSRRefH22_1x_0" localSheetId="64">'310'!$H$44:$H$49</definedName>
    <definedName name="OSRRefH22_1x_0" localSheetId="72">'310 &amp; 491'!$H$46:$H$52</definedName>
    <definedName name="OSRRefH22_1x_0" localSheetId="52">'311'!$H$73:$H$79</definedName>
    <definedName name="OSRRefH22_1x_0" localSheetId="66">'313'!$H$34</definedName>
    <definedName name="OSRRefH22_1x_0" localSheetId="57">'315'!$H$96:$H$101</definedName>
    <definedName name="OSRRefH22_1x_0" localSheetId="60">'316'!$H$43:$H$45</definedName>
    <definedName name="OSRRefH22_1x_0" localSheetId="62">'317'!$H$65:$H$69</definedName>
    <definedName name="OSRRefH22_1x_0" localSheetId="63">'320'!$H$25</definedName>
    <definedName name="OSRRefH22_1x_0" localSheetId="67">'321'!$H$37:$H$42</definedName>
    <definedName name="OSRRefH22_1x_0" localSheetId="68">'322'!$H$27</definedName>
    <definedName name="OSRRefH22_1x_0" localSheetId="69">'325'!$H$33:$H$35</definedName>
    <definedName name="OSRRefH22_1x_0" localSheetId="58">'326'!$H$61:$H$66</definedName>
    <definedName name="OSRRefH22_1x_0" localSheetId="70">'327'!$H$26</definedName>
    <definedName name="OSRRefH22_1x_0" localSheetId="56">'331'!$H$97:$H$102</definedName>
    <definedName name="OSRRefH22_1x_0" localSheetId="59">'332'!$H$45:$H$47</definedName>
    <definedName name="OSRRefH22_1x_0" localSheetId="54">'333'!$H$99:$H$104</definedName>
    <definedName name="OSRRefH22_1x_0" localSheetId="74">'405'!$H$33:$H$36</definedName>
    <definedName name="OSRRefH22_1x_0" localSheetId="75">'406'!$H$22</definedName>
    <definedName name="OSRRefH22_1x_0" localSheetId="76">'411'!$H$29:$H$33</definedName>
    <definedName name="OSRRefH22_1x_0" localSheetId="77">'412'!$H$22</definedName>
    <definedName name="OSRRefH22_1x_0" localSheetId="78">'413'!$H$26</definedName>
    <definedName name="OSRRefH22_1x_0" localSheetId="79">'414'!$H$24</definedName>
    <definedName name="OSRRefH22_1x_0" localSheetId="80">'415'!$H$34:$H$38</definedName>
    <definedName name="OSRRefH22_1x_0" localSheetId="81">'418'!$H$30:$H$33</definedName>
    <definedName name="OSRRefH22_1x_0" localSheetId="82">'420'!$H$23</definedName>
    <definedName name="OSRRefH22_1x_0" localSheetId="83">'423'!$H$23</definedName>
    <definedName name="OSRRefH22_1x_0" localSheetId="84">'424'!$H$22</definedName>
    <definedName name="OSRRefH22_1x_0" localSheetId="85">'425'!$H$28</definedName>
    <definedName name="OSRRefH22_1x_0" localSheetId="88">'430'!$H$29</definedName>
    <definedName name="OSRRefH22_1x_0" localSheetId="89">'433'!$H$35:$H$40</definedName>
    <definedName name="OSRRefH22_1x_0" localSheetId="90">'435'!$H$24</definedName>
    <definedName name="OSRRefH22_1x_0" localSheetId="91">'444'!$H$35:$H$40</definedName>
    <definedName name="OSRRefH22_1x_0" localSheetId="92">'450'!$H$35:$H$39</definedName>
    <definedName name="OSRRefH22_1x_0" localSheetId="73">'491'!$H$37:$H$42</definedName>
    <definedName name="OSRRefH22_1x_0" localSheetId="87">'492'!$H$37:$H$43</definedName>
    <definedName name="OSRRefH22_1x_0" localSheetId="94">'501'!$H$31:$H$36</definedName>
    <definedName name="OSRRefH22_1x_0" localSheetId="39">'Div 2'!$H$32:$H$37</definedName>
    <definedName name="OSRRefH22_1x_0" localSheetId="47">'Div 3'!$H$147:$H$153</definedName>
    <definedName name="OSRRefH22_1x_0" localSheetId="71">'Div 4'!$H$40:$H$46</definedName>
    <definedName name="OSRRefH22_1x_0" localSheetId="93">'Div 5'!$H$31:$H$36</definedName>
    <definedName name="OSRRefH22_1x_0" localSheetId="61">'Div 6'!$H$65:$H$69</definedName>
    <definedName name="OSRRefH22_1x_0" localSheetId="2">Summary!$H$174:$H$180</definedName>
    <definedName name="OSRRefH22_20x_0" localSheetId="48">'300'!$H$198:$H$204</definedName>
    <definedName name="OSRRefH22_20x_0" localSheetId="49">'300 &amp; 317'!$H$221:$H$227</definedName>
    <definedName name="OSRRefH22_20x_0" localSheetId="50">'301'!$H$89</definedName>
    <definedName name="OSRRefH22_20x_0" localSheetId="72">'310 &amp; 491'!$H$106:$H$107</definedName>
    <definedName name="OSRRefH22_20x_0" localSheetId="56">'331'!$H$154</definedName>
    <definedName name="OSRRefH22_20x_0" localSheetId="54">'333'!$H$157</definedName>
    <definedName name="OSRRefH22_20x_0" localSheetId="73">'491'!$H$95:$H$96</definedName>
    <definedName name="OSRRefH22_20x_0" localSheetId="47">'Div 3'!$H$205:$H$206</definedName>
    <definedName name="OSRRefH22_20x_0" localSheetId="71">'Div 4'!$H$100</definedName>
    <definedName name="OSRRefH22_20x_0" localSheetId="2">Summary!$H$228:$H$232</definedName>
    <definedName name="OSRRefH22_21x_0" localSheetId="48">'300'!$H$206:$H$207</definedName>
    <definedName name="OSRRefH22_21x_0" localSheetId="49">'300 &amp; 317'!$H$229:$H$230</definedName>
    <definedName name="OSRRefH22_21x_0" localSheetId="50">'301'!$H$91:$H$92</definedName>
    <definedName name="OSRRefH22_21x_0" localSheetId="72">'310 &amp; 491'!$H$109</definedName>
    <definedName name="OSRRefH22_21x_0" localSheetId="56">'331'!$H$156</definedName>
    <definedName name="OSRRefH22_21x_0" localSheetId="54">'333'!$H$159</definedName>
    <definedName name="OSRRefH22_21x_0" localSheetId="73">'491'!$H$98</definedName>
    <definedName name="OSRRefH22_21x_0" localSheetId="47">'Div 3'!$H$208:$H$214</definedName>
    <definedName name="OSRRefH22_21x_0" localSheetId="71">'Div 4'!$H$102</definedName>
    <definedName name="OSRRefH22_21x_0" localSheetId="2">Summary!$H$234:$H$235</definedName>
    <definedName name="OSRRefH22_22x_0" localSheetId="48">'300'!$H$209</definedName>
    <definedName name="OSRRefH22_22x_0" localSheetId="49">'300 &amp; 317'!$H$232</definedName>
    <definedName name="OSRRefH22_22x_0" localSheetId="50">'301'!$H$94</definedName>
    <definedName name="OSRRefH22_22x_0" localSheetId="56">'331'!$H$158</definedName>
    <definedName name="OSRRefH22_22x_0" localSheetId="54">'333'!$H$161</definedName>
    <definedName name="OSRRefH22_22x_0" localSheetId="47">'Div 3'!$H$216:$H$217</definedName>
    <definedName name="OSRRefH22_22x_0" localSheetId="71">'Div 4'!$H$104:$H$105</definedName>
    <definedName name="OSRRefH22_22x_0" localSheetId="2">Summary!$H$237:$H$245</definedName>
    <definedName name="OSRRefH22_23x_0" localSheetId="48">'300'!$H$211:$H$213</definedName>
    <definedName name="OSRRefH22_23x_0" localSheetId="49">'300 &amp; 317'!$H$234:$H$236</definedName>
    <definedName name="OSRRefH22_23x_0" localSheetId="47">'Div 3'!$H$219</definedName>
    <definedName name="OSRRefH22_23x_0" localSheetId="71">'Div 4'!$H$107</definedName>
    <definedName name="OSRRefH22_23x_0" localSheetId="2">Summary!$H$247:$H$248</definedName>
    <definedName name="OSRRefH22_24x_0" localSheetId="48">'300'!$H$215</definedName>
    <definedName name="OSRRefH22_24x_0" localSheetId="49">'300 &amp; 317'!$H$238</definedName>
    <definedName name="OSRRefH22_24x_0" localSheetId="47">'Div 3'!$H$221:$H$223</definedName>
    <definedName name="OSRRefH22_24x_0" localSheetId="2">Summary!$H$250</definedName>
    <definedName name="OSRRefH22_25x_0" localSheetId="47">'Div 3'!$H$225</definedName>
    <definedName name="OSRRefH22_25x_0" localSheetId="2">Summary!$H$252:$H$254</definedName>
    <definedName name="OSRRefH22_26x_0" localSheetId="2">Summary!$H$256</definedName>
    <definedName name="OSRRefH22_2x_0" localSheetId="40">'200'!$H$24</definedName>
    <definedName name="OSRRefH22_2x_0" localSheetId="41">'201'!$H$34</definedName>
    <definedName name="OSRRefH22_2x_0" localSheetId="42">'202'!$H$33</definedName>
    <definedName name="OSRRefH22_2x_0" localSheetId="43">'203'!$H$37</definedName>
    <definedName name="OSRRefH22_2x_0" localSheetId="44">'204'!$H$34</definedName>
    <definedName name="OSRRefH22_2x_0" localSheetId="45">'205'!$H$31</definedName>
    <definedName name="OSRRefH22_2x_0" localSheetId="46">'206'!$H$34</definedName>
    <definedName name="OSRRefH22_2x_0" localSheetId="48">'300'!$H$148</definedName>
    <definedName name="OSRRefH22_2x_0" localSheetId="49">'300 &amp; 317'!$H$171</definedName>
    <definedName name="OSRRefH22_2x_0" localSheetId="50">'301'!$H$40</definedName>
    <definedName name="OSRRefH22_2x_0" localSheetId="55">'307'!$H$52</definedName>
    <definedName name="OSRRefH22_2x_0" localSheetId="51">'308'!$H$81</definedName>
    <definedName name="OSRRefH22_2x_0" localSheetId="65">'309'!$H$32</definedName>
    <definedName name="OSRRefH22_2x_0" localSheetId="64">'310'!$H$51</definedName>
    <definedName name="OSRRefH22_2x_0" localSheetId="72">'310 &amp; 491'!$H$54</definedName>
    <definedName name="OSRRefH22_2x_0" localSheetId="52">'311'!$H$81</definedName>
    <definedName name="OSRRefH22_2x_0" localSheetId="66">'313'!$H$36</definedName>
    <definedName name="OSRRefH22_2x_0" localSheetId="57">'315'!$H$103</definedName>
    <definedName name="OSRRefH22_2x_0" localSheetId="60">'316'!$H$47</definedName>
    <definedName name="OSRRefH22_2x_0" localSheetId="62">'317'!$H$71</definedName>
    <definedName name="OSRRefH22_2x_0" localSheetId="63">'320'!$H$27</definedName>
    <definedName name="OSRRefH22_2x_0" localSheetId="67">'321'!$H$44</definedName>
    <definedName name="OSRRefH22_2x_0" localSheetId="68">'322'!$H$29</definedName>
    <definedName name="OSRRefH22_2x_0" localSheetId="69">'325'!$H$37</definedName>
    <definedName name="OSRRefH22_2x_0" localSheetId="58">'326'!$H$68</definedName>
    <definedName name="OSRRefH22_2x_0" localSheetId="56">'331'!$H$104</definedName>
    <definedName name="OSRRefH22_2x_0" localSheetId="59">'332'!$H$49</definedName>
    <definedName name="OSRRefH22_2x_0" localSheetId="54">'333'!$H$106</definedName>
    <definedName name="OSRRefH22_2x_0" localSheetId="74">'405'!$H$38</definedName>
    <definedName name="OSRRefH22_2x_0" localSheetId="75">'406'!$H$24</definedName>
    <definedName name="OSRRefH22_2x_0" localSheetId="76">'411'!$H$35</definedName>
    <definedName name="OSRRefH22_2x_0" localSheetId="77">'412'!$H$24:$H$25</definedName>
    <definedName name="OSRRefH22_2x_0" localSheetId="78">'413'!$H$28</definedName>
    <definedName name="OSRRefH22_2x_0" localSheetId="79">'414'!$H$26</definedName>
    <definedName name="OSRRefH22_2x_0" localSheetId="80">'415'!$H$40</definedName>
    <definedName name="OSRRefH22_2x_0" localSheetId="81">'418'!$H$35</definedName>
    <definedName name="OSRRefH22_2x_0" localSheetId="83">'423'!$H$25</definedName>
    <definedName name="OSRRefH22_2x_0" localSheetId="84">'424'!$H$24</definedName>
    <definedName name="OSRRefH22_2x_0" localSheetId="85">'425'!$H$30</definedName>
    <definedName name="OSRRefH22_2x_0" localSheetId="88">'430'!$H$31</definedName>
    <definedName name="OSRRefH22_2x_0" localSheetId="89">'433'!$H$42</definedName>
    <definedName name="OSRRefH22_2x_0" localSheetId="90">'435'!$H$26</definedName>
    <definedName name="OSRRefH22_2x_0" localSheetId="91">'444'!$H$42</definedName>
    <definedName name="OSRRefH22_2x_0" localSheetId="92">'450'!$H$41</definedName>
    <definedName name="OSRRefH22_2x_0" localSheetId="73">'491'!$H$44</definedName>
    <definedName name="OSRRefH22_2x_0" localSheetId="87">'492'!$H$45</definedName>
    <definedName name="OSRRefH22_2x_0" localSheetId="94">'501'!$H$38</definedName>
    <definedName name="OSRRefH22_2x_0" localSheetId="39">'Div 2'!$H$39</definedName>
    <definedName name="OSRRefH22_2x_0" localSheetId="47">'Div 3'!$H$155</definedName>
    <definedName name="OSRRefH22_2x_0" localSheetId="71">'Div 4'!$H$48</definedName>
    <definedName name="OSRRefH22_2x_0" localSheetId="93">'Div 5'!$H$38</definedName>
    <definedName name="OSRRefH22_2x_0" localSheetId="61">'Div 6'!$H$71</definedName>
    <definedName name="OSRRefH22_2x_0" localSheetId="2">Summary!$H$182</definedName>
    <definedName name="OSRRefH22_3x_0" localSheetId="40">'200'!$H$26</definedName>
    <definedName name="OSRRefH22_3x_0" localSheetId="41">'201'!$H$36</definedName>
    <definedName name="OSRRefH22_3x_0" localSheetId="42">'202'!$H$35</definedName>
    <definedName name="OSRRefH22_3x_0" localSheetId="43">'203'!$H$39</definedName>
    <definedName name="OSRRefH22_3x_0" localSheetId="44">'204'!$H$36</definedName>
    <definedName name="OSRRefH22_3x_0" localSheetId="45">'205'!$H$33</definedName>
    <definedName name="OSRRefH22_3x_0" localSheetId="46">'206'!$H$36</definedName>
    <definedName name="OSRRefH22_3x_0" localSheetId="48">'300'!$H$150:$H$151</definedName>
    <definedName name="OSRRefH22_3x_0" localSheetId="49">'300 &amp; 317'!$H$173:$H$174</definedName>
    <definedName name="OSRRefH22_3x_0" localSheetId="50">'301'!$H$42:$H$43</definedName>
    <definedName name="OSRRefH22_3x_0" localSheetId="55">'307'!$H$54</definedName>
    <definedName name="OSRRefH22_3x_0" localSheetId="51">'308'!$H$83:$H$84</definedName>
    <definedName name="OSRRefH22_3x_0" localSheetId="65">'309'!$H$34</definedName>
    <definedName name="OSRRefH22_3x_0" localSheetId="64">'310'!$H$53</definedName>
    <definedName name="OSRRefH22_3x_0" localSheetId="72">'310 &amp; 491'!$H$56</definedName>
    <definedName name="OSRRefH22_3x_0" localSheetId="52">'311'!$H$83:$H$84</definedName>
    <definedName name="OSRRefH22_3x_0" localSheetId="66">'313'!$H$38</definedName>
    <definedName name="OSRRefH22_3x_0" localSheetId="57">'315'!$H$105:$H$106</definedName>
    <definedName name="OSRRefH22_3x_0" localSheetId="60">'316'!$H$49</definedName>
    <definedName name="OSRRefH22_3x_0" localSheetId="62">'317'!$H$73</definedName>
    <definedName name="OSRRefH22_3x_0" localSheetId="67">'321'!$H$46</definedName>
    <definedName name="OSRRefH22_3x_0" localSheetId="68">'322'!$H$31</definedName>
    <definedName name="OSRRefH22_3x_0" localSheetId="69">'325'!$H$39</definedName>
    <definedName name="OSRRefH22_3x_0" localSheetId="58">'326'!$H$70</definedName>
    <definedName name="OSRRefH22_3x_0" localSheetId="56">'331'!$H$106</definedName>
    <definedName name="OSRRefH22_3x_0" localSheetId="59">'332'!$H$51</definedName>
    <definedName name="OSRRefH22_3x_0" localSheetId="54">'333'!$H$108</definedName>
    <definedName name="OSRRefH22_3x_0" localSheetId="74">'405'!$H$40</definedName>
    <definedName name="OSRRefH22_3x_0" localSheetId="75">'406'!$H$26</definedName>
    <definedName name="OSRRefH22_3x_0" localSheetId="76">'411'!$H$37:$H$38</definedName>
    <definedName name="OSRRefH22_3x_0" localSheetId="77">'412'!$H$27</definedName>
    <definedName name="OSRRefH22_3x_0" localSheetId="78">'413'!$H$30</definedName>
    <definedName name="OSRRefH22_3x_0" localSheetId="79">'414'!$H$28</definedName>
    <definedName name="OSRRefH22_3x_0" localSheetId="80">'415'!$H$42</definedName>
    <definedName name="OSRRefH22_3x_0" localSheetId="81">'418'!$H$37</definedName>
    <definedName name="OSRRefH22_3x_0" localSheetId="83">'423'!$H$27</definedName>
    <definedName name="OSRRefH22_3x_0" localSheetId="84">'424'!$H$26</definedName>
    <definedName name="OSRRefH22_3x_0" localSheetId="85">'425'!$H$32</definedName>
    <definedName name="OSRRefH22_3x_0" localSheetId="88">'430'!$H$33</definedName>
    <definedName name="OSRRefH22_3x_0" localSheetId="89">'433'!$H$44</definedName>
    <definedName name="OSRRefH22_3x_0" localSheetId="91">'444'!$H$44</definedName>
    <definedName name="OSRRefH22_3x_0" localSheetId="92">'450'!$H$43</definedName>
    <definedName name="OSRRefH22_3x_0" localSheetId="73">'491'!$H$46</definedName>
    <definedName name="OSRRefH22_3x_0" localSheetId="87">'492'!$H$47</definedName>
    <definedName name="OSRRefH22_3x_0" localSheetId="94">'501'!$H$40</definedName>
    <definedName name="OSRRefH22_3x_0" localSheetId="39">'Div 2'!$H$41</definedName>
    <definedName name="OSRRefH22_3x_0" localSheetId="47">'Div 3'!$H$157:$H$158</definedName>
    <definedName name="OSRRefH22_3x_0" localSheetId="71">'Div 4'!$H$50</definedName>
    <definedName name="OSRRefH22_3x_0" localSheetId="93">'Div 5'!$H$40</definedName>
    <definedName name="OSRRefH22_3x_0" localSheetId="61">'Div 6'!$H$73</definedName>
    <definedName name="OSRRefH22_3x_0" localSheetId="2">Summary!$H$184:$H$185</definedName>
    <definedName name="OSRRefH22_4x_0" localSheetId="41">'201'!$H$38</definedName>
    <definedName name="OSRRefH22_4x_0" localSheetId="42">'202'!$H$37</definedName>
    <definedName name="OSRRefH22_4x_0" localSheetId="43">'203'!$H$41</definedName>
    <definedName name="OSRRefH22_4x_0" localSheetId="44">'204'!$H$38</definedName>
    <definedName name="OSRRefH22_4x_0" localSheetId="45">'205'!$H$35:$H$36</definedName>
    <definedName name="OSRRefH22_4x_0" localSheetId="46">'206'!$H$38</definedName>
    <definedName name="OSRRefH22_4x_0" localSheetId="48">'300'!$H$153</definedName>
    <definedName name="OSRRefH22_4x_0" localSheetId="49">'300 &amp; 317'!$H$176</definedName>
    <definedName name="OSRRefH22_4x_0" localSheetId="50">'301'!$H$45</definedName>
    <definedName name="OSRRefH22_4x_0" localSheetId="55">'307'!$H$56:$H$57</definedName>
    <definedName name="OSRRefH22_4x_0" localSheetId="51">'308'!$H$86</definedName>
    <definedName name="OSRRefH22_4x_0" localSheetId="65">'309'!$H$36</definedName>
    <definedName name="OSRRefH22_4x_0" localSheetId="64">'310'!$H$55</definedName>
    <definedName name="OSRRefH22_4x_0" localSheetId="72">'310 &amp; 491'!$H$58</definedName>
    <definedName name="OSRRefH22_4x_0" localSheetId="52">'311'!$H$86</definedName>
    <definedName name="OSRRefH22_4x_0" localSheetId="66">'313'!$H$40</definedName>
    <definedName name="OSRRefH22_4x_0" localSheetId="57">'315'!$H$108</definedName>
    <definedName name="OSRRefH22_4x_0" localSheetId="60">'316'!$H$51</definedName>
    <definedName name="OSRRefH22_4x_0" localSheetId="62">'317'!$H$75</definedName>
    <definedName name="OSRRefH22_4x_0" localSheetId="67">'321'!$H$48</definedName>
    <definedName name="OSRRefH22_4x_0" localSheetId="68">'322'!$H$33:$H$34</definedName>
    <definedName name="OSRRefH22_4x_0" localSheetId="69">'325'!$H$41</definedName>
    <definedName name="OSRRefH22_4x_0" localSheetId="58">'326'!$H$72</definedName>
    <definedName name="OSRRefH22_4x_0" localSheetId="56">'331'!$H$108</definedName>
    <definedName name="OSRRefH22_4x_0" localSheetId="59">'332'!$H$53</definedName>
    <definedName name="OSRRefH22_4x_0" localSheetId="54">'333'!$H$110</definedName>
    <definedName name="OSRRefH22_4x_0" localSheetId="74">'405'!$H$42</definedName>
    <definedName name="OSRRefH22_4x_0" localSheetId="75">'406'!$H$28</definedName>
    <definedName name="OSRRefH22_4x_0" localSheetId="76">'411'!$H$40</definedName>
    <definedName name="OSRRefH22_4x_0" localSheetId="77">'412'!$H$29</definedName>
    <definedName name="OSRRefH22_4x_0" localSheetId="78">'413'!$H$32</definedName>
    <definedName name="OSRRefH22_4x_0" localSheetId="79">'414'!$H$30</definedName>
    <definedName name="OSRRefH22_4x_0" localSheetId="80">'415'!$H$44</definedName>
    <definedName name="OSRRefH22_4x_0" localSheetId="81">'418'!$H$39:$H$40</definedName>
    <definedName name="OSRRefH22_4x_0" localSheetId="85">'425'!$H$34</definedName>
    <definedName name="OSRRefH22_4x_0" localSheetId="88">'430'!$H$35</definedName>
    <definedName name="OSRRefH22_4x_0" localSheetId="89">'433'!$H$46</definedName>
    <definedName name="OSRRefH22_4x_0" localSheetId="91">'444'!$H$46</definedName>
    <definedName name="OSRRefH22_4x_0" localSheetId="92">'450'!$H$45</definedName>
    <definedName name="OSRRefH22_4x_0" localSheetId="73">'491'!$H$48</definedName>
    <definedName name="OSRRefH22_4x_0" localSheetId="87">'492'!$H$49</definedName>
    <definedName name="OSRRefH22_4x_0" localSheetId="94">'501'!$H$42:$H$43</definedName>
    <definedName name="OSRRefH22_4x_0" localSheetId="39">'Div 2'!$H$43</definedName>
    <definedName name="OSRRefH22_4x_0" localSheetId="47">'Div 3'!$H$160</definedName>
    <definedName name="OSRRefH22_4x_0" localSheetId="71">'Div 4'!$H$52</definedName>
    <definedName name="OSRRefH22_4x_0" localSheetId="93">'Div 5'!$H$42:$H$43</definedName>
    <definedName name="OSRRefH22_4x_0" localSheetId="61">'Div 6'!$H$75</definedName>
    <definedName name="OSRRefH22_4x_0" localSheetId="2">Summary!$H$187</definedName>
    <definedName name="OSRRefH22_5x_0" localSheetId="41">'201'!$H$40</definedName>
    <definedName name="OSRRefH22_5x_0" localSheetId="42">'202'!$H$39:$H$40</definedName>
    <definedName name="OSRRefH22_5x_0" localSheetId="43">'203'!$H$43</definedName>
    <definedName name="OSRRefH22_5x_0" localSheetId="44">'204'!$H$40:$H$43</definedName>
    <definedName name="OSRRefH22_5x_0" localSheetId="45">'205'!$H$38:$H$40</definedName>
    <definedName name="OSRRefH22_5x_0" localSheetId="46">'206'!$H$40</definedName>
    <definedName name="OSRRefH22_5x_0" localSheetId="48">'300'!$H$155:$H$156</definedName>
    <definedName name="OSRRefH22_5x_0" localSheetId="49">'300 &amp; 317'!$H$178:$H$179</definedName>
    <definedName name="OSRRefH22_5x_0" localSheetId="50">'301'!$H$47:$H$48</definedName>
    <definedName name="OSRRefH22_5x_0" localSheetId="55">'307'!$H$59</definedName>
    <definedName name="OSRRefH22_5x_0" localSheetId="51">'308'!$H$88</definedName>
    <definedName name="OSRRefH22_5x_0" localSheetId="65">'309'!$H$38</definedName>
    <definedName name="OSRRefH22_5x_0" localSheetId="64">'310'!$H$57:$H$58</definedName>
    <definedName name="OSRRefH22_5x_0" localSheetId="72">'310 &amp; 491'!$H$60:$H$61</definedName>
    <definedName name="OSRRefH22_5x_0" localSheetId="52">'311'!$H$88</definedName>
    <definedName name="OSRRefH22_5x_0" localSheetId="66">'313'!$H$42</definedName>
    <definedName name="OSRRefH22_5x_0" localSheetId="57">'315'!$H$110</definedName>
    <definedName name="OSRRefH22_5x_0" localSheetId="60">'316'!$H$53</definedName>
    <definedName name="OSRRefH22_5x_0" localSheetId="62">'317'!$H$77:$H$78</definedName>
    <definedName name="OSRRefH22_5x_0" localSheetId="67">'321'!$H$50</definedName>
    <definedName name="OSRRefH22_5x_0" localSheetId="68">'322'!$H$36</definedName>
    <definedName name="OSRRefH22_5x_0" localSheetId="69">'325'!$H$43:$H$44</definedName>
    <definedName name="OSRRefH22_5x_0" localSheetId="58">'326'!$H$74</definedName>
    <definedName name="OSRRefH22_5x_0" localSheetId="56">'331'!$H$110:$H$111</definedName>
    <definedName name="OSRRefH22_5x_0" localSheetId="59">'332'!$H$55</definedName>
    <definedName name="OSRRefH22_5x_0" localSheetId="54">'333'!$H$112:$H$113</definedName>
    <definedName name="OSRRefH22_5x_0" localSheetId="74">'405'!$H$44:$H$45</definedName>
    <definedName name="OSRRefH22_5x_0" localSheetId="76">'411'!$H$42</definedName>
    <definedName name="OSRRefH22_5x_0" localSheetId="78">'413'!$H$34</definedName>
    <definedName name="OSRRefH22_5x_0" localSheetId="79">'414'!$H$32:$H$33</definedName>
    <definedName name="OSRRefH22_5x_0" localSheetId="80">'415'!$H$46:$H$47</definedName>
    <definedName name="OSRRefH22_5x_0" localSheetId="81">'418'!$H$42</definedName>
    <definedName name="OSRRefH22_5x_0" localSheetId="85">'425'!$H$36:$H$37</definedName>
    <definedName name="OSRRefH22_5x_0" localSheetId="88">'430'!$H$37:$H$38</definedName>
    <definedName name="OSRRefH22_5x_0" localSheetId="89">'433'!$H$48</definedName>
    <definedName name="OSRRefH22_5x_0" localSheetId="91">'444'!$H$48</definedName>
    <definedName name="OSRRefH22_5x_0" localSheetId="92">'450'!$H$47</definedName>
    <definedName name="OSRRefH22_5x_0" localSheetId="73">'491'!$H$50:$H$51</definedName>
    <definedName name="OSRRefH22_5x_0" localSheetId="87">'492'!$H$51</definedName>
    <definedName name="OSRRefH22_5x_0" localSheetId="94">'501'!$H$45</definedName>
    <definedName name="OSRRefH22_5x_0" localSheetId="39">'Div 2'!$H$45</definedName>
    <definedName name="OSRRefH22_5x_0" localSheetId="47">'Div 3'!$H$162:$H$163</definedName>
    <definedName name="OSRRefH22_5x_0" localSheetId="71">'Div 4'!$H$54:$H$55</definedName>
    <definedName name="OSRRefH22_5x_0" localSheetId="93">'Div 5'!$H$45</definedName>
    <definedName name="OSRRefH22_5x_0" localSheetId="61">'Div 6'!$H$77:$H$78</definedName>
    <definedName name="OSRRefH22_5x_0" localSheetId="2">Summary!$H$189:$H$190</definedName>
    <definedName name="OSRRefH22_6x_0" localSheetId="41">'201'!$H$42</definedName>
    <definedName name="OSRRefH22_6x_0" localSheetId="42">'202'!$H$42</definedName>
    <definedName name="OSRRefH22_6x_0" localSheetId="43">'203'!$H$45</definedName>
    <definedName name="OSRRefH22_6x_0" localSheetId="44">'204'!$H$45</definedName>
    <definedName name="OSRRefH22_6x_0" localSheetId="45">'205'!$H$42</definedName>
    <definedName name="OSRRefH22_6x_0" localSheetId="46">'206'!$H$42</definedName>
    <definedName name="OSRRefH22_6x_0" localSheetId="48">'300'!$H$158:$H$159</definedName>
    <definedName name="OSRRefH22_6x_0" localSheetId="49">'300 &amp; 317'!$H$181:$H$182</definedName>
    <definedName name="OSRRefH22_6x_0" localSheetId="50">'301'!$H$50:$H$51</definedName>
    <definedName name="OSRRefH22_6x_0" localSheetId="55">'307'!$H$61</definedName>
    <definedName name="OSRRefH22_6x_0" localSheetId="51">'308'!$H$90:$H$91</definedName>
    <definedName name="OSRRefH22_6x_0" localSheetId="65">'309'!$H$40</definedName>
    <definedName name="OSRRefH22_6x_0" localSheetId="64">'310'!$H$60</definedName>
    <definedName name="OSRRefH22_6x_0" localSheetId="72">'310 &amp; 491'!$H$63</definedName>
    <definedName name="OSRRefH22_6x_0" localSheetId="52">'311'!$H$90:$H$91</definedName>
    <definedName name="OSRRefH22_6x_0" localSheetId="66">'313'!$H$44</definedName>
    <definedName name="OSRRefH22_6x_0" localSheetId="57">'315'!$H$112:$H$113</definedName>
    <definedName name="OSRRefH22_6x_0" localSheetId="60">'316'!$H$55:$H$56</definedName>
    <definedName name="OSRRefH22_6x_0" localSheetId="62">'317'!$H$80</definedName>
    <definedName name="OSRRefH22_6x_0" localSheetId="67">'321'!$H$52</definedName>
    <definedName name="OSRRefH22_6x_0" localSheetId="68">'322'!$H$38</definedName>
    <definedName name="OSRRefH22_6x_0" localSheetId="69">'325'!$H$46</definedName>
    <definedName name="OSRRefH22_6x_0" localSheetId="58">'326'!$H$76</definedName>
    <definedName name="OSRRefH22_6x_0" localSheetId="56">'331'!$H$113</definedName>
    <definedName name="OSRRefH22_6x_0" localSheetId="59">'332'!$H$57:$H$58</definedName>
    <definedName name="OSRRefH22_6x_0" localSheetId="54">'333'!$H$115</definedName>
    <definedName name="OSRRefH22_6x_0" localSheetId="74">'405'!$H$47</definedName>
    <definedName name="OSRRefH22_6x_0" localSheetId="76">'411'!$H$44</definedName>
    <definedName name="OSRRefH22_6x_0" localSheetId="80">'415'!$H$49</definedName>
    <definedName name="OSRRefH22_6x_0" localSheetId="81">'418'!$H$44</definedName>
    <definedName name="OSRRefH22_6x_0" localSheetId="85">'425'!$H$39</definedName>
    <definedName name="OSRRefH22_6x_0" localSheetId="88">'430'!$H$40</definedName>
    <definedName name="OSRRefH22_6x_0" localSheetId="89">'433'!$H$50</definedName>
    <definedName name="OSRRefH22_6x_0" localSheetId="91">'444'!$H$50</definedName>
    <definedName name="OSRRefH22_6x_0" localSheetId="92">'450'!$H$49</definedName>
    <definedName name="OSRRefH22_6x_0" localSheetId="73">'491'!$H$53</definedName>
    <definedName name="OSRRefH22_6x_0" localSheetId="87">'492'!$H$53</definedName>
    <definedName name="OSRRefH22_6x_0" localSheetId="94">'501'!$H$47</definedName>
    <definedName name="OSRRefH22_6x_0" localSheetId="39">'Div 2'!$H$47</definedName>
    <definedName name="OSRRefH22_6x_0" localSheetId="47">'Div 3'!$H$165:$H$166</definedName>
    <definedName name="OSRRefH22_6x_0" localSheetId="71">'Div 4'!$H$57</definedName>
    <definedName name="OSRRefH22_6x_0" localSheetId="93">'Div 5'!$H$47</definedName>
    <definedName name="OSRRefH22_6x_0" localSheetId="61">'Div 6'!$H$80</definedName>
    <definedName name="OSRRefH22_6x_0" localSheetId="2">Summary!$H$192:$H$193</definedName>
    <definedName name="OSRRefH22_7x_0" localSheetId="41">'201'!$H$44</definedName>
    <definedName name="OSRRefH22_7x_0" localSheetId="42">'202'!$H$44:$H$46</definedName>
    <definedName name="OSRRefH22_7x_0" localSheetId="43">'203'!$H$47:$H$48</definedName>
    <definedName name="OSRRefH22_7x_0" localSheetId="44">'204'!$H$47:$H$48</definedName>
    <definedName name="OSRRefH22_7x_0" localSheetId="48">'300'!$H$161</definedName>
    <definedName name="OSRRefH22_7x_0" localSheetId="49">'300 &amp; 317'!$H$184</definedName>
    <definedName name="OSRRefH22_7x_0" localSheetId="50">'301'!$H$53</definedName>
    <definedName name="OSRRefH22_7x_0" localSheetId="55">'307'!$H$63</definedName>
    <definedName name="OSRRefH22_7x_0" localSheetId="51">'308'!$H$93</definedName>
    <definedName name="OSRRefH22_7x_0" localSheetId="65">'309'!$H$42</definedName>
    <definedName name="OSRRefH22_7x_0" localSheetId="64">'310'!$H$62</definedName>
    <definedName name="OSRRefH22_7x_0" localSheetId="72">'310 &amp; 491'!$H$65</definedName>
    <definedName name="OSRRefH22_7x_0" localSheetId="52">'311'!$H$93</definedName>
    <definedName name="OSRRefH22_7x_0" localSheetId="66">'313'!$H$46</definedName>
    <definedName name="OSRRefH22_7x_0" localSheetId="57">'315'!$H$115</definedName>
    <definedName name="OSRRefH22_7x_0" localSheetId="60">'316'!$H$58</definedName>
    <definedName name="OSRRefH22_7x_0" localSheetId="62">'317'!$H$82</definedName>
    <definedName name="OSRRefH22_7x_0" localSheetId="67">'321'!$H$54:$H$55</definedName>
    <definedName name="OSRRefH22_7x_0" localSheetId="68">'322'!$H$40</definedName>
    <definedName name="OSRRefH22_7x_0" localSheetId="69">'325'!$H$48</definedName>
    <definedName name="OSRRefH22_7x_0" localSheetId="58">'326'!$H$78</definedName>
    <definedName name="OSRRefH22_7x_0" localSheetId="56">'331'!$H$115</definedName>
    <definedName name="OSRRefH22_7x_0" localSheetId="59">'332'!$H$60</definedName>
    <definedName name="OSRRefH22_7x_0" localSheetId="54">'333'!$H$117</definedName>
    <definedName name="OSRRefH22_7x_0" localSheetId="74">'405'!$H$49</definedName>
    <definedName name="OSRRefH22_7x_0" localSheetId="76">'411'!$H$46</definedName>
    <definedName name="OSRRefH22_7x_0" localSheetId="80">'415'!$H$51</definedName>
    <definedName name="OSRRefH22_7x_0" localSheetId="81">'418'!$H$46</definedName>
    <definedName name="OSRRefH22_7x_0" localSheetId="85">'425'!$H$41</definedName>
    <definedName name="OSRRefH22_7x_0" localSheetId="88">'430'!$H$42</definedName>
    <definedName name="OSRRefH22_7x_0" localSheetId="89">'433'!$H$52</definedName>
    <definedName name="OSRRefH22_7x_0" localSheetId="91">'444'!$H$52</definedName>
    <definedName name="OSRRefH22_7x_0" localSheetId="92">'450'!$H$51</definedName>
    <definedName name="OSRRefH22_7x_0" localSheetId="73">'491'!$H$55</definedName>
    <definedName name="OSRRefH22_7x_0" localSheetId="87">'492'!$H$55</definedName>
    <definedName name="OSRRefH22_7x_0" localSheetId="94">'501'!$H$49:$H$52</definedName>
    <definedName name="OSRRefH22_7x_0" localSheetId="39">'Div 2'!$H$49</definedName>
    <definedName name="OSRRefH22_7x_0" localSheetId="47">'Div 3'!$H$168</definedName>
    <definedName name="OSRRefH22_7x_0" localSheetId="71">'Div 4'!$H$59</definedName>
    <definedName name="OSRRefH22_7x_0" localSheetId="93">'Div 5'!$H$49:$H$52</definedName>
    <definedName name="OSRRefH22_7x_0" localSheetId="61">'Div 6'!$H$82</definedName>
    <definedName name="OSRRefH22_7x_0" localSheetId="2">Summary!$H$195</definedName>
    <definedName name="OSRRefH22_8x_0" localSheetId="41">'201'!$H$46</definedName>
    <definedName name="OSRRefH22_8x_0" localSheetId="42">'202'!$H$48</definedName>
    <definedName name="OSRRefH22_8x_0" localSheetId="43">'203'!$H$50:$H$51</definedName>
    <definedName name="OSRRefH22_8x_0" localSheetId="44">'204'!$H$50</definedName>
    <definedName name="OSRRefH22_8x_0" localSheetId="48">'300'!$H$163</definedName>
    <definedName name="OSRRefH22_8x_0" localSheetId="49">'300 &amp; 317'!$H$186</definedName>
    <definedName name="OSRRefH22_8x_0" localSheetId="50">'301'!$H$55</definedName>
    <definedName name="OSRRefH22_8x_0" localSheetId="55">'307'!$H$65:$H$66</definedName>
    <definedName name="OSRRefH22_8x_0" localSheetId="51">'308'!$H$95</definedName>
    <definedName name="OSRRefH22_8x_0" localSheetId="65">'309'!$H$44:$H$45</definedName>
    <definedName name="OSRRefH22_8x_0" localSheetId="64">'310'!$H$64</definedName>
    <definedName name="OSRRefH22_8x_0" localSheetId="72">'310 &amp; 491'!$H$67:$H$68</definedName>
    <definedName name="OSRRefH22_8x_0" localSheetId="52">'311'!$H$95</definedName>
    <definedName name="OSRRefH22_8x_0" localSheetId="57">'315'!$H$117:$H$118</definedName>
    <definedName name="OSRRefH22_8x_0" localSheetId="60">'316'!$H$60:$H$62</definedName>
    <definedName name="OSRRefH22_8x_0" localSheetId="62">'317'!$H$84</definedName>
    <definedName name="OSRRefH22_8x_0" localSheetId="67">'321'!$H$57</definedName>
    <definedName name="OSRRefH22_8x_0" localSheetId="69">'325'!$H$50</definedName>
    <definedName name="OSRRefH22_8x_0" localSheetId="58">'326'!$H$80</definedName>
    <definedName name="OSRRefH22_8x_0" localSheetId="56">'331'!$H$117:$H$118</definedName>
    <definedName name="OSRRefH22_8x_0" localSheetId="59">'332'!$H$62:$H$64</definedName>
    <definedName name="OSRRefH22_8x_0" localSheetId="54">'333'!$H$119:$H$120</definedName>
    <definedName name="OSRRefH22_8x_0" localSheetId="74">'405'!$H$51</definedName>
    <definedName name="OSRRefH22_8x_0" localSheetId="76">'411'!$H$48</definedName>
    <definedName name="OSRRefH22_8x_0" localSheetId="80">'415'!$H$53</definedName>
    <definedName name="OSRRefH22_8x_0" localSheetId="81">'418'!$H$48:$H$49</definedName>
    <definedName name="OSRRefH22_8x_0" localSheetId="85">'425'!$H$43</definedName>
    <definedName name="OSRRefH22_8x_0" localSheetId="88">'430'!$H$44</definedName>
    <definedName name="OSRRefH22_8x_0" localSheetId="89">'433'!$H$54</definedName>
    <definedName name="OSRRefH22_8x_0" localSheetId="91">'444'!$H$54</definedName>
    <definedName name="OSRRefH22_8x_0" localSheetId="92">'450'!$H$53</definedName>
    <definedName name="OSRRefH22_8x_0" localSheetId="73">'491'!$H$57</definedName>
    <definedName name="OSRRefH22_8x_0" localSheetId="87">'492'!$H$57</definedName>
    <definedName name="OSRRefH22_8x_0" localSheetId="94">'501'!$H$54:$H$55</definedName>
    <definedName name="OSRRefH22_8x_0" localSheetId="39">'Div 2'!$H$51</definedName>
    <definedName name="OSRRefH22_8x_0" localSheetId="47">'Div 3'!$H$170</definedName>
    <definedName name="OSRRefH22_8x_0" localSheetId="71">'Div 4'!$H$61</definedName>
    <definedName name="OSRRefH22_8x_0" localSheetId="93">'Div 5'!$H$54:$H$55</definedName>
    <definedName name="OSRRefH22_8x_0" localSheetId="61">'Div 6'!$H$84</definedName>
    <definedName name="OSRRefH22_8x_0" localSheetId="2">Summary!$H$197</definedName>
    <definedName name="OSRRefH22_9x_0" localSheetId="41">'201'!$H$48:$H$50</definedName>
    <definedName name="OSRRefH22_9x_0" localSheetId="42">'202'!$H$50:$H$52</definedName>
    <definedName name="OSRRefH22_9x_0" localSheetId="43">'203'!$H$53:$H$54</definedName>
    <definedName name="OSRRefH22_9x_0" localSheetId="44">'204'!$H$52</definedName>
    <definedName name="OSRRefH22_9x_0" localSheetId="48">'300'!$H$165</definedName>
    <definedName name="OSRRefH22_9x_0" localSheetId="49">'300 &amp; 317'!$H$188</definedName>
    <definedName name="OSRRefH22_9x_0" localSheetId="50">'301'!$H$57</definedName>
    <definedName name="OSRRefH22_9x_0" localSheetId="55">'307'!$H$68:$H$69</definedName>
    <definedName name="OSRRefH22_9x_0" localSheetId="51">'308'!$H$97:$H$99</definedName>
    <definedName name="OSRRefH22_9x_0" localSheetId="65">'309'!$H$47:$H$48</definedName>
    <definedName name="OSRRefH22_9x_0" localSheetId="64">'310'!$H$66</definedName>
    <definedName name="OSRRefH22_9x_0" localSheetId="72">'310 &amp; 491'!$H$70</definedName>
    <definedName name="OSRRefH22_9x_0" localSheetId="52">'311'!$H$97:$H$99</definedName>
    <definedName name="OSRRefH22_9x_0" localSheetId="57">'315'!$H$120</definedName>
    <definedName name="OSRRefH22_9x_0" localSheetId="60">'316'!$H$64</definedName>
    <definedName name="OSRRefH22_9x_0" localSheetId="62">'317'!$H$86:$H$89</definedName>
    <definedName name="OSRRefH22_9x_0" localSheetId="67">'321'!$H$59:$H$61</definedName>
    <definedName name="OSRRefH22_9x_0" localSheetId="69">'325'!$H$52</definedName>
    <definedName name="OSRRefH22_9x_0" localSheetId="58">'326'!$H$82</definedName>
    <definedName name="OSRRefH22_9x_0" localSheetId="56">'331'!$H$120</definedName>
    <definedName name="OSRRefH22_9x_0" localSheetId="59">'332'!$H$66</definedName>
    <definedName name="OSRRefH22_9x_0" localSheetId="54">'333'!$H$122</definedName>
    <definedName name="OSRRefH22_9x_0" localSheetId="74">'405'!$H$53</definedName>
    <definedName name="OSRRefH22_9x_0" localSheetId="76">'411'!$H$50:$H$53</definedName>
    <definedName name="OSRRefH22_9x_0" localSheetId="80">'415'!$H$55</definedName>
    <definedName name="OSRRefH22_9x_0" localSheetId="81">'418'!$H$51</definedName>
    <definedName name="OSRRefH22_9x_0" localSheetId="89">'433'!$H$56</definedName>
    <definedName name="OSRRefH22_9x_0" localSheetId="91">'444'!$H$56</definedName>
    <definedName name="OSRRefH22_9x_0" localSheetId="92">'450'!$H$55</definedName>
    <definedName name="OSRRefH22_9x_0" localSheetId="73">'491'!$H$59</definedName>
    <definedName name="OSRRefH22_9x_0" localSheetId="87">'492'!$H$59</definedName>
    <definedName name="OSRRefH22_9x_0" localSheetId="94">'501'!$H$57</definedName>
    <definedName name="OSRRefH22_9x_0" localSheetId="39">'Div 2'!$H$53:$H$54</definedName>
    <definedName name="OSRRefH22_9x_0" localSheetId="47">'Div 3'!$H$172</definedName>
    <definedName name="OSRRefH22_9x_0" localSheetId="71">'Div 4'!$H$63</definedName>
    <definedName name="OSRRefH22_9x_0" localSheetId="93">'Div 5'!$H$57</definedName>
    <definedName name="OSRRefH22_9x_0" localSheetId="61">'Div 6'!$H$86:$H$89</definedName>
    <definedName name="OSRRefH22_9x_0" localSheetId="2">Summary!$H$199</definedName>
    <definedName name="OSRRefH22x_0" localSheetId="40">'200'!$H$20,'200'!$H$22,'200'!$H$24,'200'!$H$26</definedName>
    <definedName name="OSRRefH22x_0" localSheetId="41">'201'!$H$20:$H$27,'201'!$H$29:$H$32,'201'!$H$34,'201'!$H$36,'201'!$H$38,'201'!$H$40,'201'!$H$42,'201'!$H$44,'201'!$H$46,'201'!$H$48:$H$50,'201'!$H$52:$H$54,'201'!$H$56,'201'!$H$58:$H$59,'201'!$H$61,'201'!$H$63</definedName>
    <definedName name="OSRRefH22x_0" localSheetId="42">'202'!$H$20:$H$27,'202'!$H$29:$H$31,'202'!$H$33,'202'!$H$35,'202'!$H$37,'202'!$H$39:$H$40,'202'!$H$42,'202'!$H$44:$H$46,'202'!$H$48,'202'!$H$50:$H$52,'202'!$H$54,'202'!$H$56,'202'!$H$58</definedName>
    <definedName name="OSRRefH22x_0" localSheetId="43">'203'!$H$20:$H$29,'203'!$H$31:$H$35,'203'!$H$37,'203'!$H$39,'203'!$H$41,'203'!$H$43,'203'!$H$45,'203'!$H$47:$H$48,'203'!$H$50:$H$51,'203'!$H$53:$H$54,'203'!$H$56:$H$59,'203'!$H$61,'203'!$H$63,'203'!$H$65</definedName>
    <definedName name="OSRRefH22x_0" localSheetId="44">'204'!$H$20:$H$28,'204'!$H$30:$H$32,'204'!$H$34,'204'!$H$36,'204'!$H$38,'204'!$H$40:$H$43,'204'!$H$45,'204'!$H$47:$H$48,'204'!$H$50,'204'!$H$52</definedName>
    <definedName name="OSRRefH22x_0" localSheetId="45">'205'!$H$20:$H$27,'205'!$H$29,'205'!$H$31,'205'!$H$33,'205'!$H$35:$H$36,'205'!$H$38:$H$40,'205'!$H$42</definedName>
    <definedName name="OSRRefH22x_0" localSheetId="46">'206'!$H$20:$H$27,'206'!$H$29:$H$32,'206'!$H$34,'206'!$H$36,'206'!$H$38,'206'!$H$40,'206'!$H$42</definedName>
    <definedName name="OSRRefH22x_0" localSheetId="48">'300'!$H$129:$H$138,'300'!$H$140:$H$146,'300'!$H$148,'300'!$H$150:$H$151,'300'!$H$153,'300'!$H$155:$H$156,'300'!$H$158:$H$159,'300'!$H$161,'300'!$H$163,'300'!$H$165,'300'!$H$167:$H$168,'300'!$H$170,'300'!$H$172,'300'!$H$174:$H$175,'300'!$H$177,'300'!$H$179,'300'!$H$181:$H$184,'300'!$H$186:$H$188,'300'!$H$190:$H$193,'300'!$H$195:$H$196,'300'!$H$198:$H$204,'300'!$H$206:$H$207,'300'!$H$209,'300'!$H$211:$H$213,'300'!$H$215</definedName>
    <definedName name="OSRRefH22x_0" localSheetId="49">'300 &amp; 317'!$H$152:$H$161,'300 &amp; 317'!$H$163:$H$169,'300 &amp; 317'!$H$171,'300 &amp; 317'!$H$173:$H$174,'300 &amp; 317'!$H$176,'300 &amp; 317'!$H$178:$H$179,'300 &amp; 317'!$H$181:$H$182,'300 &amp; 317'!$H$184,'300 &amp; 317'!$H$186,'300 &amp; 317'!$H$188,'300 &amp; 317'!$H$190:$H$191,'300 &amp; 317'!$H$193,'300 &amp; 317'!$H$195,'300 &amp; 317'!$H$197:$H$198,'300 &amp; 317'!$H$200,'300 &amp; 317'!$H$202,'300 &amp; 317'!$H$204:$H$207,'300 &amp; 317'!$H$209:$H$211,'300 &amp; 317'!$H$213:$H$216,'300 &amp; 317'!$H$218:$H$219,'300 &amp; 317'!$H$221:$H$227,'300 &amp; 317'!$H$229:$H$230,'300 &amp; 317'!$H$232,'300 &amp; 317'!$H$234:$H$236,'300 &amp; 317'!$H$238</definedName>
    <definedName name="OSRRefH22x_0" localSheetId="50">'301'!$H$21:$H$30,'301'!$H$32:$H$38,'301'!$H$40,'301'!$H$42:$H$43,'301'!$H$45,'301'!$H$47:$H$48,'301'!$H$50:$H$51,'301'!$H$53,'301'!$H$55,'301'!$H$57,'301'!$H$59,'301'!$H$61,'301'!$H$63,'301'!$H$65,'301'!$H$67,'301'!$H$69:$H$72,'301'!$H$74:$H$76,'301'!$H$78,'301'!$H$80:$H$85,'301'!$H$87,'301'!$H$89,'301'!$H$91:$H$92,'301'!$H$94</definedName>
    <definedName name="OSRRefH22x_0" localSheetId="55">'307'!$H$43:$H$45,'307'!$H$47:$H$50,'307'!$H$52,'307'!$H$54,'307'!$H$56:$H$57,'307'!$H$59,'307'!$H$61,'307'!$H$63,'307'!$H$65:$H$66,'307'!$H$68:$H$69,'307'!$H$71,'307'!$H$73:$H$76,'307'!$H$78,'307'!$H$80</definedName>
    <definedName name="OSRRefH22x_0" localSheetId="51">'308'!$H$63:$H$71,'308'!$H$73:$H$79,'308'!$H$81,'308'!$H$83:$H$84,'308'!$H$86,'308'!$H$88,'308'!$H$90:$H$91,'308'!$H$93,'308'!$H$95,'308'!$H$97:$H$99,'308'!$H$101:$H$102,'308'!$H$104:$H$105,'308'!$H$107:$H$108,'308'!$H$110</definedName>
    <definedName name="OSRRefH22x_0" localSheetId="65">'309'!$H$26:$H$27,'309'!$H$29:$H$30,'309'!$H$32,'309'!$H$34,'309'!$H$36,'309'!$H$38,'309'!$H$40,'309'!$H$42,'309'!$H$44:$H$45,'309'!$H$47:$H$48,'309'!$H$50:$H$51,'309'!$H$53,'309'!$H$55</definedName>
    <definedName name="OSRRefH22x_0" localSheetId="64">'310'!$H$34:$H$42,'310'!$H$44:$H$49,'310'!$H$51,'310'!$H$53,'310'!$H$55,'310'!$H$57:$H$58,'310'!$H$60,'310'!$H$62,'310'!$H$64,'310'!$H$66,'310'!$H$68,'310'!$H$70:$H$71,'310'!$H$73,'310'!$H$75:$H$78,'310'!$H$80:$H$85,'310'!$H$87,'310'!$H$89,'310'!$H$91</definedName>
    <definedName name="OSRRefH22x_0" localSheetId="72">'310 &amp; 491'!$H$36:$H$44,'310 &amp; 491'!$H$46:$H$52,'310 &amp; 491'!$H$54,'310 &amp; 491'!$H$56,'310 &amp; 491'!$H$58,'310 &amp; 491'!$H$60:$H$61,'310 &amp; 491'!$H$63,'310 &amp; 491'!$H$65,'310 &amp; 491'!$H$67:$H$68,'310 &amp; 491'!$H$70,'310 &amp; 491'!$H$72,'310 &amp; 491'!$H$74,'310 &amp; 491'!$H$76,'310 &amp; 491'!$H$78:$H$81,'310 &amp; 491'!$H$83,'310 &amp; 491'!$H$85:$H$88,'310 &amp; 491'!$H$90,'310 &amp; 491'!$H$92:$H$100,'310 &amp; 491'!$H$102,'310 &amp; 491'!$H$104,'310 &amp; 491'!$H$106:$H$107,'310 &amp; 491'!$H$109</definedName>
    <definedName name="OSRRefH22x_0" localSheetId="52">'311'!$H$63:$H$71,'311'!$H$73:$H$79,'311'!$H$81,'311'!$H$83:$H$84,'311'!$H$86,'311'!$H$88,'311'!$H$90:$H$91,'311'!$H$93,'311'!$H$95,'311'!$H$97:$H$99,'311'!$H$101:$H$102,'311'!$H$104:$H$105,'311'!$H$107:$H$108,'311'!$H$110</definedName>
    <definedName name="OSRRefH22x_0" localSheetId="66">'313'!$H$25:$H$32,'313'!$H$34,'313'!$H$36,'313'!$H$38,'313'!$H$40,'313'!$H$42,'313'!$H$44,'313'!$H$46</definedName>
    <definedName name="OSRRefH22x_0" localSheetId="57">'315'!$H$87:$H$94,'315'!$H$96:$H$101,'315'!$H$103,'315'!$H$105:$H$106,'315'!$H$108,'315'!$H$110,'315'!$H$112:$H$113,'315'!$H$115,'315'!$H$117:$H$118,'315'!$H$120,'315'!$H$122:$H$123,'315'!$H$125:$H$126,'315'!$H$128:$H$129,'315'!$H$131:$H$135,'315'!$H$137,'315'!$H$139,'315'!$H$141</definedName>
    <definedName name="OSRRefH22x_0" localSheetId="60">'316'!$H$34:$H$41,'316'!$H$43:$H$45,'316'!$H$47,'316'!$H$49,'316'!$H$51,'316'!$H$53,'316'!$H$55:$H$56,'316'!$H$58,'316'!$H$60:$H$62,'316'!$H$64,'316'!$H$66,'316'!$H$68:$H$72,'316'!$H$74,'316'!$H$76</definedName>
    <definedName name="OSRRefH22x_0" localSheetId="62">'317'!$H$55:$H$63,'317'!$H$65:$H$69,'317'!$H$71,'317'!$H$73,'317'!$H$75,'317'!$H$77:$H$78,'317'!$H$80,'317'!$H$82,'317'!$H$84,'317'!$H$86:$H$89,'317'!$H$91,'317'!$H$93</definedName>
    <definedName name="OSRRefH22x_0" localSheetId="63">'320'!$H$22:$H$23,'320'!$H$25,'320'!$H$27</definedName>
    <definedName name="OSRRefH22x_0" localSheetId="67">'321'!$H$27:$H$35,'321'!$H$37:$H$42,'321'!$H$44,'321'!$H$46,'321'!$H$48,'321'!$H$50,'321'!$H$52,'321'!$H$54:$H$55,'321'!$H$57,'321'!$H$59:$H$61,'321'!$H$63:$H$67,'321'!$H$69,'321'!$H$71,'321'!$H$73</definedName>
    <definedName name="OSRRefH22x_0" localSheetId="68">'322'!$H$21:$H$25,'322'!$H$27,'322'!$H$29,'322'!$H$31,'322'!$H$33:$H$34,'322'!$H$36,'322'!$H$38,'322'!$H$40</definedName>
    <definedName name="OSRRefH22x_0" localSheetId="69">'325'!$H$24:$H$31,'325'!$H$33:$H$35,'325'!$H$37,'325'!$H$39,'325'!$H$41,'325'!$H$43:$H$44,'325'!$H$46,'325'!$H$48,'325'!$H$50,'325'!$H$52,'325'!$H$54:$H$55,'325'!$H$57:$H$60,'325'!$H$62:$H$67,'325'!$H$69,'325'!$H$71,'325'!$H$73</definedName>
    <definedName name="OSRRefH22x_0" localSheetId="58">'326'!$H$52:$H$59,'326'!$H$61:$H$66,'326'!$H$68,'326'!$H$70,'326'!$H$72,'326'!$H$74,'326'!$H$76,'326'!$H$78,'326'!$H$80,'326'!$H$82,'326'!$H$84,'326'!$H$86:$H$88,'326'!$H$90:$H$92,'326'!$H$94:$H$95,'326'!$H$97:$H$100,'326'!$H$102,'326'!$H$104,'326'!$H$106</definedName>
    <definedName name="OSRRefH22x_0" localSheetId="70">'327'!$H$24,'327'!$H$26</definedName>
    <definedName name="OSRRefH22x_0" localSheetId="56">'331'!$H$88:$H$95,'331'!$H$97:$H$102,'331'!$H$104,'331'!$H$106,'331'!$H$108,'331'!$H$110:$H$111,'331'!$H$113,'331'!$H$115,'331'!$H$117:$H$118,'331'!$H$120,'331'!$H$122,'331'!$H$124:$H$125,'331'!$H$127,'331'!$H$129,'331'!$H$131:$H$133,'331'!$H$135:$H$136,'331'!$H$138:$H$140,'331'!$H$142:$H$143,'331'!$H$145:$H$150,'331'!$H$152,'331'!$H$154,'331'!$H$156,'331'!$H$158</definedName>
    <definedName name="OSRRefH22x_0" localSheetId="59">'332'!$H$36:$H$43,'332'!$H$45:$H$47,'332'!$H$49,'332'!$H$51,'332'!$H$53,'332'!$H$55,'332'!$H$57:$H$58,'332'!$H$60,'332'!$H$62:$H$64,'332'!$H$66,'332'!$H$68,'332'!$H$70:$H$74,'332'!$H$76,'332'!$H$78</definedName>
    <definedName name="OSRRefH22x_0" localSheetId="54">'333'!$H$90:$H$97,'333'!$H$99:$H$104,'333'!$H$106,'333'!$H$108,'333'!$H$110,'333'!$H$112:$H$113,'333'!$H$115,'333'!$H$117,'333'!$H$119:$H$120,'333'!$H$122,'333'!$H$124,'333'!$H$126:$H$127,'333'!$H$129,'333'!$H$131,'333'!$H$133:$H$135,'333'!$H$137:$H$138,'333'!$H$140:$H$143,'333'!$H$145:$H$146,'333'!$H$148:$H$153,'333'!$H$155,'333'!$H$157,'333'!$H$159,'333'!$H$161</definedName>
    <definedName name="OSRRefH22x_0" localSheetId="74">'405'!$H$24:$H$31,'405'!$H$33:$H$36,'405'!$H$38,'405'!$H$40,'405'!$H$42,'405'!$H$44:$H$45,'405'!$H$47,'405'!$H$49,'405'!$H$51,'405'!$H$53,'405'!$H$55:$H$56,'405'!$H$58:$H$61,'405'!$H$63,'405'!$H$65:$H$73,'405'!$H$75,'405'!$H$77,'405'!$H$79</definedName>
    <definedName name="OSRRefH22x_0" localSheetId="75">'406'!$H$20,'406'!$H$22,'406'!$H$24,'406'!$H$26,'406'!$H$28</definedName>
    <definedName name="OSRRefH22x_0" localSheetId="76">'411'!$H$20:$H$27,'411'!$H$29:$H$33,'411'!$H$35,'411'!$H$37:$H$38,'411'!$H$40,'411'!$H$42,'411'!$H$44,'411'!$H$46,'411'!$H$48,'411'!$H$50:$H$53,'411'!$H$55:$H$57,'411'!$H$59,'411'!$H$61:$H$62,'411'!$H$64,'411'!$H$66:$H$67,'411'!$H$69</definedName>
    <definedName name="OSRRefH22x_0" localSheetId="77">'412'!$H$20,'412'!$H$22,'412'!$H$24:$H$25,'412'!$H$27,'412'!$H$29</definedName>
    <definedName name="OSRRefH22x_0" localSheetId="78">'413'!$H$20:$H$24,'413'!$H$26,'413'!$H$28,'413'!$H$30,'413'!$H$32,'413'!$H$34</definedName>
    <definedName name="OSRRefH22x_0" localSheetId="79">'414'!$H$22,'414'!$H$24,'414'!$H$26,'414'!$H$28,'414'!$H$30,'414'!$H$32:$H$33</definedName>
    <definedName name="OSRRefH22x_0" localSheetId="80">'415'!$H$24:$H$32,'415'!$H$34:$H$38,'415'!$H$40,'415'!$H$42,'415'!$H$44,'415'!$H$46:$H$47,'415'!$H$49,'415'!$H$51,'415'!$H$53,'415'!$H$55,'415'!$H$57,'415'!$H$59:$H$60,'415'!$H$62:$H$65,'415'!$H$67,'415'!$H$69:$H$74,'415'!$H$76,'415'!$H$78,'415'!$H$80</definedName>
    <definedName name="OSRRefH22x_0" localSheetId="81">'418'!$H$21:$H$28,'418'!$H$30:$H$33,'418'!$H$35,'418'!$H$37,'418'!$H$39:$H$40,'418'!$H$42,'418'!$H$44,'418'!$H$46,'418'!$H$48:$H$49,'418'!$H$51,'418'!$H$53,'418'!$H$55:$H$60,'418'!$H$62,'418'!$H$64</definedName>
    <definedName name="OSRRefH22x_0" localSheetId="82">'420'!$H$21,'420'!$H$23</definedName>
    <definedName name="OSRRefH22x_0" localSheetId="83">'423'!$H$20:$H$21,'423'!$H$23,'423'!$H$25,'423'!$H$27</definedName>
    <definedName name="OSRRefH22x_0" localSheetId="84">'424'!$H$20,'424'!$H$22,'424'!$H$24,'424'!$H$26</definedName>
    <definedName name="OSRRefH22x_0" localSheetId="85">'425'!$H$22:$H$26,'425'!$H$28,'425'!$H$30,'425'!$H$32,'425'!$H$34,'425'!$H$36:$H$37,'425'!$H$39,'425'!$H$41,'425'!$H$43</definedName>
    <definedName name="OSRRefH22x_0" localSheetId="88">'430'!$H$20:$H$27,'430'!$H$29,'430'!$H$31,'430'!$H$33,'430'!$H$35,'430'!$H$37:$H$38,'430'!$H$40,'430'!$H$42,'430'!$H$44</definedName>
    <definedName name="OSRRefH22x_0" localSheetId="89">'433'!$H$25:$H$33,'433'!$H$35:$H$40,'433'!$H$42,'433'!$H$44,'433'!$H$46,'433'!$H$48,'433'!$H$50,'433'!$H$52,'433'!$H$54,'433'!$H$56,'433'!$H$58,'433'!$H$60:$H$61,'433'!$H$63:$H$65,'433'!$H$67:$H$74,'433'!$H$76</definedName>
    <definedName name="OSRRefH22x_0" localSheetId="90">'435'!$H$22,'435'!$H$24,'435'!$H$26</definedName>
    <definedName name="OSRRefH22x_0" localSheetId="91">'444'!$H$25:$H$33,'444'!$H$35:$H$40,'444'!$H$42,'444'!$H$44,'444'!$H$46,'444'!$H$48,'444'!$H$50,'444'!$H$52,'444'!$H$54,'444'!$H$56,'444'!$H$58,'444'!$H$60:$H$61,'444'!$H$63:$H$66,'444'!$H$68,'444'!$H$70:$H$77,'444'!$H$79,'444'!$H$81</definedName>
    <definedName name="OSRRefH22x_0" localSheetId="92">'450'!$H$25:$H$33,'450'!$H$35:$H$39,'450'!$H$41,'450'!$H$43,'450'!$H$45,'450'!$H$47,'450'!$H$49,'450'!$H$51,'450'!$H$53,'450'!$H$55,'450'!$H$57,'450'!$H$59,'450'!$H$61:$H$62,'450'!$H$64:$H$66,'450'!$H$68:$H$73,'450'!$H$75,'450'!$H$77</definedName>
    <definedName name="OSRRefH22x_0" localSheetId="73">'491'!$H$27:$H$35,'491'!$H$37:$H$42,'491'!$H$44,'491'!$H$46,'491'!$H$48,'491'!$H$50:$H$51,'491'!$H$53,'491'!$H$55,'491'!$H$57,'491'!$H$59,'491'!$H$61,'491'!$H$63,'491'!$H$65,'491'!$H$67:$H$70,'491'!$H$72,'491'!$H$74:$H$77,'491'!$H$79,'491'!$H$81:$H$89,'491'!$H$91,'491'!$H$93,'491'!$H$95:$H$96,'491'!$H$98</definedName>
    <definedName name="OSRRefH22x_0" localSheetId="87">'492'!$H$27:$H$35,'492'!$H$37:$H$43,'492'!$H$45,'492'!$H$47,'492'!$H$49,'492'!$H$51,'492'!$H$53,'492'!$H$55,'492'!$H$57,'492'!$H$59,'492'!$H$61,'492'!$H$63,'492'!$H$65:$H$67,'492'!$H$69:$H$72,'492'!$H$74,'492'!$H$76:$H$83,'492'!$H$85,'492'!$H$87,'492'!$H$89:$H$90</definedName>
    <definedName name="OSRRefH22x_0" localSheetId="94">'501'!$H$21:$H$29,'501'!$H$31:$H$36,'501'!$H$38,'501'!$H$40,'501'!$H$42:$H$43,'501'!$H$45,'501'!$H$47,'501'!$H$49:$H$52,'501'!$H$54:$H$55,'501'!$H$57,'501'!$H$59</definedName>
    <definedName name="OSRRefH22x_0" localSheetId="39">'Div 2'!$H$20:$H$30,'Div 2'!$H$32:$H$37,'Div 2'!$H$39,'Div 2'!$H$41,'Div 2'!$H$43,'Div 2'!$H$45,'Div 2'!$H$47,'Div 2'!$H$49,'Div 2'!$H$51,'Div 2'!$H$53:$H$54,'Div 2'!$H$56,'Div 2'!$H$58,'Div 2'!$H$60:$H$62,'Div 2'!$H$64:$H$67,'Div 2'!$H$69,'Div 2'!$H$71:$H$72,'Div 2'!$H$74:$H$78,'Div 2'!$H$80:$H$81,'Div 2'!$H$83,'Div 2'!$H$85:$H$86</definedName>
    <definedName name="OSRRefH22x_0" localSheetId="47">'Div 3'!$H$136:$H$145,'Div 3'!$H$147:$H$153,'Div 3'!$H$155,'Div 3'!$H$157:$H$158,'Div 3'!$H$160,'Div 3'!$H$162:$H$163,'Div 3'!$H$165:$H$166,'Div 3'!$H$168,'Div 3'!$H$170,'Div 3'!$H$172,'Div 3'!$H$174:$H$175,'Div 3'!$H$177,'Div 3'!$H$179,'Div 3'!$H$181,'Div 3'!$H$183:$H$184,'Div 3'!$H$186,'Div 3'!$H$188,'Div 3'!$H$190:$H$193,'Div 3'!$H$195:$H$197,'Div 3'!$H$199:$H$203,'Div 3'!$H$205:$H$206,'Div 3'!$H$208:$H$214,'Div 3'!$H$216:$H$217,'Div 3'!$H$219,'Div 3'!$H$221:$H$223,'Div 3'!$H$225</definedName>
    <definedName name="OSRRefH22x_0" localSheetId="71">'Div 4'!$H$30:$H$38,'Div 4'!$H$40:$H$46,'Div 4'!$H$48,'Div 4'!$H$50,'Div 4'!$H$52,'Div 4'!$H$54:$H$55,'Div 4'!$H$57,'Div 4'!$H$59,'Div 4'!$H$61,'Div 4'!$H$63,'Div 4'!$H$65,'Div 4'!$H$67,'Div 4'!$H$69,'Div 4'!$H$71,'Div 4'!$H$73,'Div 4'!$H$75:$H$78,'Div 4'!$H$80,'Div 4'!$H$82:$H$85,'Div 4'!$H$87:$H$88,'Div 4'!$H$90:$H$98,'Div 4'!$H$100,'Div 4'!$H$102,'Div 4'!$H$104:$H$105,'Div 4'!$H$107</definedName>
    <definedName name="OSRRefH22x_0" localSheetId="93">'Div 5'!$H$21:$H$29,'Div 5'!$H$31:$H$36,'Div 5'!$H$38,'Div 5'!$H$40,'Div 5'!$H$42:$H$43,'Div 5'!$H$45,'Div 5'!$H$47,'Div 5'!$H$49:$H$52,'Div 5'!$H$54:$H$55,'Div 5'!$H$57,'Div 5'!$H$59</definedName>
    <definedName name="OSRRefH22x_0" localSheetId="61">'Div 6'!$H$55:$H$63,'Div 6'!$H$65:$H$69,'Div 6'!$H$71,'Div 6'!$H$73,'Div 6'!$H$75,'Div 6'!$H$77:$H$78,'Div 6'!$H$80,'Div 6'!$H$82,'Div 6'!$H$84,'Div 6'!$H$86:$H$89,'Div 6'!$H$91,'Div 6'!$H$93</definedName>
    <definedName name="OSRRefH22x_0" localSheetId="2">Summary!$H$163:$H$172,Summary!$H$174:$H$180,Summary!$H$182,Summary!$H$184:$H$185,Summary!$H$187,Summary!$H$189:$H$190,Summary!$H$192:$H$193,Summary!$H$195,Summary!$H$197,Summary!$H$199,Summary!$H$201:$H$202,Summary!$H$204,Summary!$H$206,Summary!$H$208,Summary!$H$210:$H$211,Summary!$H$213,Summary!$H$215,Summary!$H$217,Summary!$H$219:$H$222,Summary!$H$224:$H$226,Summary!$H$228:$H$232,Summary!$H$234:$H$235,Summary!$H$237:$H$245,Summary!$H$247:$H$248,Summary!$H$250,Summary!$H$252:$H$254,Summary!$H$256</definedName>
    <definedName name="OSRRefH25x_0" localSheetId="48">'300'!$H$218:$H$221</definedName>
    <definedName name="OSRRefH25x_0" localSheetId="49">'300 &amp; 317'!$H$241:$H$246</definedName>
    <definedName name="OSRRefH25x_0" localSheetId="50">'301'!$H$97</definedName>
    <definedName name="OSRRefH25x_0" localSheetId="51">'308'!$H$113:$H$115</definedName>
    <definedName name="OSRRefH25x_0" localSheetId="72">'310 &amp; 491'!$H$112:$H$114</definedName>
    <definedName name="OSRRefH25x_0" localSheetId="52">'311'!$H$113:$H$115</definedName>
    <definedName name="OSRRefH25x_0" localSheetId="57">'315'!$H$144:$H$145</definedName>
    <definedName name="OSRRefH25x_0" localSheetId="60">'316'!$H$79</definedName>
    <definedName name="OSRRefH25x_0" localSheetId="62">'317'!$H$96:$H$98</definedName>
    <definedName name="OSRRefH25x_0" localSheetId="63">'320'!$H$30</definedName>
    <definedName name="OSRRefH25x_0" localSheetId="56">'331'!$H$161:$H$162</definedName>
    <definedName name="OSRRefH25x_0" localSheetId="59">'332'!$H$81:$H$82</definedName>
    <definedName name="OSRRefH25x_0" localSheetId="54">'333'!$H$164:$H$165</definedName>
    <definedName name="OSRRefH25x_0" localSheetId="74">'405'!$H$82</definedName>
    <definedName name="OSRRefH25x_0" localSheetId="76">'411'!$H$72:$H$73</definedName>
    <definedName name="OSRRefH25x_0" localSheetId="80">'415'!$H$83</definedName>
    <definedName name="OSRRefH25x_0" localSheetId="81">'418'!$H$67</definedName>
    <definedName name="OSRRefH25x_0" localSheetId="83">'423'!$H$30</definedName>
    <definedName name="OSRRefH25x_0" localSheetId="86">'455'!$H$21:$H$22</definedName>
    <definedName name="OSRRefH25x_0" localSheetId="73">'491'!$H$101:$H$103</definedName>
    <definedName name="OSRRefH25x_0" localSheetId="94">'501'!$H$62</definedName>
    <definedName name="OSRRefH25x_0" localSheetId="47">'Div 3'!$H$228:$H$231</definedName>
    <definedName name="OSRRefH25x_0" localSheetId="71">'Div 4'!$H$110:$H$112</definedName>
    <definedName name="OSRRefH25x_0" localSheetId="93">'Div 5'!$H$62</definedName>
    <definedName name="OSRRefH25x_0" localSheetId="61">'Div 6'!$H$96:$H$98</definedName>
    <definedName name="OSRRefH25x_0" localSheetId="2">Summary!$H$259:$H$266</definedName>
    <definedName name="OSRRefP13x_0" localSheetId="48">'300'!$P$13:$P$80</definedName>
    <definedName name="OSRRefP13x_0" localSheetId="49">'300 &amp; 317'!$P$13:$P$94</definedName>
    <definedName name="OSRRefP13x_0" localSheetId="55">'307'!$P$13:$P$25</definedName>
    <definedName name="OSRRefP13x_0" localSheetId="51">'308'!$P$13:$P$38</definedName>
    <definedName name="OSRRefP13x_0" localSheetId="65">'309'!$P$13:$P$16</definedName>
    <definedName name="OSRRefP13x_0" localSheetId="64">'310'!$P$13:$P$23</definedName>
    <definedName name="OSRRefP13x_0" localSheetId="72">'310 &amp; 491'!$P$13:$P$25</definedName>
    <definedName name="OSRRefP13x_0" localSheetId="52">'311'!$P$13:$P$38</definedName>
    <definedName name="OSRRefP13x_0" localSheetId="66">'313'!$P$13:$P$16</definedName>
    <definedName name="OSRRefP13x_0" localSheetId="57">'315'!$P$13:$P$54</definedName>
    <definedName name="OSRRefP13x_0" localSheetId="60">'316'!$P$13:$P$25</definedName>
    <definedName name="OSRRefP13x_0" localSheetId="62">'317'!$P$13:$P$33</definedName>
    <definedName name="OSRRefP13x_0" localSheetId="67">'321'!$P$13:$P$16</definedName>
    <definedName name="OSRRefP13x_0" localSheetId="53">'324'!$P$13:$P$16</definedName>
    <definedName name="OSRRefP13x_0" localSheetId="69">'325'!$P$13:$P$14</definedName>
    <definedName name="OSRRefP13x_0" localSheetId="58">'326'!$P$13:$P$36</definedName>
    <definedName name="OSRRefP13x_0" localSheetId="70">'327'!$P$13:$P$14</definedName>
    <definedName name="OSRRefP13x_0" localSheetId="56">'331'!$P$13:$P$54</definedName>
    <definedName name="OSRRefP13x_0" localSheetId="59">'332'!$P$13:$P$25</definedName>
    <definedName name="OSRRefP13x_0" localSheetId="54">'333'!$P$13:$P$56</definedName>
    <definedName name="OSRRefP13x_0" localSheetId="74">'405'!$P$13:$P$14</definedName>
    <definedName name="OSRRefP13x_0" localSheetId="79">'414'!$P$13</definedName>
    <definedName name="OSRRefP13x_0" localSheetId="80">'415'!$P$13:$P$14</definedName>
    <definedName name="OSRRefP13x_0" localSheetId="82">'420'!$P$13</definedName>
    <definedName name="OSRRefP13x_0" localSheetId="85">'425'!$P$13</definedName>
    <definedName name="OSRRefP13x_0" localSheetId="89">'433'!$P$13:$P$15</definedName>
    <definedName name="OSRRefP13x_0" localSheetId="90">'435'!$P$13:$P$14</definedName>
    <definedName name="OSRRefP13x_0" localSheetId="91">'444'!$P$13:$P$15</definedName>
    <definedName name="OSRRefP13x_0" localSheetId="92">'450'!$P$13:$P$15</definedName>
    <definedName name="OSRRefP13x_0" localSheetId="73">'491'!$P$13:$P$17</definedName>
    <definedName name="OSRRefP13x_0" localSheetId="87">'492'!$P$13:$P$17</definedName>
    <definedName name="OSRRefP13x_0" localSheetId="94">'501'!$P$13</definedName>
    <definedName name="OSRRefP13x_0" localSheetId="47">'Div 3'!$P$13:$P$85</definedName>
    <definedName name="OSRRefP13x_0" localSheetId="71">'Div 4'!$P$13:$P$20</definedName>
    <definedName name="OSRRefP13x_0" localSheetId="93">'Div 5'!$P$13</definedName>
    <definedName name="OSRRefP13x_0" localSheetId="61">'Div 6'!$P$13:$P$33</definedName>
    <definedName name="OSRRefP13x_0" localSheetId="2">Summary!$P$13:$P$103</definedName>
    <definedName name="OSRRefP16x_0" localSheetId="48">'300'!$P$83:$P$123</definedName>
    <definedName name="OSRRefP16x_0" localSheetId="49">'300 &amp; 317'!$P$97:$P$146</definedName>
    <definedName name="OSRRefP16x_0" localSheetId="50">'301'!$P$15</definedName>
    <definedName name="OSRRefP16x_0" localSheetId="55">'307'!$P$28:$P$37</definedName>
    <definedName name="OSRRefP16x_0" localSheetId="51">'308'!$P$41:$P$57</definedName>
    <definedName name="OSRRefP16x_0" localSheetId="65">'309'!$P$19:$P$20</definedName>
    <definedName name="OSRRefP16x_0" localSheetId="64">'310'!$P$26:$P$28</definedName>
    <definedName name="OSRRefP16x_0" localSheetId="72">'310 &amp; 491'!$P$28:$P$30</definedName>
    <definedName name="OSRRefP16x_0" localSheetId="52">'311'!$P$41:$P$57</definedName>
    <definedName name="OSRRefP16x_0" localSheetId="66">'313'!$P$19</definedName>
    <definedName name="OSRRefP16x_0" localSheetId="57">'315'!$P$57:$P$81</definedName>
    <definedName name="OSRRefP16x_0" localSheetId="60">'316'!$P$28</definedName>
    <definedName name="OSRRefP16x_0" localSheetId="62">'317'!$P$36:$P$49</definedName>
    <definedName name="OSRRefP16x_0" localSheetId="63">'320'!$P$15:$P$16</definedName>
    <definedName name="OSRRefP16x_0" localSheetId="67">'321'!$P$19:$P$21</definedName>
    <definedName name="OSRRefP16x_0" localSheetId="68">'322'!$P$15</definedName>
    <definedName name="OSRRefP16x_0" localSheetId="53">'324'!$P$19:$P$21</definedName>
    <definedName name="OSRRefP16x_0" localSheetId="69">'325'!$P$17:$P$18</definedName>
    <definedName name="OSRRefP16x_0" localSheetId="58">'326'!$P$39:$P$46</definedName>
    <definedName name="OSRRefP16x_0" localSheetId="70">'327'!$P$17:$P$18</definedName>
    <definedName name="OSRRefP16x_0" localSheetId="56">'331'!$P$57:$P$82</definedName>
    <definedName name="OSRRefP16x_0" localSheetId="59">'332'!$P$28:$P$30</definedName>
    <definedName name="OSRRefP16x_0" localSheetId="54">'333'!$P$59:$P$84</definedName>
    <definedName name="OSRRefP16x_0" localSheetId="74">'405'!$P$17:$P$18</definedName>
    <definedName name="OSRRefP16x_0" localSheetId="79">'414'!$P$16</definedName>
    <definedName name="OSRRefP16x_0" localSheetId="80">'415'!$P$17:$P$18</definedName>
    <definedName name="OSRRefP16x_0" localSheetId="81">'418'!$P$15</definedName>
    <definedName name="OSRRefP16x_0" localSheetId="85">'425'!$P$16</definedName>
    <definedName name="OSRRefP16x_0" localSheetId="89">'433'!$P$18:$P$19</definedName>
    <definedName name="OSRRefP16x_0" localSheetId="91">'444'!$P$18:$P$19</definedName>
    <definedName name="OSRRefP16x_0" localSheetId="92">'450'!$P$18:$P$19</definedName>
    <definedName name="OSRRefP16x_0" localSheetId="73">'491'!$P$20:$P$21</definedName>
    <definedName name="OSRRefP16x_0" localSheetId="87">'492'!$P$20:$P$21</definedName>
    <definedName name="OSRRefP16x_0" localSheetId="47">'Div 3'!$P$88:$P$130</definedName>
    <definedName name="OSRRefP16x_0" localSheetId="71">'Div 4'!$P$23:$P$24</definedName>
    <definedName name="OSRRefP16x_0" localSheetId="61">'Div 6'!$P$36:$P$49</definedName>
    <definedName name="OSRRefP16x_0" localSheetId="2">Summary!$P$106:$P$157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'300'!$P$129:$P$138</definedName>
    <definedName name="OSRRefP22_0x_0" localSheetId="49">'300 &amp; 317'!$P$152:$P$161</definedName>
    <definedName name="OSRRefP22_0x_0" localSheetId="50">'301'!$P$21:$P$30</definedName>
    <definedName name="OSRRefP22_0x_0" localSheetId="55">'307'!$P$43:$P$45</definedName>
    <definedName name="OSRRefP22_0x_0" localSheetId="51">'308'!$P$63:$P$71</definedName>
    <definedName name="OSRRefP22_0x_0" localSheetId="65">'309'!$P$26:$P$27</definedName>
    <definedName name="OSRRefP22_0x_0" localSheetId="64">'310'!$P$34:$P$42</definedName>
    <definedName name="OSRRefP22_0x_0" localSheetId="72">'310 &amp; 491'!$P$36:$P$44</definedName>
    <definedName name="OSRRefP22_0x_0" localSheetId="52">'311'!$P$63:$P$71</definedName>
    <definedName name="OSRRefP22_0x_0" localSheetId="66">'313'!$P$25:$P$32</definedName>
    <definedName name="OSRRefP22_0x_0" localSheetId="57">'315'!$P$87:$P$94</definedName>
    <definedName name="OSRRefP22_0x_0" localSheetId="60">'316'!$P$34:$P$41</definedName>
    <definedName name="OSRRefP22_0x_0" localSheetId="62">'317'!$P$55:$P$63</definedName>
    <definedName name="OSRRefP22_0x_0" localSheetId="63">'320'!$P$22:$P$23</definedName>
    <definedName name="OSRRefP22_0x_0" localSheetId="67">'321'!$P$27:$P$35</definedName>
    <definedName name="OSRRefP22_0x_0" localSheetId="68">'322'!$P$21:$P$25</definedName>
    <definedName name="OSRRefP22_0x_0" localSheetId="69">'325'!$P$24:$P$31</definedName>
    <definedName name="OSRRefP22_0x_0" localSheetId="58">'326'!$P$52:$P$59</definedName>
    <definedName name="OSRRefP22_0x_0" localSheetId="70">'327'!$P$24</definedName>
    <definedName name="OSRRefP22_0x_0" localSheetId="56">'331'!$P$88:$P$95</definedName>
    <definedName name="OSRRefP22_0x_0" localSheetId="59">'332'!$P$36:$P$43</definedName>
    <definedName name="OSRRefP22_0x_0" localSheetId="54">'333'!$P$90:$P$97</definedName>
    <definedName name="OSRRefP22_0x_0" localSheetId="74">'405'!$P$24:$P$31</definedName>
    <definedName name="OSRRefP22_0x_0" localSheetId="75">'406'!$P$20</definedName>
    <definedName name="OSRRefP22_0x_0" localSheetId="76">'411'!$P$20:$P$27</definedName>
    <definedName name="OSRRefP22_0x_0" localSheetId="77">'412'!$P$20</definedName>
    <definedName name="OSRRefP22_0x_0" localSheetId="78">'413'!$P$20:$P$24</definedName>
    <definedName name="OSRRefP22_0x_0" localSheetId="79">'414'!$P$22</definedName>
    <definedName name="OSRRefP22_0x_0" localSheetId="80">'415'!$P$24:$P$32</definedName>
    <definedName name="OSRRefP22_0x_0" localSheetId="81">'418'!$P$21:$P$28</definedName>
    <definedName name="OSRRefP22_0x_0" localSheetId="82">'420'!$P$21</definedName>
    <definedName name="OSRRefP22_0x_0" localSheetId="83">'423'!$P$20:$P$21</definedName>
    <definedName name="OSRRefP22_0x_0" localSheetId="84">'424'!$P$20</definedName>
    <definedName name="OSRRefP22_0x_0" localSheetId="85">'425'!$P$22:$P$26</definedName>
    <definedName name="OSRRefP22_0x_0" localSheetId="88">'430'!$P$20:$P$27</definedName>
    <definedName name="OSRRefP22_0x_0" localSheetId="89">'433'!$P$25:$P$33</definedName>
    <definedName name="OSRRefP22_0x_0" localSheetId="90">'435'!$P$22</definedName>
    <definedName name="OSRRefP22_0x_0" localSheetId="91">'444'!$P$25:$P$33</definedName>
    <definedName name="OSRRefP22_0x_0" localSheetId="92">'450'!$P$25:$P$33</definedName>
    <definedName name="OSRRefP22_0x_0" localSheetId="73">'491'!$P$27:$P$35</definedName>
    <definedName name="OSRRefP22_0x_0" localSheetId="87">'492'!$P$27:$P$35</definedName>
    <definedName name="OSRRefP22_0x_0" localSheetId="94">'501'!$P$21:$P$29</definedName>
    <definedName name="OSRRefP22_0x_0" localSheetId="39">'Div 2'!$P$20:$P$30</definedName>
    <definedName name="OSRRefP22_0x_0" localSheetId="47">'Div 3'!$P$136:$P$145</definedName>
    <definedName name="OSRRefP22_0x_0" localSheetId="71">'Div 4'!$P$30:$P$38</definedName>
    <definedName name="OSRRefP22_0x_0" localSheetId="93">'Div 5'!$P$21:$P$29</definedName>
    <definedName name="OSRRefP22_0x_0" localSheetId="61">'Div 6'!$P$55:$P$63</definedName>
    <definedName name="OSRRefP22_0x_0" localSheetId="2">Summary!$P$163:$P$172</definedName>
    <definedName name="OSRRefP22_10x_0" localSheetId="41">'201'!$P$52:$P$54</definedName>
    <definedName name="OSRRefP22_10x_0" localSheetId="42">'202'!$P$54</definedName>
    <definedName name="OSRRefP22_10x_0" localSheetId="43">'203'!$P$56:$P$59</definedName>
    <definedName name="OSRRefP22_10x_0" localSheetId="48">'300'!$P$167:$P$168</definedName>
    <definedName name="OSRRefP22_10x_0" localSheetId="49">'300 &amp; 317'!$P$190:$P$191</definedName>
    <definedName name="OSRRefP22_10x_0" localSheetId="50">'301'!$P$59</definedName>
    <definedName name="OSRRefP22_10x_0" localSheetId="55">'307'!$P$71</definedName>
    <definedName name="OSRRefP22_10x_0" localSheetId="51">'308'!$P$101:$P$102</definedName>
    <definedName name="OSRRefP22_10x_0" localSheetId="65">'309'!$P$50:$P$51</definedName>
    <definedName name="OSRRefP22_10x_0" localSheetId="64">'310'!$P$68</definedName>
    <definedName name="OSRRefP22_10x_0" localSheetId="72">'310 &amp; 491'!$P$72</definedName>
    <definedName name="OSRRefP22_10x_0" localSheetId="52">'311'!$P$101:$P$102</definedName>
    <definedName name="OSRRefP22_10x_0" localSheetId="57">'315'!$P$122:$P$123</definedName>
    <definedName name="OSRRefP22_10x_0" localSheetId="60">'316'!$P$66</definedName>
    <definedName name="OSRRefP22_10x_0" localSheetId="62">'317'!$P$91</definedName>
    <definedName name="OSRRefP22_10x_0" localSheetId="67">'321'!$P$63:$P$67</definedName>
    <definedName name="OSRRefP22_10x_0" localSheetId="69">'325'!$P$54:$P$55</definedName>
    <definedName name="OSRRefP22_10x_0" localSheetId="58">'326'!$P$84</definedName>
    <definedName name="OSRRefP22_10x_0" localSheetId="56">'331'!$P$122</definedName>
    <definedName name="OSRRefP22_10x_0" localSheetId="59">'332'!$P$68</definedName>
    <definedName name="OSRRefP22_10x_0" localSheetId="54">'333'!$P$124</definedName>
    <definedName name="OSRRefP22_10x_0" localSheetId="74">'405'!$P$55:$P$56</definedName>
    <definedName name="OSRRefP22_10x_0" localSheetId="76">'411'!$P$55:$P$57</definedName>
    <definedName name="OSRRefP22_10x_0" localSheetId="80">'415'!$P$57</definedName>
    <definedName name="OSRRefP22_10x_0" localSheetId="81">'418'!$P$53</definedName>
    <definedName name="OSRRefP22_10x_0" localSheetId="89">'433'!$P$58</definedName>
    <definedName name="OSRRefP22_10x_0" localSheetId="91">'444'!$P$58</definedName>
    <definedName name="OSRRefP22_10x_0" localSheetId="92">'450'!$P$57</definedName>
    <definedName name="OSRRefP22_10x_0" localSheetId="73">'491'!$P$61</definedName>
    <definedName name="OSRRefP22_10x_0" localSheetId="87">'492'!$P$61</definedName>
    <definedName name="OSRRefP22_10x_0" localSheetId="94">'501'!$P$59</definedName>
    <definedName name="OSRRefP22_10x_0" localSheetId="39">'Div 2'!$P$56</definedName>
    <definedName name="OSRRefP22_10x_0" localSheetId="47">'Div 3'!$P$174:$P$175</definedName>
    <definedName name="OSRRefP22_10x_0" localSheetId="71">'Div 4'!$P$65</definedName>
    <definedName name="OSRRefP22_10x_0" localSheetId="93">'Div 5'!$P$59</definedName>
    <definedName name="OSRRefP22_10x_0" localSheetId="61">'Div 6'!$P$91</definedName>
    <definedName name="OSRRefP22_10x_0" localSheetId="2">Summary!$P$201:$P$202</definedName>
    <definedName name="OSRRefP22_11x_0" localSheetId="41">'201'!$P$56</definedName>
    <definedName name="OSRRefP22_11x_0" localSheetId="42">'202'!$P$56</definedName>
    <definedName name="OSRRefP22_11x_0" localSheetId="43">'203'!$P$61</definedName>
    <definedName name="OSRRefP22_11x_0" localSheetId="48">'300'!$P$170</definedName>
    <definedName name="OSRRefP22_11x_0" localSheetId="49">'300 &amp; 317'!$P$193</definedName>
    <definedName name="OSRRefP22_11x_0" localSheetId="50">'301'!$P$61</definedName>
    <definedName name="OSRRefP22_11x_0" localSheetId="55">'307'!$P$73:$P$76</definedName>
    <definedName name="OSRRefP22_11x_0" localSheetId="51">'308'!$P$104:$P$105</definedName>
    <definedName name="OSRRefP22_11x_0" localSheetId="65">'309'!$P$53</definedName>
    <definedName name="OSRRefP22_11x_0" localSheetId="64">'310'!$P$70:$P$71</definedName>
    <definedName name="OSRRefP22_11x_0" localSheetId="72">'310 &amp; 491'!$P$74</definedName>
    <definedName name="OSRRefP22_11x_0" localSheetId="52">'311'!$P$104:$P$105</definedName>
    <definedName name="OSRRefP22_11x_0" localSheetId="57">'315'!$P$125:$P$126</definedName>
    <definedName name="OSRRefP22_11x_0" localSheetId="60">'316'!$P$68:$P$72</definedName>
    <definedName name="OSRRefP22_11x_0" localSheetId="62">'317'!$P$93</definedName>
    <definedName name="OSRRefP22_11x_0" localSheetId="67">'321'!$P$69</definedName>
    <definedName name="OSRRefP22_11x_0" localSheetId="69">'325'!$P$57:$P$60</definedName>
    <definedName name="OSRRefP22_11x_0" localSheetId="58">'326'!$P$86:$P$88</definedName>
    <definedName name="OSRRefP22_11x_0" localSheetId="56">'331'!$P$124:$P$125</definedName>
    <definedName name="OSRRefP22_11x_0" localSheetId="59">'332'!$P$70:$P$74</definedName>
    <definedName name="OSRRefP22_11x_0" localSheetId="54">'333'!$P$126:$P$127</definedName>
    <definedName name="OSRRefP22_11x_0" localSheetId="74">'405'!$P$58:$P$61</definedName>
    <definedName name="OSRRefP22_11x_0" localSheetId="76">'411'!$P$59</definedName>
    <definedName name="OSRRefP22_11x_0" localSheetId="80">'415'!$P$59:$P$60</definedName>
    <definedName name="OSRRefP22_11x_0" localSheetId="81">'418'!$P$55:$P$60</definedName>
    <definedName name="OSRRefP22_11x_0" localSheetId="89">'433'!$P$60:$P$61</definedName>
    <definedName name="OSRRefP22_11x_0" localSheetId="91">'444'!$P$60:$P$61</definedName>
    <definedName name="OSRRefP22_11x_0" localSheetId="92">'450'!$P$59</definedName>
    <definedName name="OSRRefP22_11x_0" localSheetId="73">'491'!$P$63</definedName>
    <definedName name="OSRRefP22_11x_0" localSheetId="87">'492'!$P$63</definedName>
    <definedName name="OSRRefP22_11x_0" localSheetId="39">'Div 2'!$P$58</definedName>
    <definedName name="OSRRefP22_11x_0" localSheetId="47">'Div 3'!$P$177</definedName>
    <definedName name="OSRRefP22_11x_0" localSheetId="71">'Div 4'!$P$67</definedName>
    <definedName name="OSRRefP22_11x_0" localSheetId="61">'Div 6'!$P$93</definedName>
    <definedName name="OSRRefP22_11x_0" localSheetId="2">Summary!$P$204</definedName>
    <definedName name="OSRRefP22_12x_0" localSheetId="41">'201'!$P$58:$P$59</definedName>
    <definedName name="OSRRefP22_12x_0" localSheetId="42">'202'!$P$58</definedName>
    <definedName name="OSRRefP22_12x_0" localSheetId="43">'203'!$P$63</definedName>
    <definedName name="OSRRefP22_12x_0" localSheetId="48">'300'!$P$172</definedName>
    <definedName name="OSRRefP22_12x_0" localSheetId="49">'300 &amp; 317'!$P$195</definedName>
    <definedName name="OSRRefP22_12x_0" localSheetId="50">'301'!$P$63</definedName>
    <definedName name="OSRRefP22_12x_0" localSheetId="55">'307'!$P$78</definedName>
    <definedName name="OSRRefP22_12x_0" localSheetId="51">'308'!$P$107:$P$108</definedName>
    <definedName name="OSRRefP22_12x_0" localSheetId="65">'309'!$P$55</definedName>
    <definedName name="OSRRefP22_12x_0" localSheetId="64">'310'!$P$73</definedName>
    <definedName name="OSRRefP22_12x_0" localSheetId="72">'310 &amp; 491'!$P$76</definedName>
    <definedName name="OSRRefP22_12x_0" localSheetId="52">'311'!$P$107:$P$108</definedName>
    <definedName name="OSRRefP22_12x_0" localSheetId="57">'315'!$P$128:$P$129</definedName>
    <definedName name="OSRRefP22_12x_0" localSheetId="60">'316'!$P$74</definedName>
    <definedName name="OSRRefP22_12x_0" localSheetId="67">'321'!$P$71</definedName>
    <definedName name="OSRRefP22_12x_0" localSheetId="69">'325'!$P$62:$P$67</definedName>
    <definedName name="OSRRefP22_12x_0" localSheetId="58">'326'!$P$90:$P$92</definedName>
    <definedName name="OSRRefP22_12x_0" localSheetId="56">'331'!$P$127</definedName>
    <definedName name="OSRRefP22_12x_0" localSheetId="59">'332'!$P$76</definedName>
    <definedName name="OSRRefP22_12x_0" localSheetId="54">'333'!$P$129</definedName>
    <definedName name="OSRRefP22_12x_0" localSheetId="74">'405'!$P$63</definedName>
    <definedName name="OSRRefP22_12x_0" localSheetId="76">'411'!$P$61:$P$62</definedName>
    <definedName name="OSRRefP22_12x_0" localSheetId="80">'415'!$P$62:$P$65</definedName>
    <definedName name="OSRRefP22_12x_0" localSheetId="81">'418'!$P$62</definedName>
    <definedName name="OSRRefP22_12x_0" localSheetId="89">'433'!$P$63:$P$65</definedName>
    <definedName name="OSRRefP22_12x_0" localSheetId="91">'444'!$P$63:$P$66</definedName>
    <definedName name="OSRRefP22_12x_0" localSheetId="92">'450'!$P$61:$P$62</definedName>
    <definedName name="OSRRefP22_12x_0" localSheetId="73">'491'!$P$65</definedName>
    <definedName name="OSRRefP22_12x_0" localSheetId="87">'492'!$P$65:$P$67</definedName>
    <definedName name="OSRRefP22_12x_0" localSheetId="39">'Div 2'!$P$60:$P$62</definedName>
    <definedName name="OSRRefP22_12x_0" localSheetId="47">'Div 3'!$P$179</definedName>
    <definedName name="OSRRefP22_12x_0" localSheetId="71">'Div 4'!$P$69</definedName>
    <definedName name="OSRRefP22_12x_0" localSheetId="2">Summary!$P$206</definedName>
    <definedName name="OSRRefP22_13x_0" localSheetId="41">'201'!$P$61</definedName>
    <definedName name="OSRRefP22_13x_0" localSheetId="43">'203'!$P$65</definedName>
    <definedName name="OSRRefP22_13x_0" localSheetId="48">'300'!$P$174:$P$175</definedName>
    <definedName name="OSRRefP22_13x_0" localSheetId="49">'300 &amp; 317'!$P$197:$P$198</definedName>
    <definedName name="OSRRefP22_13x_0" localSheetId="50">'301'!$P$65</definedName>
    <definedName name="OSRRefP22_13x_0" localSheetId="55">'307'!$P$80</definedName>
    <definedName name="OSRRefP22_13x_0" localSheetId="51">'308'!$P$110</definedName>
    <definedName name="OSRRefP22_13x_0" localSheetId="64">'310'!$P$75:$P$78</definedName>
    <definedName name="OSRRefP22_13x_0" localSheetId="72">'310 &amp; 491'!$P$78:$P$81</definedName>
    <definedName name="OSRRefP22_13x_0" localSheetId="52">'311'!$P$110</definedName>
    <definedName name="OSRRefP22_13x_0" localSheetId="57">'315'!$P$131:$P$135</definedName>
    <definedName name="OSRRefP22_13x_0" localSheetId="60">'316'!$P$76</definedName>
    <definedName name="OSRRefP22_13x_0" localSheetId="67">'321'!$P$73</definedName>
    <definedName name="OSRRefP22_13x_0" localSheetId="69">'325'!$P$69</definedName>
    <definedName name="OSRRefP22_13x_0" localSheetId="58">'326'!$P$94:$P$95</definedName>
    <definedName name="OSRRefP22_13x_0" localSheetId="56">'331'!$P$129</definedName>
    <definedName name="OSRRefP22_13x_0" localSheetId="59">'332'!$P$78</definedName>
    <definedName name="OSRRefP22_13x_0" localSheetId="54">'333'!$P$131</definedName>
    <definedName name="OSRRefP22_13x_0" localSheetId="74">'405'!$P$65:$P$73</definedName>
    <definedName name="OSRRefP22_13x_0" localSheetId="76">'411'!$P$64</definedName>
    <definedName name="OSRRefP22_13x_0" localSheetId="80">'415'!$P$67</definedName>
    <definedName name="OSRRefP22_13x_0" localSheetId="81">'418'!$P$64</definedName>
    <definedName name="OSRRefP22_13x_0" localSheetId="89">'433'!$P$67:$P$74</definedName>
    <definedName name="OSRRefP22_13x_0" localSheetId="91">'444'!$P$68</definedName>
    <definedName name="OSRRefP22_13x_0" localSheetId="92">'450'!$P$64:$P$66</definedName>
    <definedName name="OSRRefP22_13x_0" localSheetId="73">'491'!$P$67:$P$70</definedName>
    <definedName name="OSRRefP22_13x_0" localSheetId="87">'492'!$P$69:$P$72</definedName>
    <definedName name="OSRRefP22_13x_0" localSheetId="39">'Div 2'!$P$64:$P$67</definedName>
    <definedName name="OSRRefP22_13x_0" localSheetId="47">'Div 3'!$P$181</definedName>
    <definedName name="OSRRefP22_13x_0" localSheetId="71">'Div 4'!$P$71</definedName>
    <definedName name="OSRRefP22_13x_0" localSheetId="2">Summary!$P$208</definedName>
    <definedName name="OSRRefP22_14x_0" localSheetId="41">'201'!$P$63</definedName>
    <definedName name="OSRRefP22_14x_0" localSheetId="48">'300'!$P$177</definedName>
    <definedName name="OSRRefP22_14x_0" localSheetId="49">'300 &amp; 317'!$P$200</definedName>
    <definedName name="OSRRefP22_14x_0" localSheetId="50">'301'!$P$67</definedName>
    <definedName name="OSRRefP22_14x_0" localSheetId="64">'310'!$P$80:$P$85</definedName>
    <definedName name="OSRRefP22_14x_0" localSheetId="72">'310 &amp; 491'!$P$83</definedName>
    <definedName name="OSRRefP22_14x_0" localSheetId="57">'315'!$P$137</definedName>
    <definedName name="OSRRefP22_14x_0" localSheetId="69">'325'!$P$71</definedName>
    <definedName name="OSRRefP22_14x_0" localSheetId="58">'326'!$P$97:$P$100</definedName>
    <definedName name="OSRRefP22_14x_0" localSheetId="56">'331'!$P$131:$P$133</definedName>
    <definedName name="OSRRefP22_14x_0" localSheetId="54">'333'!$P$133:$P$135</definedName>
    <definedName name="OSRRefP22_14x_0" localSheetId="74">'405'!$P$75</definedName>
    <definedName name="OSRRefP22_14x_0" localSheetId="76">'411'!$P$66:$P$67</definedName>
    <definedName name="OSRRefP22_14x_0" localSheetId="80">'415'!$P$69:$P$74</definedName>
    <definedName name="OSRRefP22_14x_0" localSheetId="89">'433'!$P$76</definedName>
    <definedName name="OSRRefP22_14x_0" localSheetId="91">'444'!$P$70:$P$77</definedName>
    <definedName name="OSRRefP22_14x_0" localSheetId="92">'450'!$P$68:$P$73</definedName>
    <definedName name="OSRRefP22_14x_0" localSheetId="73">'491'!$P$72</definedName>
    <definedName name="OSRRefP22_14x_0" localSheetId="87">'492'!$P$74</definedName>
    <definedName name="OSRRefP22_14x_0" localSheetId="39">'Div 2'!$P$69</definedName>
    <definedName name="OSRRefP22_14x_0" localSheetId="47">'Div 3'!$P$183:$P$184</definedName>
    <definedName name="OSRRefP22_14x_0" localSheetId="71">'Div 4'!$P$73</definedName>
    <definedName name="OSRRefP22_14x_0" localSheetId="2">Summary!$P$210:$P$211</definedName>
    <definedName name="OSRRefP22_15x_0" localSheetId="48">'300'!$P$179</definedName>
    <definedName name="OSRRefP22_15x_0" localSheetId="49">'300 &amp; 317'!$P$202</definedName>
    <definedName name="OSRRefP22_15x_0" localSheetId="50">'301'!$P$69:$P$72</definedName>
    <definedName name="OSRRefP22_15x_0" localSheetId="64">'310'!$P$87</definedName>
    <definedName name="OSRRefP22_15x_0" localSheetId="72">'310 &amp; 491'!$P$85:$P$88</definedName>
    <definedName name="OSRRefP22_15x_0" localSheetId="57">'315'!$P$139</definedName>
    <definedName name="OSRRefP22_15x_0" localSheetId="69">'325'!$P$73</definedName>
    <definedName name="OSRRefP22_15x_0" localSheetId="58">'326'!$P$102</definedName>
    <definedName name="OSRRefP22_15x_0" localSheetId="56">'331'!$P$135:$P$136</definedName>
    <definedName name="OSRRefP22_15x_0" localSheetId="54">'333'!$P$137:$P$138</definedName>
    <definedName name="OSRRefP22_15x_0" localSheetId="74">'405'!$P$77</definedName>
    <definedName name="OSRRefP22_15x_0" localSheetId="76">'411'!$P$69</definedName>
    <definedName name="OSRRefP22_15x_0" localSheetId="80">'415'!$P$76</definedName>
    <definedName name="OSRRefP22_15x_0" localSheetId="91">'444'!$P$79</definedName>
    <definedName name="OSRRefP22_15x_0" localSheetId="92">'450'!$P$75</definedName>
    <definedName name="OSRRefP22_15x_0" localSheetId="73">'491'!$P$74:$P$77</definedName>
    <definedName name="OSRRefP22_15x_0" localSheetId="87">'492'!$P$76:$P$83</definedName>
    <definedName name="OSRRefP22_15x_0" localSheetId="39">'Div 2'!$P$71:$P$72</definedName>
    <definedName name="OSRRefP22_15x_0" localSheetId="47">'Div 3'!$P$186</definedName>
    <definedName name="OSRRefP22_15x_0" localSheetId="71">'Div 4'!$P$75:$P$78</definedName>
    <definedName name="OSRRefP22_15x_0" localSheetId="2">Summary!$P$213</definedName>
    <definedName name="OSRRefP22_16x_0" localSheetId="48">'300'!$P$181:$P$184</definedName>
    <definedName name="OSRRefP22_16x_0" localSheetId="49">'300 &amp; 317'!$P$204:$P$207</definedName>
    <definedName name="OSRRefP22_16x_0" localSheetId="50">'301'!$P$74:$P$76</definedName>
    <definedName name="OSRRefP22_16x_0" localSheetId="64">'310'!$P$89</definedName>
    <definedName name="OSRRefP22_16x_0" localSheetId="72">'310 &amp; 491'!$P$90</definedName>
    <definedName name="OSRRefP22_16x_0" localSheetId="57">'315'!$P$141</definedName>
    <definedName name="OSRRefP22_16x_0" localSheetId="58">'326'!$P$104</definedName>
    <definedName name="OSRRefP22_16x_0" localSheetId="56">'331'!$P$138:$P$140</definedName>
    <definedName name="OSRRefP22_16x_0" localSheetId="54">'333'!$P$140:$P$143</definedName>
    <definedName name="OSRRefP22_16x_0" localSheetId="74">'405'!$P$79</definedName>
    <definedName name="OSRRefP22_16x_0" localSheetId="80">'415'!$P$78</definedName>
    <definedName name="OSRRefP22_16x_0" localSheetId="91">'444'!$P$81</definedName>
    <definedName name="OSRRefP22_16x_0" localSheetId="92">'450'!$P$77</definedName>
    <definedName name="OSRRefP22_16x_0" localSheetId="73">'491'!$P$79</definedName>
    <definedName name="OSRRefP22_16x_0" localSheetId="87">'492'!$P$85</definedName>
    <definedName name="OSRRefP22_16x_0" localSheetId="39">'Div 2'!$P$74:$P$78</definedName>
    <definedName name="OSRRefP22_16x_0" localSheetId="47">'Div 3'!$P$188</definedName>
    <definedName name="OSRRefP22_16x_0" localSheetId="71">'Div 4'!$P$80</definedName>
    <definedName name="OSRRefP22_16x_0" localSheetId="2">Summary!$P$215</definedName>
    <definedName name="OSRRefP22_17x_0" localSheetId="48">'300'!$P$186:$P$188</definedName>
    <definedName name="OSRRefP22_17x_0" localSheetId="49">'300 &amp; 317'!$P$209:$P$211</definedName>
    <definedName name="OSRRefP22_17x_0" localSheetId="50">'301'!$P$78</definedName>
    <definedName name="OSRRefP22_17x_0" localSheetId="64">'310'!$P$91</definedName>
    <definedName name="OSRRefP22_17x_0" localSheetId="72">'310 &amp; 491'!$P$92:$P$100</definedName>
    <definedName name="OSRRefP22_17x_0" localSheetId="58">'326'!$P$106</definedName>
    <definedName name="OSRRefP22_17x_0" localSheetId="56">'331'!$P$142:$P$143</definedName>
    <definedName name="OSRRefP22_17x_0" localSheetId="54">'333'!$P$145:$P$146</definedName>
    <definedName name="OSRRefP22_17x_0" localSheetId="80">'415'!$P$80</definedName>
    <definedName name="OSRRefP22_17x_0" localSheetId="73">'491'!$P$81:$P$89</definedName>
    <definedName name="OSRRefP22_17x_0" localSheetId="87">'492'!$P$87</definedName>
    <definedName name="OSRRefP22_17x_0" localSheetId="39">'Div 2'!$P$80:$P$81</definedName>
    <definedName name="OSRRefP22_17x_0" localSheetId="47">'Div 3'!$P$190:$P$193</definedName>
    <definedName name="OSRRefP22_17x_0" localSheetId="71">'Div 4'!$P$82:$P$85</definedName>
    <definedName name="OSRRefP22_17x_0" localSheetId="2">Summary!$P$217</definedName>
    <definedName name="OSRRefP22_18x_0" localSheetId="48">'300'!$P$190:$P$193</definedName>
    <definedName name="OSRRefP22_18x_0" localSheetId="49">'300 &amp; 317'!$P$213:$P$216</definedName>
    <definedName name="OSRRefP22_18x_0" localSheetId="50">'301'!$P$80:$P$85</definedName>
    <definedName name="OSRRefP22_18x_0" localSheetId="72">'310 &amp; 491'!$P$102</definedName>
    <definedName name="OSRRefP22_18x_0" localSheetId="56">'331'!$P$145:$P$150</definedName>
    <definedName name="OSRRefP22_18x_0" localSheetId="54">'333'!$P$148:$P$153</definedName>
    <definedName name="OSRRefP22_18x_0" localSheetId="73">'491'!$P$91</definedName>
    <definedName name="OSRRefP22_18x_0" localSheetId="87">'492'!$P$89:$P$90</definedName>
    <definedName name="OSRRefP22_18x_0" localSheetId="39">'Div 2'!$P$83</definedName>
    <definedName name="OSRRefP22_18x_0" localSheetId="47">'Div 3'!$P$195:$P$197</definedName>
    <definedName name="OSRRefP22_18x_0" localSheetId="71">'Div 4'!$P$87:$P$88</definedName>
    <definedName name="OSRRefP22_18x_0" localSheetId="2">Summary!$P$219:$P$222</definedName>
    <definedName name="OSRRefP22_19x_0" localSheetId="48">'300'!$P$195:$P$196</definedName>
    <definedName name="OSRRefP22_19x_0" localSheetId="49">'300 &amp; 317'!$P$218:$P$219</definedName>
    <definedName name="OSRRefP22_19x_0" localSheetId="50">'301'!$P$87</definedName>
    <definedName name="OSRRefP22_19x_0" localSheetId="72">'310 &amp; 491'!$P$104</definedName>
    <definedName name="OSRRefP22_19x_0" localSheetId="56">'331'!$P$152</definedName>
    <definedName name="OSRRefP22_19x_0" localSheetId="54">'333'!$P$155</definedName>
    <definedName name="OSRRefP22_19x_0" localSheetId="73">'491'!$P$93</definedName>
    <definedName name="OSRRefP22_19x_0" localSheetId="39">'Div 2'!$P$85:$P$86</definedName>
    <definedName name="OSRRefP22_19x_0" localSheetId="47">'Div 3'!$P$199:$P$203</definedName>
    <definedName name="OSRRefP22_19x_0" localSheetId="71">'Div 4'!$P$90:$P$98</definedName>
    <definedName name="OSRRefP22_19x_0" localSheetId="2">Summary!$P$224:$P$226</definedName>
    <definedName name="OSRRefP22_1x_0" localSheetId="40">'200'!$P$22</definedName>
    <definedName name="OSRRefP22_1x_0" localSheetId="41">'201'!$P$29:$P$32</definedName>
    <definedName name="OSRRefP22_1x_0" localSheetId="42">'202'!$P$29:$P$31</definedName>
    <definedName name="OSRRefP22_1x_0" localSheetId="43">'203'!$P$31:$P$35</definedName>
    <definedName name="OSRRefP22_1x_0" localSheetId="44">'204'!$P$30:$P$32</definedName>
    <definedName name="OSRRefP22_1x_0" localSheetId="45">'205'!$P$29</definedName>
    <definedName name="OSRRefP22_1x_0" localSheetId="46">'206'!$P$29:$P$32</definedName>
    <definedName name="OSRRefP22_1x_0" localSheetId="48">'300'!$P$140:$P$146</definedName>
    <definedName name="OSRRefP22_1x_0" localSheetId="49">'300 &amp; 317'!$P$163:$P$169</definedName>
    <definedName name="OSRRefP22_1x_0" localSheetId="50">'301'!$P$32:$P$38</definedName>
    <definedName name="OSRRefP22_1x_0" localSheetId="55">'307'!$P$47:$P$50</definedName>
    <definedName name="OSRRefP22_1x_0" localSheetId="51">'308'!$P$73:$P$79</definedName>
    <definedName name="OSRRefP22_1x_0" localSheetId="65">'309'!$P$29:$P$30</definedName>
    <definedName name="OSRRefP22_1x_0" localSheetId="64">'310'!$P$44:$P$49</definedName>
    <definedName name="OSRRefP22_1x_0" localSheetId="72">'310 &amp; 491'!$P$46:$P$52</definedName>
    <definedName name="OSRRefP22_1x_0" localSheetId="52">'311'!$P$73:$P$79</definedName>
    <definedName name="OSRRefP22_1x_0" localSheetId="66">'313'!$P$34</definedName>
    <definedName name="OSRRefP22_1x_0" localSheetId="57">'315'!$P$96:$P$101</definedName>
    <definedName name="OSRRefP22_1x_0" localSheetId="60">'316'!$P$43:$P$45</definedName>
    <definedName name="OSRRefP22_1x_0" localSheetId="62">'317'!$P$65:$P$69</definedName>
    <definedName name="OSRRefP22_1x_0" localSheetId="63">'320'!$P$25</definedName>
    <definedName name="OSRRefP22_1x_0" localSheetId="67">'321'!$P$37:$P$42</definedName>
    <definedName name="OSRRefP22_1x_0" localSheetId="68">'322'!$P$27</definedName>
    <definedName name="OSRRefP22_1x_0" localSheetId="69">'325'!$P$33:$P$35</definedName>
    <definedName name="OSRRefP22_1x_0" localSheetId="58">'326'!$P$61:$P$66</definedName>
    <definedName name="OSRRefP22_1x_0" localSheetId="70">'327'!$P$26</definedName>
    <definedName name="OSRRefP22_1x_0" localSheetId="56">'331'!$P$97:$P$102</definedName>
    <definedName name="OSRRefP22_1x_0" localSheetId="59">'332'!$P$45:$P$47</definedName>
    <definedName name="OSRRefP22_1x_0" localSheetId="54">'333'!$P$99:$P$104</definedName>
    <definedName name="OSRRefP22_1x_0" localSheetId="74">'405'!$P$33:$P$36</definedName>
    <definedName name="OSRRefP22_1x_0" localSheetId="75">'406'!$P$22</definedName>
    <definedName name="OSRRefP22_1x_0" localSheetId="76">'411'!$P$29:$P$33</definedName>
    <definedName name="OSRRefP22_1x_0" localSheetId="77">'412'!$P$22</definedName>
    <definedName name="OSRRefP22_1x_0" localSheetId="78">'413'!$P$26</definedName>
    <definedName name="OSRRefP22_1x_0" localSheetId="79">'414'!$P$24</definedName>
    <definedName name="OSRRefP22_1x_0" localSheetId="80">'415'!$P$34:$P$38</definedName>
    <definedName name="OSRRefP22_1x_0" localSheetId="81">'418'!$P$30:$P$33</definedName>
    <definedName name="OSRRefP22_1x_0" localSheetId="82">'420'!$P$23</definedName>
    <definedName name="OSRRefP22_1x_0" localSheetId="83">'423'!$P$23</definedName>
    <definedName name="OSRRefP22_1x_0" localSheetId="84">'424'!$P$22</definedName>
    <definedName name="OSRRefP22_1x_0" localSheetId="85">'425'!$P$28</definedName>
    <definedName name="OSRRefP22_1x_0" localSheetId="88">'430'!$P$29</definedName>
    <definedName name="OSRRefP22_1x_0" localSheetId="89">'433'!$P$35:$P$40</definedName>
    <definedName name="OSRRefP22_1x_0" localSheetId="90">'435'!$P$24</definedName>
    <definedName name="OSRRefP22_1x_0" localSheetId="91">'444'!$P$35:$P$40</definedName>
    <definedName name="OSRRefP22_1x_0" localSheetId="92">'450'!$P$35:$P$39</definedName>
    <definedName name="OSRRefP22_1x_0" localSheetId="73">'491'!$P$37:$P$42</definedName>
    <definedName name="OSRRefP22_1x_0" localSheetId="87">'492'!$P$37:$P$43</definedName>
    <definedName name="OSRRefP22_1x_0" localSheetId="94">'501'!$P$31:$P$36</definedName>
    <definedName name="OSRRefP22_1x_0" localSheetId="39">'Div 2'!$P$32:$P$37</definedName>
    <definedName name="OSRRefP22_1x_0" localSheetId="47">'Div 3'!$P$147:$P$153</definedName>
    <definedName name="OSRRefP22_1x_0" localSheetId="71">'Div 4'!$P$40:$P$46</definedName>
    <definedName name="OSRRefP22_1x_0" localSheetId="93">'Div 5'!$P$31:$P$36</definedName>
    <definedName name="OSRRefP22_1x_0" localSheetId="61">'Div 6'!$P$65:$P$69</definedName>
    <definedName name="OSRRefP22_1x_0" localSheetId="2">Summary!$P$174:$P$180</definedName>
    <definedName name="OSRRefP22_20x_0" localSheetId="48">'300'!$P$198:$P$204</definedName>
    <definedName name="OSRRefP22_20x_0" localSheetId="49">'300 &amp; 317'!$P$221:$P$227</definedName>
    <definedName name="OSRRefP22_20x_0" localSheetId="50">'301'!$P$89</definedName>
    <definedName name="OSRRefP22_20x_0" localSheetId="72">'310 &amp; 491'!$P$106:$P$107</definedName>
    <definedName name="OSRRefP22_20x_0" localSheetId="56">'331'!$P$154</definedName>
    <definedName name="OSRRefP22_20x_0" localSheetId="54">'333'!$P$157</definedName>
    <definedName name="OSRRefP22_20x_0" localSheetId="73">'491'!$P$95:$P$96</definedName>
    <definedName name="OSRRefP22_20x_0" localSheetId="47">'Div 3'!$P$205:$P$206</definedName>
    <definedName name="OSRRefP22_20x_0" localSheetId="71">'Div 4'!$P$100</definedName>
    <definedName name="OSRRefP22_20x_0" localSheetId="2">Summary!$P$228:$P$232</definedName>
    <definedName name="OSRRefP22_21x_0" localSheetId="48">'300'!$P$206:$P$207</definedName>
    <definedName name="OSRRefP22_21x_0" localSheetId="49">'300 &amp; 317'!$P$229:$P$230</definedName>
    <definedName name="OSRRefP22_21x_0" localSheetId="50">'301'!$P$91:$P$92</definedName>
    <definedName name="OSRRefP22_21x_0" localSheetId="72">'310 &amp; 491'!$P$109</definedName>
    <definedName name="OSRRefP22_21x_0" localSheetId="56">'331'!$P$156</definedName>
    <definedName name="OSRRefP22_21x_0" localSheetId="54">'333'!$P$159</definedName>
    <definedName name="OSRRefP22_21x_0" localSheetId="73">'491'!$P$98</definedName>
    <definedName name="OSRRefP22_21x_0" localSheetId="47">'Div 3'!$P$208:$P$214</definedName>
    <definedName name="OSRRefP22_21x_0" localSheetId="71">'Div 4'!$P$102</definedName>
    <definedName name="OSRRefP22_21x_0" localSheetId="2">Summary!$P$234:$P$235</definedName>
    <definedName name="OSRRefP22_22x_0" localSheetId="48">'300'!$P$209</definedName>
    <definedName name="OSRRefP22_22x_0" localSheetId="49">'300 &amp; 317'!$P$232</definedName>
    <definedName name="OSRRefP22_22x_0" localSheetId="50">'301'!$P$94</definedName>
    <definedName name="OSRRefP22_22x_0" localSheetId="56">'331'!$P$158</definedName>
    <definedName name="OSRRefP22_22x_0" localSheetId="54">'333'!$P$161</definedName>
    <definedName name="OSRRefP22_22x_0" localSheetId="47">'Div 3'!$P$216:$P$217</definedName>
    <definedName name="OSRRefP22_22x_0" localSheetId="71">'Div 4'!$P$104:$P$105</definedName>
    <definedName name="OSRRefP22_22x_0" localSheetId="2">Summary!$P$237:$P$245</definedName>
    <definedName name="OSRRefP22_23x_0" localSheetId="48">'300'!$P$211:$P$213</definedName>
    <definedName name="OSRRefP22_23x_0" localSheetId="49">'300 &amp; 317'!$P$234:$P$236</definedName>
    <definedName name="OSRRefP22_23x_0" localSheetId="47">'Div 3'!$P$219</definedName>
    <definedName name="OSRRefP22_23x_0" localSheetId="71">'Div 4'!$P$107</definedName>
    <definedName name="OSRRefP22_23x_0" localSheetId="2">Summary!$P$247:$P$248</definedName>
    <definedName name="OSRRefP22_24x_0" localSheetId="48">'300'!$P$215</definedName>
    <definedName name="OSRRefP22_24x_0" localSheetId="49">'300 &amp; 317'!$P$238</definedName>
    <definedName name="OSRRefP22_24x_0" localSheetId="47">'Div 3'!$P$221:$P$223</definedName>
    <definedName name="OSRRefP22_24x_0" localSheetId="2">Summary!$P$250</definedName>
    <definedName name="OSRRefP22_25x_0" localSheetId="47">'Div 3'!$P$225</definedName>
    <definedName name="OSRRefP22_25x_0" localSheetId="2">Summary!$P$252:$P$254</definedName>
    <definedName name="OSRRefP22_26x_0" localSheetId="2">Summary!$P$256</definedName>
    <definedName name="OSRRefP22_2x_0" localSheetId="40">'200'!$P$24</definedName>
    <definedName name="OSRRefP22_2x_0" localSheetId="41">'201'!$P$34</definedName>
    <definedName name="OSRRefP22_2x_0" localSheetId="42">'202'!$P$33</definedName>
    <definedName name="OSRRefP22_2x_0" localSheetId="43">'203'!$P$37</definedName>
    <definedName name="OSRRefP22_2x_0" localSheetId="44">'204'!$P$34</definedName>
    <definedName name="OSRRefP22_2x_0" localSheetId="45">'205'!$P$31</definedName>
    <definedName name="OSRRefP22_2x_0" localSheetId="46">'206'!$P$34</definedName>
    <definedName name="OSRRefP22_2x_0" localSheetId="48">'300'!$P$148</definedName>
    <definedName name="OSRRefP22_2x_0" localSheetId="49">'300 &amp; 317'!$P$171</definedName>
    <definedName name="OSRRefP22_2x_0" localSheetId="50">'301'!$P$40</definedName>
    <definedName name="OSRRefP22_2x_0" localSheetId="55">'307'!$P$52</definedName>
    <definedName name="OSRRefP22_2x_0" localSheetId="51">'308'!$P$81</definedName>
    <definedName name="OSRRefP22_2x_0" localSheetId="65">'309'!$P$32</definedName>
    <definedName name="OSRRefP22_2x_0" localSheetId="64">'310'!$P$51</definedName>
    <definedName name="OSRRefP22_2x_0" localSheetId="72">'310 &amp; 491'!$P$54</definedName>
    <definedName name="OSRRefP22_2x_0" localSheetId="52">'311'!$P$81</definedName>
    <definedName name="OSRRefP22_2x_0" localSheetId="66">'313'!$P$36</definedName>
    <definedName name="OSRRefP22_2x_0" localSheetId="57">'315'!$P$103</definedName>
    <definedName name="OSRRefP22_2x_0" localSheetId="60">'316'!$P$47</definedName>
    <definedName name="OSRRefP22_2x_0" localSheetId="62">'317'!$P$71</definedName>
    <definedName name="OSRRefP22_2x_0" localSheetId="63">'320'!$P$27</definedName>
    <definedName name="OSRRefP22_2x_0" localSheetId="67">'321'!$P$44</definedName>
    <definedName name="OSRRefP22_2x_0" localSheetId="68">'322'!$P$29</definedName>
    <definedName name="OSRRefP22_2x_0" localSheetId="69">'325'!$P$37</definedName>
    <definedName name="OSRRefP22_2x_0" localSheetId="58">'326'!$P$68</definedName>
    <definedName name="OSRRefP22_2x_0" localSheetId="56">'331'!$P$104</definedName>
    <definedName name="OSRRefP22_2x_0" localSheetId="59">'332'!$P$49</definedName>
    <definedName name="OSRRefP22_2x_0" localSheetId="54">'333'!$P$106</definedName>
    <definedName name="OSRRefP22_2x_0" localSheetId="74">'405'!$P$38</definedName>
    <definedName name="OSRRefP22_2x_0" localSheetId="75">'406'!$P$24</definedName>
    <definedName name="OSRRefP22_2x_0" localSheetId="76">'411'!$P$35</definedName>
    <definedName name="OSRRefP22_2x_0" localSheetId="77">'412'!$P$24:$P$25</definedName>
    <definedName name="OSRRefP22_2x_0" localSheetId="78">'413'!$P$28</definedName>
    <definedName name="OSRRefP22_2x_0" localSheetId="79">'414'!$P$26</definedName>
    <definedName name="OSRRefP22_2x_0" localSheetId="80">'415'!$P$40</definedName>
    <definedName name="OSRRefP22_2x_0" localSheetId="81">'418'!$P$35</definedName>
    <definedName name="OSRRefP22_2x_0" localSheetId="83">'423'!$P$25</definedName>
    <definedName name="OSRRefP22_2x_0" localSheetId="84">'424'!$P$24</definedName>
    <definedName name="OSRRefP22_2x_0" localSheetId="85">'425'!$P$30</definedName>
    <definedName name="OSRRefP22_2x_0" localSheetId="88">'430'!$P$31</definedName>
    <definedName name="OSRRefP22_2x_0" localSheetId="89">'433'!$P$42</definedName>
    <definedName name="OSRRefP22_2x_0" localSheetId="90">'435'!$P$26</definedName>
    <definedName name="OSRRefP22_2x_0" localSheetId="91">'444'!$P$42</definedName>
    <definedName name="OSRRefP22_2x_0" localSheetId="92">'450'!$P$41</definedName>
    <definedName name="OSRRefP22_2x_0" localSheetId="73">'491'!$P$44</definedName>
    <definedName name="OSRRefP22_2x_0" localSheetId="87">'492'!$P$45</definedName>
    <definedName name="OSRRefP22_2x_0" localSheetId="94">'501'!$P$38</definedName>
    <definedName name="OSRRefP22_2x_0" localSheetId="39">'Div 2'!$P$39</definedName>
    <definedName name="OSRRefP22_2x_0" localSheetId="47">'Div 3'!$P$155</definedName>
    <definedName name="OSRRefP22_2x_0" localSheetId="71">'Div 4'!$P$48</definedName>
    <definedName name="OSRRefP22_2x_0" localSheetId="93">'Div 5'!$P$38</definedName>
    <definedName name="OSRRefP22_2x_0" localSheetId="61">'Div 6'!$P$71</definedName>
    <definedName name="OSRRefP22_2x_0" localSheetId="2">Summary!$P$182</definedName>
    <definedName name="OSRRefP22_3x_0" localSheetId="40">'200'!$P$26</definedName>
    <definedName name="OSRRefP22_3x_0" localSheetId="41">'201'!$P$36</definedName>
    <definedName name="OSRRefP22_3x_0" localSheetId="42">'202'!$P$35</definedName>
    <definedName name="OSRRefP22_3x_0" localSheetId="43">'203'!$P$39</definedName>
    <definedName name="OSRRefP22_3x_0" localSheetId="44">'204'!$P$36</definedName>
    <definedName name="OSRRefP22_3x_0" localSheetId="45">'205'!$P$33</definedName>
    <definedName name="OSRRefP22_3x_0" localSheetId="46">'206'!$P$36</definedName>
    <definedName name="OSRRefP22_3x_0" localSheetId="48">'300'!$P$150:$P$151</definedName>
    <definedName name="OSRRefP22_3x_0" localSheetId="49">'300 &amp; 317'!$P$173:$P$174</definedName>
    <definedName name="OSRRefP22_3x_0" localSheetId="50">'301'!$P$42:$P$43</definedName>
    <definedName name="OSRRefP22_3x_0" localSheetId="55">'307'!$P$54</definedName>
    <definedName name="OSRRefP22_3x_0" localSheetId="51">'308'!$P$83:$P$84</definedName>
    <definedName name="OSRRefP22_3x_0" localSheetId="65">'309'!$P$34</definedName>
    <definedName name="OSRRefP22_3x_0" localSheetId="64">'310'!$P$53</definedName>
    <definedName name="OSRRefP22_3x_0" localSheetId="72">'310 &amp; 491'!$P$56</definedName>
    <definedName name="OSRRefP22_3x_0" localSheetId="52">'311'!$P$83:$P$84</definedName>
    <definedName name="OSRRefP22_3x_0" localSheetId="66">'313'!$P$38</definedName>
    <definedName name="OSRRefP22_3x_0" localSheetId="57">'315'!$P$105:$P$106</definedName>
    <definedName name="OSRRefP22_3x_0" localSheetId="60">'316'!$P$49</definedName>
    <definedName name="OSRRefP22_3x_0" localSheetId="62">'317'!$P$73</definedName>
    <definedName name="OSRRefP22_3x_0" localSheetId="67">'321'!$P$46</definedName>
    <definedName name="OSRRefP22_3x_0" localSheetId="68">'322'!$P$31</definedName>
    <definedName name="OSRRefP22_3x_0" localSheetId="69">'325'!$P$39</definedName>
    <definedName name="OSRRefP22_3x_0" localSheetId="58">'326'!$P$70</definedName>
    <definedName name="OSRRefP22_3x_0" localSheetId="56">'331'!$P$106</definedName>
    <definedName name="OSRRefP22_3x_0" localSheetId="59">'332'!$P$51</definedName>
    <definedName name="OSRRefP22_3x_0" localSheetId="54">'333'!$P$108</definedName>
    <definedName name="OSRRefP22_3x_0" localSheetId="74">'405'!$P$40</definedName>
    <definedName name="OSRRefP22_3x_0" localSheetId="75">'406'!$P$26</definedName>
    <definedName name="OSRRefP22_3x_0" localSheetId="76">'411'!$P$37:$P$38</definedName>
    <definedName name="OSRRefP22_3x_0" localSheetId="77">'412'!$P$27</definedName>
    <definedName name="OSRRefP22_3x_0" localSheetId="78">'413'!$P$30</definedName>
    <definedName name="OSRRefP22_3x_0" localSheetId="79">'414'!$P$28</definedName>
    <definedName name="OSRRefP22_3x_0" localSheetId="80">'415'!$P$42</definedName>
    <definedName name="OSRRefP22_3x_0" localSheetId="81">'418'!$P$37</definedName>
    <definedName name="OSRRefP22_3x_0" localSheetId="83">'423'!$P$27</definedName>
    <definedName name="OSRRefP22_3x_0" localSheetId="84">'424'!$P$26</definedName>
    <definedName name="OSRRefP22_3x_0" localSheetId="85">'425'!$P$32</definedName>
    <definedName name="OSRRefP22_3x_0" localSheetId="88">'430'!$P$33</definedName>
    <definedName name="OSRRefP22_3x_0" localSheetId="89">'433'!$P$44</definedName>
    <definedName name="OSRRefP22_3x_0" localSheetId="91">'444'!$P$44</definedName>
    <definedName name="OSRRefP22_3x_0" localSheetId="92">'450'!$P$43</definedName>
    <definedName name="OSRRefP22_3x_0" localSheetId="73">'491'!$P$46</definedName>
    <definedName name="OSRRefP22_3x_0" localSheetId="87">'492'!$P$47</definedName>
    <definedName name="OSRRefP22_3x_0" localSheetId="94">'501'!$P$40</definedName>
    <definedName name="OSRRefP22_3x_0" localSheetId="39">'Div 2'!$P$41</definedName>
    <definedName name="OSRRefP22_3x_0" localSheetId="47">'Div 3'!$P$157:$P$158</definedName>
    <definedName name="OSRRefP22_3x_0" localSheetId="71">'Div 4'!$P$50</definedName>
    <definedName name="OSRRefP22_3x_0" localSheetId="93">'Div 5'!$P$40</definedName>
    <definedName name="OSRRefP22_3x_0" localSheetId="61">'Div 6'!$P$73</definedName>
    <definedName name="OSRRefP22_3x_0" localSheetId="2">Summary!$P$184:$P$185</definedName>
    <definedName name="OSRRefP22_4x_0" localSheetId="41">'201'!$P$38</definedName>
    <definedName name="OSRRefP22_4x_0" localSheetId="42">'202'!$P$37</definedName>
    <definedName name="OSRRefP22_4x_0" localSheetId="43">'203'!$P$41</definedName>
    <definedName name="OSRRefP22_4x_0" localSheetId="44">'204'!$P$38</definedName>
    <definedName name="OSRRefP22_4x_0" localSheetId="45">'205'!$P$35:$P$36</definedName>
    <definedName name="OSRRefP22_4x_0" localSheetId="46">'206'!$P$38</definedName>
    <definedName name="OSRRefP22_4x_0" localSheetId="48">'300'!$P$153</definedName>
    <definedName name="OSRRefP22_4x_0" localSheetId="49">'300 &amp; 317'!$P$176</definedName>
    <definedName name="OSRRefP22_4x_0" localSheetId="50">'301'!$P$45</definedName>
    <definedName name="OSRRefP22_4x_0" localSheetId="55">'307'!$P$56:$P$57</definedName>
    <definedName name="OSRRefP22_4x_0" localSheetId="51">'308'!$P$86</definedName>
    <definedName name="OSRRefP22_4x_0" localSheetId="65">'309'!$P$36</definedName>
    <definedName name="OSRRefP22_4x_0" localSheetId="64">'310'!$P$55</definedName>
    <definedName name="OSRRefP22_4x_0" localSheetId="72">'310 &amp; 491'!$P$58</definedName>
    <definedName name="OSRRefP22_4x_0" localSheetId="52">'311'!$P$86</definedName>
    <definedName name="OSRRefP22_4x_0" localSheetId="66">'313'!$P$40</definedName>
    <definedName name="OSRRefP22_4x_0" localSheetId="57">'315'!$P$108</definedName>
    <definedName name="OSRRefP22_4x_0" localSheetId="60">'316'!$P$51</definedName>
    <definedName name="OSRRefP22_4x_0" localSheetId="62">'317'!$P$75</definedName>
    <definedName name="OSRRefP22_4x_0" localSheetId="67">'321'!$P$48</definedName>
    <definedName name="OSRRefP22_4x_0" localSheetId="68">'322'!$P$33:$P$34</definedName>
    <definedName name="OSRRefP22_4x_0" localSheetId="69">'325'!$P$41</definedName>
    <definedName name="OSRRefP22_4x_0" localSheetId="58">'326'!$P$72</definedName>
    <definedName name="OSRRefP22_4x_0" localSheetId="56">'331'!$P$108</definedName>
    <definedName name="OSRRefP22_4x_0" localSheetId="59">'332'!$P$53</definedName>
    <definedName name="OSRRefP22_4x_0" localSheetId="54">'333'!$P$110</definedName>
    <definedName name="OSRRefP22_4x_0" localSheetId="74">'405'!$P$42</definedName>
    <definedName name="OSRRefP22_4x_0" localSheetId="75">'406'!$P$28</definedName>
    <definedName name="OSRRefP22_4x_0" localSheetId="76">'411'!$P$40</definedName>
    <definedName name="OSRRefP22_4x_0" localSheetId="77">'412'!$P$29</definedName>
    <definedName name="OSRRefP22_4x_0" localSheetId="78">'413'!$P$32</definedName>
    <definedName name="OSRRefP22_4x_0" localSheetId="79">'414'!$P$30</definedName>
    <definedName name="OSRRefP22_4x_0" localSheetId="80">'415'!$P$44</definedName>
    <definedName name="OSRRefP22_4x_0" localSheetId="81">'418'!$P$39:$P$40</definedName>
    <definedName name="OSRRefP22_4x_0" localSheetId="85">'425'!$P$34</definedName>
    <definedName name="OSRRefP22_4x_0" localSheetId="88">'430'!$P$35</definedName>
    <definedName name="OSRRefP22_4x_0" localSheetId="89">'433'!$P$46</definedName>
    <definedName name="OSRRefP22_4x_0" localSheetId="91">'444'!$P$46</definedName>
    <definedName name="OSRRefP22_4x_0" localSheetId="92">'450'!$P$45</definedName>
    <definedName name="OSRRefP22_4x_0" localSheetId="73">'491'!$P$48</definedName>
    <definedName name="OSRRefP22_4x_0" localSheetId="87">'492'!$P$49</definedName>
    <definedName name="OSRRefP22_4x_0" localSheetId="94">'501'!$P$42:$P$43</definedName>
    <definedName name="OSRRefP22_4x_0" localSheetId="39">'Div 2'!$P$43</definedName>
    <definedName name="OSRRefP22_4x_0" localSheetId="47">'Div 3'!$P$160</definedName>
    <definedName name="OSRRefP22_4x_0" localSheetId="71">'Div 4'!$P$52</definedName>
    <definedName name="OSRRefP22_4x_0" localSheetId="93">'Div 5'!$P$42:$P$43</definedName>
    <definedName name="OSRRefP22_4x_0" localSheetId="61">'Div 6'!$P$75</definedName>
    <definedName name="OSRRefP22_4x_0" localSheetId="2">Summary!$P$187</definedName>
    <definedName name="OSRRefP22_5x_0" localSheetId="41">'201'!$P$40</definedName>
    <definedName name="OSRRefP22_5x_0" localSheetId="42">'202'!$P$39:$P$40</definedName>
    <definedName name="OSRRefP22_5x_0" localSheetId="43">'203'!$P$43</definedName>
    <definedName name="OSRRefP22_5x_0" localSheetId="44">'204'!$P$40:$P$43</definedName>
    <definedName name="OSRRefP22_5x_0" localSheetId="45">'205'!$P$38:$P$40</definedName>
    <definedName name="OSRRefP22_5x_0" localSheetId="46">'206'!$P$40</definedName>
    <definedName name="OSRRefP22_5x_0" localSheetId="48">'300'!$P$155:$P$156</definedName>
    <definedName name="OSRRefP22_5x_0" localSheetId="49">'300 &amp; 317'!$P$178:$P$179</definedName>
    <definedName name="OSRRefP22_5x_0" localSheetId="50">'301'!$P$47:$P$48</definedName>
    <definedName name="OSRRefP22_5x_0" localSheetId="55">'307'!$P$59</definedName>
    <definedName name="OSRRefP22_5x_0" localSheetId="51">'308'!$P$88</definedName>
    <definedName name="OSRRefP22_5x_0" localSheetId="65">'309'!$P$38</definedName>
    <definedName name="OSRRefP22_5x_0" localSheetId="64">'310'!$P$57:$P$58</definedName>
    <definedName name="OSRRefP22_5x_0" localSheetId="72">'310 &amp; 491'!$P$60:$P$61</definedName>
    <definedName name="OSRRefP22_5x_0" localSheetId="52">'311'!$P$88</definedName>
    <definedName name="OSRRefP22_5x_0" localSheetId="66">'313'!$P$42</definedName>
    <definedName name="OSRRefP22_5x_0" localSheetId="57">'315'!$P$110</definedName>
    <definedName name="OSRRefP22_5x_0" localSheetId="60">'316'!$P$53</definedName>
    <definedName name="OSRRefP22_5x_0" localSheetId="62">'317'!$P$77:$P$78</definedName>
    <definedName name="OSRRefP22_5x_0" localSheetId="67">'321'!$P$50</definedName>
    <definedName name="OSRRefP22_5x_0" localSheetId="68">'322'!$P$36</definedName>
    <definedName name="OSRRefP22_5x_0" localSheetId="69">'325'!$P$43:$P$44</definedName>
    <definedName name="OSRRefP22_5x_0" localSheetId="58">'326'!$P$74</definedName>
    <definedName name="OSRRefP22_5x_0" localSheetId="56">'331'!$P$110:$P$111</definedName>
    <definedName name="OSRRefP22_5x_0" localSheetId="59">'332'!$P$55</definedName>
    <definedName name="OSRRefP22_5x_0" localSheetId="54">'333'!$P$112:$P$113</definedName>
    <definedName name="OSRRefP22_5x_0" localSheetId="74">'405'!$P$44:$P$45</definedName>
    <definedName name="OSRRefP22_5x_0" localSheetId="76">'411'!$P$42</definedName>
    <definedName name="OSRRefP22_5x_0" localSheetId="78">'413'!$P$34</definedName>
    <definedName name="OSRRefP22_5x_0" localSheetId="79">'414'!$P$32:$P$33</definedName>
    <definedName name="OSRRefP22_5x_0" localSheetId="80">'415'!$P$46:$P$47</definedName>
    <definedName name="OSRRefP22_5x_0" localSheetId="81">'418'!$P$42</definedName>
    <definedName name="OSRRefP22_5x_0" localSheetId="85">'425'!$P$36:$P$37</definedName>
    <definedName name="OSRRefP22_5x_0" localSheetId="88">'430'!$P$37:$P$38</definedName>
    <definedName name="OSRRefP22_5x_0" localSheetId="89">'433'!$P$48</definedName>
    <definedName name="OSRRefP22_5x_0" localSheetId="91">'444'!$P$48</definedName>
    <definedName name="OSRRefP22_5x_0" localSheetId="92">'450'!$P$47</definedName>
    <definedName name="OSRRefP22_5x_0" localSheetId="73">'491'!$P$50:$P$51</definedName>
    <definedName name="OSRRefP22_5x_0" localSheetId="87">'492'!$P$51</definedName>
    <definedName name="OSRRefP22_5x_0" localSheetId="94">'501'!$P$45</definedName>
    <definedName name="OSRRefP22_5x_0" localSheetId="39">'Div 2'!$P$45</definedName>
    <definedName name="OSRRefP22_5x_0" localSheetId="47">'Div 3'!$P$162:$P$163</definedName>
    <definedName name="OSRRefP22_5x_0" localSheetId="71">'Div 4'!$P$54:$P$55</definedName>
    <definedName name="OSRRefP22_5x_0" localSheetId="93">'Div 5'!$P$45</definedName>
    <definedName name="OSRRefP22_5x_0" localSheetId="61">'Div 6'!$P$77:$P$78</definedName>
    <definedName name="OSRRefP22_5x_0" localSheetId="2">Summary!$P$189:$P$190</definedName>
    <definedName name="OSRRefP22_6x_0" localSheetId="41">'201'!$P$42</definedName>
    <definedName name="OSRRefP22_6x_0" localSheetId="42">'202'!$P$42</definedName>
    <definedName name="OSRRefP22_6x_0" localSheetId="43">'203'!$P$45</definedName>
    <definedName name="OSRRefP22_6x_0" localSheetId="44">'204'!$P$45</definedName>
    <definedName name="OSRRefP22_6x_0" localSheetId="45">'205'!$P$42</definedName>
    <definedName name="OSRRefP22_6x_0" localSheetId="46">'206'!$P$42</definedName>
    <definedName name="OSRRefP22_6x_0" localSheetId="48">'300'!$P$158:$P$159</definedName>
    <definedName name="OSRRefP22_6x_0" localSheetId="49">'300 &amp; 317'!$P$181:$P$182</definedName>
    <definedName name="OSRRefP22_6x_0" localSheetId="50">'301'!$P$50:$P$51</definedName>
    <definedName name="OSRRefP22_6x_0" localSheetId="55">'307'!$P$61</definedName>
    <definedName name="OSRRefP22_6x_0" localSheetId="51">'308'!$P$90:$P$91</definedName>
    <definedName name="OSRRefP22_6x_0" localSheetId="65">'309'!$P$40</definedName>
    <definedName name="OSRRefP22_6x_0" localSheetId="64">'310'!$P$60</definedName>
    <definedName name="OSRRefP22_6x_0" localSheetId="72">'310 &amp; 491'!$P$63</definedName>
    <definedName name="OSRRefP22_6x_0" localSheetId="52">'311'!$P$90:$P$91</definedName>
    <definedName name="OSRRefP22_6x_0" localSheetId="66">'313'!$P$44</definedName>
    <definedName name="OSRRefP22_6x_0" localSheetId="57">'315'!$P$112:$P$113</definedName>
    <definedName name="OSRRefP22_6x_0" localSheetId="60">'316'!$P$55:$P$56</definedName>
    <definedName name="OSRRefP22_6x_0" localSheetId="62">'317'!$P$80</definedName>
    <definedName name="OSRRefP22_6x_0" localSheetId="67">'321'!$P$52</definedName>
    <definedName name="OSRRefP22_6x_0" localSheetId="68">'322'!$P$38</definedName>
    <definedName name="OSRRefP22_6x_0" localSheetId="69">'325'!$P$46</definedName>
    <definedName name="OSRRefP22_6x_0" localSheetId="58">'326'!$P$76</definedName>
    <definedName name="OSRRefP22_6x_0" localSheetId="56">'331'!$P$113</definedName>
    <definedName name="OSRRefP22_6x_0" localSheetId="59">'332'!$P$57:$P$58</definedName>
    <definedName name="OSRRefP22_6x_0" localSheetId="54">'333'!$P$115</definedName>
    <definedName name="OSRRefP22_6x_0" localSheetId="74">'405'!$P$47</definedName>
    <definedName name="OSRRefP22_6x_0" localSheetId="76">'411'!$P$44</definedName>
    <definedName name="OSRRefP22_6x_0" localSheetId="80">'415'!$P$49</definedName>
    <definedName name="OSRRefP22_6x_0" localSheetId="81">'418'!$P$44</definedName>
    <definedName name="OSRRefP22_6x_0" localSheetId="85">'425'!$P$39</definedName>
    <definedName name="OSRRefP22_6x_0" localSheetId="88">'430'!$P$40</definedName>
    <definedName name="OSRRefP22_6x_0" localSheetId="89">'433'!$P$50</definedName>
    <definedName name="OSRRefP22_6x_0" localSheetId="91">'444'!$P$50</definedName>
    <definedName name="OSRRefP22_6x_0" localSheetId="92">'450'!$P$49</definedName>
    <definedName name="OSRRefP22_6x_0" localSheetId="73">'491'!$P$53</definedName>
    <definedName name="OSRRefP22_6x_0" localSheetId="87">'492'!$P$53</definedName>
    <definedName name="OSRRefP22_6x_0" localSheetId="94">'501'!$P$47</definedName>
    <definedName name="OSRRefP22_6x_0" localSheetId="39">'Div 2'!$P$47</definedName>
    <definedName name="OSRRefP22_6x_0" localSheetId="47">'Div 3'!$P$165:$P$166</definedName>
    <definedName name="OSRRefP22_6x_0" localSheetId="71">'Div 4'!$P$57</definedName>
    <definedName name="OSRRefP22_6x_0" localSheetId="93">'Div 5'!$P$47</definedName>
    <definedName name="OSRRefP22_6x_0" localSheetId="61">'Div 6'!$P$80</definedName>
    <definedName name="OSRRefP22_6x_0" localSheetId="2">Summary!$P$192:$P$193</definedName>
    <definedName name="OSRRefP22_7x_0" localSheetId="41">'201'!$P$44</definedName>
    <definedName name="OSRRefP22_7x_0" localSheetId="42">'202'!$P$44:$P$46</definedName>
    <definedName name="OSRRefP22_7x_0" localSheetId="43">'203'!$P$47:$P$48</definedName>
    <definedName name="OSRRefP22_7x_0" localSheetId="44">'204'!$P$47:$P$48</definedName>
    <definedName name="OSRRefP22_7x_0" localSheetId="48">'300'!$P$161</definedName>
    <definedName name="OSRRefP22_7x_0" localSheetId="49">'300 &amp; 317'!$P$184</definedName>
    <definedName name="OSRRefP22_7x_0" localSheetId="50">'301'!$P$53</definedName>
    <definedName name="OSRRefP22_7x_0" localSheetId="55">'307'!$P$63</definedName>
    <definedName name="OSRRefP22_7x_0" localSheetId="51">'308'!$P$93</definedName>
    <definedName name="OSRRefP22_7x_0" localSheetId="65">'309'!$P$42</definedName>
    <definedName name="OSRRefP22_7x_0" localSheetId="64">'310'!$P$62</definedName>
    <definedName name="OSRRefP22_7x_0" localSheetId="72">'310 &amp; 491'!$P$65</definedName>
    <definedName name="OSRRefP22_7x_0" localSheetId="52">'311'!$P$93</definedName>
    <definedName name="OSRRefP22_7x_0" localSheetId="66">'313'!$P$46</definedName>
    <definedName name="OSRRefP22_7x_0" localSheetId="57">'315'!$P$115</definedName>
    <definedName name="OSRRefP22_7x_0" localSheetId="60">'316'!$P$58</definedName>
    <definedName name="OSRRefP22_7x_0" localSheetId="62">'317'!$P$82</definedName>
    <definedName name="OSRRefP22_7x_0" localSheetId="67">'321'!$P$54:$P$55</definedName>
    <definedName name="OSRRefP22_7x_0" localSheetId="68">'322'!$P$40</definedName>
    <definedName name="OSRRefP22_7x_0" localSheetId="69">'325'!$P$48</definedName>
    <definedName name="OSRRefP22_7x_0" localSheetId="58">'326'!$P$78</definedName>
    <definedName name="OSRRefP22_7x_0" localSheetId="56">'331'!$P$115</definedName>
    <definedName name="OSRRefP22_7x_0" localSheetId="59">'332'!$P$60</definedName>
    <definedName name="OSRRefP22_7x_0" localSheetId="54">'333'!$P$117</definedName>
    <definedName name="OSRRefP22_7x_0" localSheetId="74">'405'!$P$49</definedName>
    <definedName name="OSRRefP22_7x_0" localSheetId="76">'411'!$P$46</definedName>
    <definedName name="OSRRefP22_7x_0" localSheetId="80">'415'!$P$51</definedName>
    <definedName name="OSRRefP22_7x_0" localSheetId="81">'418'!$P$46</definedName>
    <definedName name="OSRRefP22_7x_0" localSheetId="85">'425'!$P$41</definedName>
    <definedName name="OSRRefP22_7x_0" localSheetId="88">'430'!$P$42</definedName>
    <definedName name="OSRRefP22_7x_0" localSheetId="89">'433'!$P$52</definedName>
    <definedName name="OSRRefP22_7x_0" localSheetId="91">'444'!$P$52</definedName>
    <definedName name="OSRRefP22_7x_0" localSheetId="92">'450'!$P$51</definedName>
    <definedName name="OSRRefP22_7x_0" localSheetId="73">'491'!$P$55</definedName>
    <definedName name="OSRRefP22_7x_0" localSheetId="87">'492'!$P$55</definedName>
    <definedName name="OSRRefP22_7x_0" localSheetId="94">'501'!$P$49:$P$52</definedName>
    <definedName name="OSRRefP22_7x_0" localSheetId="39">'Div 2'!$P$49</definedName>
    <definedName name="OSRRefP22_7x_0" localSheetId="47">'Div 3'!$P$168</definedName>
    <definedName name="OSRRefP22_7x_0" localSheetId="71">'Div 4'!$P$59</definedName>
    <definedName name="OSRRefP22_7x_0" localSheetId="93">'Div 5'!$P$49:$P$52</definedName>
    <definedName name="OSRRefP22_7x_0" localSheetId="61">'Div 6'!$P$82</definedName>
    <definedName name="OSRRefP22_7x_0" localSheetId="2">Summary!$P$195</definedName>
    <definedName name="OSRRefP22_8x_0" localSheetId="41">'201'!$P$46</definedName>
    <definedName name="OSRRefP22_8x_0" localSheetId="42">'202'!$P$48</definedName>
    <definedName name="OSRRefP22_8x_0" localSheetId="43">'203'!$P$50:$P$51</definedName>
    <definedName name="OSRRefP22_8x_0" localSheetId="44">'204'!$P$50</definedName>
    <definedName name="OSRRefP22_8x_0" localSheetId="48">'300'!$P$163</definedName>
    <definedName name="OSRRefP22_8x_0" localSheetId="49">'300 &amp; 317'!$P$186</definedName>
    <definedName name="OSRRefP22_8x_0" localSheetId="50">'301'!$P$55</definedName>
    <definedName name="OSRRefP22_8x_0" localSheetId="55">'307'!$P$65:$P$66</definedName>
    <definedName name="OSRRefP22_8x_0" localSheetId="51">'308'!$P$95</definedName>
    <definedName name="OSRRefP22_8x_0" localSheetId="65">'309'!$P$44:$P$45</definedName>
    <definedName name="OSRRefP22_8x_0" localSheetId="64">'310'!$P$64</definedName>
    <definedName name="OSRRefP22_8x_0" localSheetId="72">'310 &amp; 491'!$P$67:$P$68</definedName>
    <definedName name="OSRRefP22_8x_0" localSheetId="52">'311'!$P$95</definedName>
    <definedName name="OSRRefP22_8x_0" localSheetId="57">'315'!$P$117:$P$118</definedName>
    <definedName name="OSRRefP22_8x_0" localSheetId="60">'316'!$P$60:$P$62</definedName>
    <definedName name="OSRRefP22_8x_0" localSheetId="62">'317'!$P$84</definedName>
    <definedName name="OSRRefP22_8x_0" localSheetId="67">'321'!$P$57</definedName>
    <definedName name="OSRRefP22_8x_0" localSheetId="69">'325'!$P$50</definedName>
    <definedName name="OSRRefP22_8x_0" localSheetId="58">'326'!$P$80</definedName>
    <definedName name="OSRRefP22_8x_0" localSheetId="56">'331'!$P$117:$P$118</definedName>
    <definedName name="OSRRefP22_8x_0" localSheetId="59">'332'!$P$62:$P$64</definedName>
    <definedName name="OSRRefP22_8x_0" localSheetId="54">'333'!$P$119:$P$120</definedName>
    <definedName name="OSRRefP22_8x_0" localSheetId="74">'405'!$P$51</definedName>
    <definedName name="OSRRefP22_8x_0" localSheetId="76">'411'!$P$48</definedName>
    <definedName name="OSRRefP22_8x_0" localSheetId="80">'415'!$P$53</definedName>
    <definedName name="OSRRefP22_8x_0" localSheetId="81">'418'!$P$48:$P$49</definedName>
    <definedName name="OSRRefP22_8x_0" localSheetId="85">'425'!$P$43</definedName>
    <definedName name="OSRRefP22_8x_0" localSheetId="88">'430'!$P$44</definedName>
    <definedName name="OSRRefP22_8x_0" localSheetId="89">'433'!$P$54</definedName>
    <definedName name="OSRRefP22_8x_0" localSheetId="91">'444'!$P$54</definedName>
    <definedName name="OSRRefP22_8x_0" localSheetId="92">'450'!$P$53</definedName>
    <definedName name="OSRRefP22_8x_0" localSheetId="73">'491'!$P$57</definedName>
    <definedName name="OSRRefP22_8x_0" localSheetId="87">'492'!$P$57</definedName>
    <definedName name="OSRRefP22_8x_0" localSheetId="94">'501'!$P$54:$P$55</definedName>
    <definedName name="OSRRefP22_8x_0" localSheetId="39">'Div 2'!$P$51</definedName>
    <definedName name="OSRRefP22_8x_0" localSheetId="47">'Div 3'!$P$170</definedName>
    <definedName name="OSRRefP22_8x_0" localSheetId="71">'Div 4'!$P$61</definedName>
    <definedName name="OSRRefP22_8x_0" localSheetId="93">'Div 5'!$P$54:$P$55</definedName>
    <definedName name="OSRRefP22_8x_0" localSheetId="61">'Div 6'!$P$84</definedName>
    <definedName name="OSRRefP22_8x_0" localSheetId="2">Summary!$P$197</definedName>
    <definedName name="OSRRefP22_9x_0" localSheetId="41">'201'!$P$48:$P$50</definedName>
    <definedName name="OSRRefP22_9x_0" localSheetId="42">'202'!$P$50:$P$52</definedName>
    <definedName name="OSRRefP22_9x_0" localSheetId="43">'203'!$P$53:$P$54</definedName>
    <definedName name="OSRRefP22_9x_0" localSheetId="44">'204'!$P$52</definedName>
    <definedName name="OSRRefP22_9x_0" localSheetId="48">'300'!$P$165</definedName>
    <definedName name="OSRRefP22_9x_0" localSheetId="49">'300 &amp; 317'!$P$188</definedName>
    <definedName name="OSRRefP22_9x_0" localSheetId="50">'301'!$P$57</definedName>
    <definedName name="OSRRefP22_9x_0" localSheetId="55">'307'!$P$68:$P$69</definedName>
    <definedName name="OSRRefP22_9x_0" localSheetId="51">'308'!$P$97:$P$99</definedName>
    <definedName name="OSRRefP22_9x_0" localSheetId="65">'309'!$P$47:$P$48</definedName>
    <definedName name="OSRRefP22_9x_0" localSheetId="64">'310'!$P$66</definedName>
    <definedName name="OSRRefP22_9x_0" localSheetId="72">'310 &amp; 491'!$P$70</definedName>
    <definedName name="OSRRefP22_9x_0" localSheetId="52">'311'!$P$97:$P$99</definedName>
    <definedName name="OSRRefP22_9x_0" localSheetId="57">'315'!$P$120</definedName>
    <definedName name="OSRRefP22_9x_0" localSheetId="60">'316'!$P$64</definedName>
    <definedName name="OSRRefP22_9x_0" localSheetId="62">'317'!$P$86:$P$89</definedName>
    <definedName name="OSRRefP22_9x_0" localSheetId="67">'321'!$P$59:$P$61</definedName>
    <definedName name="OSRRefP22_9x_0" localSheetId="69">'325'!$P$52</definedName>
    <definedName name="OSRRefP22_9x_0" localSheetId="58">'326'!$P$82</definedName>
    <definedName name="OSRRefP22_9x_0" localSheetId="56">'331'!$P$120</definedName>
    <definedName name="OSRRefP22_9x_0" localSheetId="59">'332'!$P$66</definedName>
    <definedName name="OSRRefP22_9x_0" localSheetId="54">'333'!$P$122</definedName>
    <definedName name="OSRRefP22_9x_0" localSheetId="74">'405'!$P$53</definedName>
    <definedName name="OSRRefP22_9x_0" localSheetId="76">'411'!$P$50:$P$53</definedName>
    <definedName name="OSRRefP22_9x_0" localSheetId="80">'415'!$P$55</definedName>
    <definedName name="OSRRefP22_9x_0" localSheetId="81">'418'!$P$51</definedName>
    <definedName name="OSRRefP22_9x_0" localSheetId="89">'433'!$P$56</definedName>
    <definedName name="OSRRefP22_9x_0" localSheetId="91">'444'!$P$56</definedName>
    <definedName name="OSRRefP22_9x_0" localSheetId="92">'450'!$P$55</definedName>
    <definedName name="OSRRefP22_9x_0" localSheetId="73">'491'!$P$59</definedName>
    <definedName name="OSRRefP22_9x_0" localSheetId="87">'492'!$P$59</definedName>
    <definedName name="OSRRefP22_9x_0" localSheetId="94">'501'!$P$57</definedName>
    <definedName name="OSRRefP22_9x_0" localSheetId="39">'Div 2'!$P$53:$P$54</definedName>
    <definedName name="OSRRefP22_9x_0" localSheetId="47">'Div 3'!$P$172</definedName>
    <definedName name="OSRRefP22_9x_0" localSheetId="71">'Div 4'!$P$63</definedName>
    <definedName name="OSRRefP22_9x_0" localSheetId="93">'Div 5'!$P$57</definedName>
    <definedName name="OSRRefP22_9x_0" localSheetId="61">'Div 6'!$P$86:$P$89</definedName>
    <definedName name="OSRRefP22_9x_0" localSheetId="2">Summary!$P$199</definedName>
    <definedName name="OSRRefP22x_0" localSheetId="40">'200'!$P$20,'200'!$P$22,'200'!$P$24,'200'!$P$26</definedName>
    <definedName name="OSRRefP22x_0" localSheetId="41">'201'!$P$20:$P$27,'201'!$P$29:$P$32,'201'!$P$34,'201'!$P$36,'201'!$P$38,'201'!$P$40,'201'!$P$42,'201'!$P$44,'201'!$P$46,'201'!$P$48:$P$50,'201'!$P$52:$P$54,'201'!$P$56,'201'!$P$58:$P$59,'201'!$P$61,'201'!$P$63</definedName>
    <definedName name="OSRRefP22x_0" localSheetId="42">'202'!$P$20:$P$27,'202'!$P$29:$P$31,'202'!$P$33,'202'!$P$35,'202'!$P$37,'202'!$P$39:$P$40,'202'!$P$42,'202'!$P$44:$P$46,'202'!$P$48,'202'!$P$50:$P$52,'202'!$P$54,'202'!$P$56,'202'!$P$58</definedName>
    <definedName name="OSRRefP22x_0" localSheetId="43">'203'!$P$20:$P$29,'203'!$P$31:$P$35,'203'!$P$37,'203'!$P$39,'203'!$P$41,'203'!$P$43,'203'!$P$45,'203'!$P$47:$P$48,'203'!$P$50:$P$51,'203'!$P$53:$P$54,'203'!$P$56:$P$59,'203'!$P$61,'203'!$P$63,'203'!$P$65</definedName>
    <definedName name="OSRRefP22x_0" localSheetId="44">'204'!$P$20:$P$28,'204'!$P$30:$P$32,'204'!$P$34,'204'!$P$36,'204'!$P$38,'204'!$P$40:$P$43,'204'!$P$45,'204'!$P$47:$P$48,'204'!$P$50,'204'!$P$52</definedName>
    <definedName name="OSRRefP22x_0" localSheetId="45">'205'!$P$20:$P$27,'205'!$P$29,'205'!$P$31,'205'!$P$33,'205'!$P$35:$P$36,'205'!$P$38:$P$40,'205'!$P$42</definedName>
    <definedName name="OSRRefP22x_0" localSheetId="46">'206'!$P$20:$P$27,'206'!$P$29:$P$32,'206'!$P$34,'206'!$P$36,'206'!$P$38,'206'!$P$40,'206'!$P$42</definedName>
    <definedName name="OSRRefP22x_0" localSheetId="48">'300'!$P$129:$P$138,'300'!$P$140:$P$146,'300'!$P$148,'300'!$P$150:$P$151,'300'!$P$153,'300'!$P$155:$P$156,'300'!$P$158:$P$159,'300'!$P$161,'300'!$P$163,'300'!$P$165,'300'!$P$167:$P$168,'300'!$P$170,'300'!$P$172,'300'!$P$174:$P$175,'300'!$P$177,'300'!$P$179,'300'!$P$181:$P$184,'300'!$P$186:$P$188,'300'!$P$190:$P$193,'300'!$P$195:$P$196,'300'!$P$198:$P$204,'300'!$P$206:$P$207,'300'!$P$209,'300'!$P$211:$P$213,'300'!$P$215</definedName>
    <definedName name="OSRRefP22x_0" localSheetId="49">'300 &amp; 317'!$P$152:$P$161,'300 &amp; 317'!$P$163:$P$169,'300 &amp; 317'!$P$171,'300 &amp; 317'!$P$173:$P$174,'300 &amp; 317'!$P$176,'300 &amp; 317'!$P$178:$P$179,'300 &amp; 317'!$P$181:$P$182,'300 &amp; 317'!$P$184,'300 &amp; 317'!$P$186,'300 &amp; 317'!$P$188,'300 &amp; 317'!$P$190:$P$191,'300 &amp; 317'!$P$193,'300 &amp; 317'!$P$195,'300 &amp; 317'!$P$197:$P$198,'300 &amp; 317'!$P$200,'300 &amp; 317'!$P$202,'300 &amp; 317'!$P$204:$P$207,'300 &amp; 317'!$P$209:$P$211,'300 &amp; 317'!$P$213:$P$216,'300 &amp; 317'!$P$218:$P$219,'300 &amp; 317'!$P$221:$P$227,'300 &amp; 317'!$P$229:$P$230,'300 &amp; 317'!$P$232,'300 &amp; 317'!$P$234:$P$236,'300 &amp; 317'!$P$238</definedName>
    <definedName name="OSRRefP22x_0" localSheetId="50">'301'!$P$21:$P$30,'301'!$P$32:$P$38,'301'!$P$40,'301'!$P$42:$P$43,'301'!$P$45,'301'!$P$47:$P$48,'301'!$P$50:$P$51,'301'!$P$53,'301'!$P$55,'301'!$P$57,'301'!$P$59,'301'!$P$61,'301'!$P$63,'301'!$P$65,'301'!$P$67,'301'!$P$69:$P$72,'301'!$P$74:$P$76,'301'!$P$78,'301'!$P$80:$P$85,'301'!$P$87,'301'!$P$89,'301'!$P$91:$P$92,'301'!$P$94</definedName>
    <definedName name="OSRRefP22x_0" localSheetId="55">'307'!$P$43:$P$45,'307'!$P$47:$P$50,'307'!$P$52,'307'!$P$54,'307'!$P$56:$P$57,'307'!$P$59,'307'!$P$61,'307'!$P$63,'307'!$P$65:$P$66,'307'!$P$68:$P$69,'307'!$P$71,'307'!$P$73:$P$76,'307'!$P$78,'307'!$P$80</definedName>
    <definedName name="OSRRefP22x_0" localSheetId="51">'308'!$P$63:$P$71,'308'!$P$73:$P$79,'308'!$P$81,'308'!$P$83:$P$84,'308'!$P$86,'308'!$P$88,'308'!$P$90:$P$91,'308'!$P$93,'308'!$P$95,'308'!$P$97:$P$99,'308'!$P$101:$P$102,'308'!$P$104:$P$105,'308'!$P$107:$P$108,'308'!$P$110</definedName>
    <definedName name="OSRRefP22x_0" localSheetId="65">'309'!$P$26:$P$27,'309'!$P$29:$P$30,'309'!$P$32,'309'!$P$34,'309'!$P$36,'309'!$P$38,'309'!$P$40,'309'!$P$42,'309'!$P$44:$P$45,'309'!$P$47:$P$48,'309'!$P$50:$P$51,'309'!$P$53,'309'!$P$55</definedName>
    <definedName name="OSRRefP22x_0" localSheetId="64">'310'!$P$34:$P$42,'310'!$P$44:$P$49,'310'!$P$51,'310'!$P$53,'310'!$P$55,'310'!$P$57:$P$58,'310'!$P$60,'310'!$P$62,'310'!$P$64,'310'!$P$66,'310'!$P$68,'310'!$P$70:$P$71,'310'!$P$73,'310'!$P$75:$P$78,'310'!$P$80:$P$85,'310'!$P$87,'310'!$P$89,'310'!$P$91</definedName>
    <definedName name="OSRRefP22x_0" localSheetId="72">'310 &amp; 491'!$P$36:$P$44,'310 &amp; 491'!$P$46:$P$52,'310 &amp; 491'!$P$54,'310 &amp; 491'!$P$56,'310 &amp; 491'!$P$58,'310 &amp; 491'!$P$60:$P$61,'310 &amp; 491'!$P$63,'310 &amp; 491'!$P$65,'310 &amp; 491'!$P$67:$P$68,'310 &amp; 491'!$P$70,'310 &amp; 491'!$P$72,'310 &amp; 491'!$P$74,'310 &amp; 491'!$P$76,'310 &amp; 491'!$P$78:$P$81,'310 &amp; 491'!$P$83,'310 &amp; 491'!$P$85:$P$88,'310 &amp; 491'!$P$90,'310 &amp; 491'!$P$92:$P$100,'310 &amp; 491'!$P$102,'310 &amp; 491'!$P$104,'310 &amp; 491'!$P$106:$P$107,'310 &amp; 491'!$P$109</definedName>
    <definedName name="OSRRefP22x_0" localSheetId="52">'311'!$P$63:$P$71,'311'!$P$73:$P$79,'311'!$P$81,'311'!$P$83:$P$84,'311'!$P$86,'311'!$P$88,'311'!$P$90:$P$91,'311'!$P$93,'311'!$P$95,'311'!$P$97:$P$99,'311'!$P$101:$P$102,'311'!$P$104:$P$105,'311'!$P$107:$P$108,'311'!$P$110</definedName>
    <definedName name="OSRRefP22x_0" localSheetId="66">'313'!$P$25:$P$32,'313'!$P$34,'313'!$P$36,'313'!$P$38,'313'!$P$40,'313'!$P$42,'313'!$P$44,'313'!$P$46</definedName>
    <definedName name="OSRRefP22x_0" localSheetId="57">'315'!$P$87:$P$94,'315'!$P$96:$P$101,'315'!$P$103,'315'!$P$105:$P$106,'315'!$P$108,'315'!$P$110,'315'!$P$112:$P$113,'315'!$P$115,'315'!$P$117:$P$118,'315'!$P$120,'315'!$P$122:$P$123,'315'!$P$125:$P$126,'315'!$P$128:$P$129,'315'!$P$131:$P$135,'315'!$P$137,'315'!$P$139,'315'!$P$141</definedName>
    <definedName name="OSRRefP22x_0" localSheetId="60">'316'!$P$34:$P$41,'316'!$P$43:$P$45,'316'!$P$47,'316'!$P$49,'316'!$P$51,'316'!$P$53,'316'!$P$55:$P$56,'316'!$P$58,'316'!$P$60:$P$62,'316'!$P$64,'316'!$P$66,'316'!$P$68:$P$72,'316'!$P$74,'316'!$P$76</definedName>
    <definedName name="OSRRefP22x_0" localSheetId="62">'317'!$P$55:$P$63,'317'!$P$65:$P$69,'317'!$P$71,'317'!$P$73,'317'!$P$75,'317'!$P$77:$P$78,'317'!$P$80,'317'!$P$82,'317'!$P$84,'317'!$P$86:$P$89,'317'!$P$91,'317'!$P$93</definedName>
    <definedName name="OSRRefP22x_0" localSheetId="63">'320'!$P$22:$P$23,'320'!$P$25,'320'!$P$27</definedName>
    <definedName name="OSRRefP22x_0" localSheetId="67">'321'!$P$27:$P$35,'321'!$P$37:$P$42,'321'!$P$44,'321'!$P$46,'321'!$P$48,'321'!$P$50,'321'!$P$52,'321'!$P$54:$P$55,'321'!$P$57,'321'!$P$59:$P$61,'321'!$P$63:$P$67,'321'!$P$69,'321'!$P$71,'321'!$P$73</definedName>
    <definedName name="OSRRefP22x_0" localSheetId="68">'322'!$P$21:$P$25,'322'!$P$27,'322'!$P$29,'322'!$P$31,'322'!$P$33:$P$34,'322'!$P$36,'322'!$P$38,'322'!$P$40</definedName>
    <definedName name="OSRRefP22x_0" localSheetId="69">'325'!$P$24:$P$31,'325'!$P$33:$P$35,'325'!$P$37,'325'!$P$39,'325'!$P$41,'325'!$P$43:$P$44,'325'!$P$46,'325'!$P$48,'325'!$P$50,'325'!$P$52,'325'!$P$54:$P$55,'325'!$P$57:$P$60,'325'!$P$62:$P$67,'325'!$P$69,'325'!$P$71,'325'!$P$73</definedName>
    <definedName name="OSRRefP22x_0" localSheetId="58">'326'!$P$52:$P$59,'326'!$P$61:$P$66,'326'!$P$68,'326'!$P$70,'326'!$P$72,'326'!$P$74,'326'!$P$76,'326'!$P$78,'326'!$P$80,'326'!$P$82,'326'!$P$84,'326'!$P$86:$P$88,'326'!$P$90:$P$92,'326'!$P$94:$P$95,'326'!$P$97:$P$100,'326'!$P$102,'326'!$P$104,'326'!$P$106</definedName>
    <definedName name="OSRRefP22x_0" localSheetId="70">'327'!$P$24,'327'!$P$26</definedName>
    <definedName name="OSRRefP22x_0" localSheetId="56">'331'!$P$88:$P$95,'331'!$P$97:$P$102,'331'!$P$104,'331'!$P$106,'331'!$P$108,'331'!$P$110:$P$111,'331'!$P$113,'331'!$P$115,'331'!$P$117:$P$118,'331'!$P$120,'331'!$P$122,'331'!$P$124:$P$125,'331'!$P$127,'331'!$P$129,'331'!$P$131:$P$133,'331'!$P$135:$P$136,'331'!$P$138:$P$140,'331'!$P$142:$P$143,'331'!$P$145:$P$150,'331'!$P$152,'331'!$P$154,'331'!$P$156,'331'!$P$158</definedName>
    <definedName name="OSRRefP22x_0" localSheetId="59">'332'!$P$36:$P$43,'332'!$P$45:$P$47,'332'!$P$49,'332'!$P$51,'332'!$P$53,'332'!$P$55,'332'!$P$57:$P$58,'332'!$P$60,'332'!$P$62:$P$64,'332'!$P$66,'332'!$P$68,'332'!$P$70:$P$74,'332'!$P$76,'332'!$P$78</definedName>
    <definedName name="OSRRefP22x_0" localSheetId="54">'333'!$P$90:$P$97,'333'!$P$99:$P$104,'333'!$P$106,'333'!$P$108,'333'!$P$110,'333'!$P$112:$P$113,'333'!$P$115,'333'!$P$117,'333'!$P$119:$P$120,'333'!$P$122,'333'!$P$124,'333'!$P$126:$P$127,'333'!$P$129,'333'!$P$131,'333'!$P$133:$P$135,'333'!$P$137:$P$138,'333'!$P$140:$P$143,'333'!$P$145:$P$146,'333'!$P$148:$P$153,'333'!$P$155,'333'!$P$157,'333'!$P$159,'333'!$P$161</definedName>
    <definedName name="OSRRefP22x_0" localSheetId="74">'405'!$P$24:$P$31,'405'!$P$33:$P$36,'405'!$P$38,'405'!$P$40,'405'!$P$42,'405'!$P$44:$P$45,'405'!$P$47,'405'!$P$49,'405'!$P$51,'405'!$P$53,'405'!$P$55:$P$56,'405'!$P$58:$P$61,'405'!$P$63,'405'!$P$65:$P$73,'405'!$P$75,'405'!$P$77,'405'!$P$79</definedName>
    <definedName name="OSRRefP22x_0" localSheetId="75">'406'!$P$20,'406'!$P$22,'406'!$P$24,'406'!$P$26,'406'!$P$28</definedName>
    <definedName name="OSRRefP22x_0" localSheetId="76">'411'!$P$20:$P$27,'411'!$P$29:$P$33,'411'!$P$35,'411'!$P$37:$P$38,'411'!$P$40,'411'!$P$42,'411'!$P$44,'411'!$P$46,'411'!$P$48,'411'!$P$50:$P$53,'411'!$P$55:$P$57,'411'!$P$59,'411'!$P$61:$P$62,'411'!$P$64,'411'!$P$66:$P$67,'411'!$P$69</definedName>
    <definedName name="OSRRefP22x_0" localSheetId="77">'412'!$P$20,'412'!$P$22,'412'!$P$24:$P$25,'412'!$P$27,'412'!$P$29</definedName>
    <definedName name="OSRRefP22x_0" localSheetId="78">'413'!$P$20:$P$24,'413'!$P$26,'413'!$P$28,'413'!$P$30,'413'!$P$32,'413'!$P$34</definedName>
    <definedName name="OSRRefP22x_0" localSheetId="79">'414'!$P$22,'414'!$P$24,'414'!$P$26,'414'!$P$28,'414'!$P$30,'414'!$P$32:$P$33</definedName>
    <definedName name="OSRRefP22x_0" localSheetId="80">'415'!$P$24:$P$32,'415'!$P$34:$P$38,'415'!$P$40,'415'!$P$42,'415'!$P$44,'415'!$P$46:$P$47,'415'!$P$49,'415'!$P$51,'415'!$P$53,'415'!$P$55,'415'!$P$57,'415'!$P$59:$P$60,'415'!$P$62:$P$65,'415'!$P$67,'415'!$P$69:$P$74,'415'!$P$76,'415'!$P$78,'415'!$P$80</definedName>
    <definedName name="OSRRefP22x_0" localSheetId="81">'418'!$P$21:$P$28,'418'!$P$30:$P$33,'418'!$P$35,'418'!$P$37,'418'!$P$39:$P$40,'418'!$P$42,'418'!$P$44,'418'!$P$46,'418'!$P$48:$P$49,'418'!$P$51,'418'!$P$53,'418'!$P$55:$P$60,'418'!$P$62,'418'!$P$64</definedName>
    <definedName name="OSRRefP22x_0" localSheetId="82">'420'!$P$21,'420'!$P$23</definedName>
    <definedName name="OSRRefP22x_0" localSheetId="83">'423'!$P$20:$P$21,'423'!$P$23,'423'!$P$25,'423'!$P$27</definedName>
    <definedName name="OSRRefP22x_0" localSheetId="84">'424'!$P$20,'424'!$P$22,'424'!$P$24,'424'!$P$26</definedName>
    <definedName name="OSRRefP22x_0" localSheetId="85">'425'!$P$22:$P$26,'425'!$P$28,'425'!$P$30,'425'!$P$32,'425'!$P$34,'425'!$P$36:$P$37,'425'!$P$39,'425'!$P$41,'425'!$P$43</definedName>
    <definedName name="OSRRefP22x_0" localSheetId="88">'430'!$P$20:$P$27,'430'!$P$29,'430'!$P$31,'430'!$P$33,'430'!$P$35,'430'!$P$37:$P$38,'430'!$P$40,'430'!$P$42,'430'!$P$44</definedName>
    <definedName name="OSRRefP22x_0" localSheetId="89">'433'!$P$25:$P$33,'433'!$P$35:$P$40,'433'!$P$42,'433'!$P$44,'433'!$P$46,'433'!$P$48,'433'!$P$50,'433'!$P$52,'433'!$P$54,'433'!$P$56,'433'!$P$58,'433'!$P$60:$P$61,'433'!$P$63:$P$65,'433'!$P$67:$P$74,'433'!$P$76</definedName>
    <definedName name="OSRRefP22x_0" localSheetId="90">'435'!$P$22,'435'!$P$24,'435'!$P$26</definedName>
    <definedName name="OSRRefP22x_0" localSheetId="91">'444'!$P$25:$P$33,'444'!$P$35:$P$40,'444'!$P$42,'444'!$P$44,'444'!$P$46,'444'!$P$48,'444'!$P$50,'444'!$P$52,'444'!$P$54,'444'!$P$56,'444'!$P$58,'444'!$P$60:$P$61,'444'!$P$63:$P$66,'444'!$P$68,'444'!$P$70:$P$77,'444'!$P$79,'444'!$P$81</definedName>
    <definedName name="OSRRefP22x_0" localSheetId="92">'450'!$P$25:$P$33,'450'!$P$35:$P$39,'450'!$P$41,'450'!$P$43,'450'!$P$45,'450'!$P$47,'450'!$P$49,'450'!$P$51,'450'!$P$53,'450'!$P$55,'450'!$P$57,'450'!$P$59,'450'!$P$61:$P$62,'450'!$P$64:$P$66,'450'!$P$68:$P$73,'450'!$P$75,'450'!$P$77</definedName>
    <definedName name="OSRRefP22x_0" localSheetId="73">'491'!$P$27:$P$35,'491'!$P$37:$P$42,'491'!$P$44,'491'!$P$46,'491'!$P$48,'491'!$P$50:$P$51,'491'!$P$53,'491'!$P$55,'491'!$P$57,'491'!$P$59,'491'!$P$61,'491'!$P$63,'491'!$P$65,'491'!$P$67:$P$70,'491'!$P$72,'491'!$P$74:$P$77,'491'!$P$79,'491'!$P$81:$P$89,'491'!$P$91,'491'!$P$93,'491'!$P$95:$P$96,'491'!$P$98</definedName>
    <definedName name="OSRRefP22x_0" localSheetId="87">'492'!$P$27:$P$35,'492'!$P$37:$P$43,'492'!$P$45,'492'!$P$47,'492'!$P$49,'492'!$P$51,'492'!$P$53,'492'!$P$55,'492'!$P$57,'492'!$P$59,'492'!$P$61,'492'!$P$63,'492'!$P$65:$P$67,'492'!$P$69:$P$72,'492'!$P$74,'492'!$P$76:$P$83,'492'!$P$85,'492'!$P$87,'492'!$P$89:$P$90</definedName>
    <definedName name="OSRRefP22x_0" localSheetId="94">'501'!$P$21:$P$29,'501'!$P$31:$P$36,'501'!$P$38,'501'!$P$40,'501'!$P$42:$P$43,'501'!$P$45,'501'!$P$47,'501'!$P$49:$P$52,'501'!$P$54:$P$55,'501'!$P$57,'501'!$P$59</definedName>
    <definedName name="OSRRefP22x_0" localSheetId="39">'Div 2'!$P$20:$P$30,'Div 2'!$P$32:$P$37,'Div 2'!$P$39,'Div 2'!$P$41,'Div 2'!$P$43,'Div 2'!$P$45,'Div 2'!$P$47,'Div 2'!$P$49,'Div 2'!$P$51,'Div 2'!$P$53:$P$54,'Div 2'!$P$56,'Div 2'!$P$58,'Div 2'!$P$60:$P$62,'Div 2'!$P$64:$P$67,'Div 2'!$P$69,'Div 2'!$P$71:$P$72,'Div 2'!$P$74:$P$78,'Div 2'!$P$80:$P$81,'Div 2'!$P$83,'Div 2'!$P$85:$P$86</definedName>
    <definedName name="OSRRefP22x_0" localSheetId="47">'Div 3'!$P$136:$P$145,'Div 3'!$P$147:$P$153,'Div 3'!$P$155,'Div 3'!$P$157:$P$158,'Div 3'!$P$160,'Div 3'!$P$162:$P$163,'Div 3'!$P$165:$P$166,'Div 3'!$P$168,'Div 3'!$P$170,'Div 3'!$P$172,'Div 3'!$P$174:$P$175,'Div 3'!$P$177,'Div 3'!$P$179,'Div 3'!$P$181,'Div 3'!$P$183:$P$184,'Div 3'!$P$186,'Div 3'!$P$188,'Div 3'!$P$190:$P$193,'Div 3'!$P$195:$P$197,'Div 3'!$P$199:$P$203,'Div 3'!$P$205:$P$206,'Div 3'!$P$208:$P$214,'Div 3'!$P$216:$P$217,'Div 3'!$P$219,'Div 3'!$P$221:$P$223,'Div 3'!$P$225</definedName>
    <definedName name="OSRRefP22x_0" localSheetId="71">'Div 4'!$P$30:$P$38,'Div 4'!$P$40:$P$46,'Div 4'!$P$48,'Div 4'!$P$50,'Div 4'!$P$52,'Div 4'!$P$54:$P$55,'Div 4'!$P$57,'Div 4'!$P$59,'Div 4'!$P$61,'Div 4'!$P$63,'Div 4'!$P$65,'Div 4'!$P$67,'Div 4'!$P$69,'Div 4'!$P$71,'Div 4'!$P$73,'Div 4'!$P$75:$P$78,'Div 4'!$P$80,'Div 4'!$P$82:$P$85,'Div 4'!$P$87:$P$88,'Div 4'!$P$90:$P$98,'Div 4'!$P$100,'Div 4'!$P$102,'Div 4'!$P$104:$P$105,'Div 4'!$P$107</definedName>
    <definedName name="OSRRefP22x_0" localSheetId="93">'Div 5'!$P$21:$P$29,'Div 5'!$P$31:$P$36,'Div 5'!$P$38,'Div 5'!$P$40,'Div 5'!$P$42:$P$43,'Div 5'!$P$45,'Div 5'!$P$47,'Div 5'!$P$49:$P$52,'Div 5'!$P$54:$P$55,'Div 5'!$P$57,'Div 5'!$P$59</definedName>
    <definedName name="OSRRefP22x_0" localSheetId="61">'Div 6'!$P$55:$P$63,'Div 6'!$P$65:$P$69,'Div 6'!$P$71,'Div 6'!$P$73,'Div 6'!$P$75,'Div 6'!$P$77:$P$78,'Div 6'!$P$80,'Div 6'!$P$82,'Div 6'!$P$84,'Div 6'!$P$86:$P$89,'Div 6'!$P$91,'Div 6'!$P$93</definedName>
    <definedName name="OSRRefP22x_0" localSheetId="2">Summary!$P$163:$P$172,Summary!$P$174:$P$180,Summary!$P$182,Summary!$P$184:$P$185,Summary!$P$187,Summary!$P$189:$P$190,Summary!$P$192:$P$193,Summary!$P$195,Summary!$P$197,Summary!$P$199,Summary!$P$201:$P$202,Summary!$P$204,Summary!$P$206,Summary!$P$208,Summary!$P$210:$P$211,Summary!$P$213,Summary!$P$215,Summary!$P$217,Summary!$P$219:$P$222,Summary!$P$224:$P$226,Summary!$P$228:$P$232,Summary!$P$234:$P$235,Summary!$P$237:$P$245,Summary!$P$247:$P$248,Summary!$P$250,Summary!$P$252:$P$254,Summary!$P$256</definedName>
    <definedName name="OSRRefP25x_0" localSheetId="48">'300'!$P$218:$P$221</definedName>
    <definedName name="OSRRefP25x_0" localSheetId="49">'300 &amp; 317'!$P$241:$P$246</definedName>
    <definedName name="OSRRefP25x_0" localSheetId="50">'301'!$P$97</definedName>
    <definedName name="OSRRefP25x_0" localSheetId="51">'308'!$P$113:$P$115</definedName>
    <definedName name="OSRRefP25x_0" localSheetId="72">'310 &amp; 491'!$P$112:$P$114</definedName>
    <definedName name="OSRRefP25x_0" localSheetId="52">'311'!$P$113:$P$115</definedName>
    <definedName name="OSRRefP25x_0" localSheetId="57">'315'!$P$144:$P$145</definedName>
    <definedName name="OSRRefP25x_0" localSheetId="60">'316'!$P$79</definedName>
    <definedName name="OSRRefP25x_0" localSheetId="62">'317'!$P$96:$P$98</definedName>
    <definedName name="OSRRefP25x_0" localSheetId="63">'320'!$P$30</definedName>
    <definedName name="OSRRefP25x_0" localSheetId="56">'331'!$P$161:$P$162</definedName>
    <definedName name="OSRRefP25x_0" localSheetId="59">'332'!$P$81:$P$82</definedName>
    <definedName name="OSRRefP25x_0" localSheetId="54">'333'!$P$164:$P$165</definedName>
    <definedName name="OSRRefP25x_0" localSheetId="74">'405'!$P$82</definedName>
    <definedName name="OSRRefP25x_0" localSheetId="76">'411'!$P$72:$P$73</definedName>
    <definedName name="OSRRefP25x_0" localSheetId="80">'415'!$P$83</definedName>
    <definedName name="OSRRefP25x_0" localSheetId="81">'418'!$P$67</definedName>
    <definedName name="OSRRefP25x_0" localSheetId="83">'423'!$P$30</definedName>
    <definedName name="OSRRefP25x_0" localSheetId="86">'455'!$P$21:$P$22</definedName>
    <definedName name="OSRRefP25x_0" localSheetId="73">'491'!$P$101:$P$103</definedName>
    <definedName name="OSRRefP25x_0" localSheetId="94">'501'!$P$62</definedName>
    <definedName name="OSRRefP25x_0" localSheetId="47">'Div 3'!$P$228:$P$231</definedName>
    <definedName name="OSRRefP25x_0" localSheetId="71">'Div 4'!$P$110:$P$112</definedName>
    <definedName name="OSRRefP25x_0" localSheetId="93">'Div 5'!$P$62</definedName>
    <definedName name="OSRRefP25x_0" localSheetId="61">'Div 6'!$P$96:$P$98</definedName>
    <definedName name="OSRRefP25x_0" localSheetId="2">Summary!$P$259:$P$266</definedName>
    <definedName name="OSRRefT13x_0" localSheetId="48">'300'!$T$13:$T$80</definedName>
    <definedName name="OSRRefT13x_0" localSheetId="49">'300 &amp; 317'!$T$13:$T$94</definedName>
    <definedName name="OSRRefT13x_0" localSheetId="55">'307'!$T$13:$T$25</definedName>
    <definedName name="OSRRefT13x_0" localSheetId="51">'308'!$T$13:$T$38</definedName>
    <definedName name="OSRRefT13x_0" localSheetId="65">'309'!$T$13:$T$16</definedName>
    <definedName name="OSRRefT13x_0" localSheetId="64">'310'!$T$13:$T$23</definedName>
    <definedName name="OSRRefT13x_0" localSheetId="72">'310 &amp; 491'!$T$13:$T$25</definedName>
    <definedName name="OSRRefT13x_0" localSheetId="52">'311'!$T$13:$T$38</definedName>
    <definedName name="OSRRefT13x_0" localSheetId="66">'313'!$T$13:$T$16</definedName>
    <definedName name="OSRRefT13x_0" localSheetId="57">'315'!$T$13:$T$54</definedName>
    <definedName name="OSRRefT13x_0" localSheetId="60">'316'!$T$13:$T$25</definedName>
    <definedName name="OSRRefT13x_0" localSheetId="62">'317'!$T$13:$T$33</definedName>
    <definedName name="OSRRefT13x_0" localSheetId="67">'321'!$T$13:$T$16</definedName>
    <definedName name="OSRRefT13x_0" localSheetId="53">'324'!$T$13:$T$16</definedName>
    <definedName name="OSRRefT13x_0" localSheetId="69">'325'!$T$13:$T$14</definedName>
    <definedName name="OSRRefT13x_0" localSheetId="58">'326'!$T$13:$T$36</definedName>
    <definedName name="OSRRefT13x_0" localSheetId="70">'327'!$T$13:$T$14</definedName>
    <definedName name="OSRRefT13x_0" localSheetId="56">'331'!$T$13:$T$54</definedName>
    <definedName name="OSRRefT13x_0" localSheetId="59">'332'!$T$13:$T$25</definedName>
    <definedName name="OSRRefT13x_0" localSheetId="54">'333'!$T$13:$T$56</definedName>
    <definedName name="OSRRefT13x_0" localSheetId="74">'405'!$T$13:$T$14</definedName>
    <definedName name="OSRRefT13x_0" localSheetId="79">'414'!$T$13</definedName>
    <definedName name="OSRRefT13x_0" localSheetId="80">'415'!$T$13:$T$14</definedName>
    <definedName name="OSRRefT13x_0" localSheetId="82">'420'!$T$13</definedName>
    <definedName name="OSRRefT13x_0" localSheetId="85">'425'!$T$13</definedName>
    <definedName name="OSRRefT13x_0" localSheetId="89">'433'!$T$13:$T$15</definedName>
    <definedName name="OSRRefT13x_0" localSheetId="90">'435'!$T$13:$T$14</definedName>
    <definedName name="OSRRefT13x_0" localSheetId="91">'444'!$T$13:$T$15</definedName>
    <definedName name="OSRRefT13x_0" localSheetId="92">'450'!$T$13:$T$15</definedName>
    <definedName name="OSRRefT13x_0" localSheetId="73">'491'!$T$13:$T$17</definedName>
    <definedName name="OSRRefT13x_0" localSheetId="87">'492'!$T$13:$T$17</definedName>
    <definedName name="OSRRefT13x_0" localSheetId="94">'501'!$T$13</definedName>
    <definedName name="OSRRefT13x_0" localSheetId="47">'Div 3'!$T$13:$T$85</definedName>
    <definedName name="OSRRefT13x_0" localSheetId="71">'Div 4'!$T$13:$T$20</definedName>
    <definedName name="OSRRefT13x_0" localSheetId="93">'Div 5'!$T$13</definedName>
    <definedName name="OSRRefT13x_0" localSheetId="61">'Div 6'!$T$13:$T$33</definedName>
    <definedName name="OSRRefT13x_0" localSheetId="2">Summary!$T$13:$T$103</definedName>
    <definedName name="OSRRefT16x_0" localSheetId="48">'300'!$T$83:$T$123</definedName>
    <definedName name="OSRRefT16x_0" localSheetId="49">'300 &amp; 317'!$T$97:$T$146</definedName>
    <definedName name="OSRRefT16x_0" localSheetId="50">'301'!$T$15</definedName>
    <definedName name="OSRRefT16x_0" localSheetId="55">'307'!$T$28:$T$37</definedName>
    <definedName name="OSRRefT16x_0" localSheetId="51">'308'!$T$41:$T$57</definedName>
    <definedName name="OSRRefT16x_0" localSheetId="65">'309'!$T$19:$T$20</definedName>
    <definedName name="OSRRefT16x_0" localSheetId="64">'310'!$T$26:$T$28</definedName>
    <definedName name="OSRRefT16x_0" localSheetId="72">'310 &amp; 491'!$T$28:$T$30</definedName>
    <definedName name="OSRRefT16x_0" localSheetId="52">'311'!$T$41:$T$57</definedName>
    <definedName name="OSRRefT16x_0" localSheetId="66">'313'!$T$19</definedName>
    <definedName name="OSRRefT16x_0" localSheetId="57">'315'!$T$57:$T$81</definedName>
    <definedName name="OSRRefT16x_0" localSheetId="60">'316'!$T$28</definedName>
    <definedName name="OSRRefT16x_0" localSheetId="62">'317'!$T$36:$T$49</definedName>
    <definedName name="OSRRefT16x_0" localSheetId="63">'320'!$T$15:$T$16</definedName>
    <definedName name="OSRRefT16x_0" localSheetId="67">'321'!$T$19:$T$21</definedName>
    <definedName name="OSRRefT16x_0" localSheetId="68">'322'!$T$15</definedName>
    <definedName name="OSRRefT16x_0" localSheetId="53">'324'!$T$19:$T$21</definedName>
    <definedName name="OSRRefT16x_0" localSheetId="69">'325'!$T$17:$T$18</definedName>
    <definedName name="OSRRefT16x_0" localSheetId="58">'326'!$T$39:$T$46</definedName>
    <definedName name="OSRRefT16x_0" localSheetId="70">'327'!$T$17:$T$18</definedName>
    <definedName name="OSRRefT16x_0" localSheetId="56">'331'!$T$57:$T$82</definedName>
    <definedName name="OSRRefT16x_0" localSheetId="59">'332'!$T$28:$T$30</definedName>
    <definedName name="OSRRefT16x_0" localSheetId="54">'333'!$T$59:$T$84</definedName>
    <definedName name="OSRRefT16x_0" localSheetId="74">'405'!$T$17:$T$18</definedName>
    <definedName name="OSRRefT16x_0" localSheetId="79">'414'!$T$16</definedName>
    <definedName name="OSRRefT16x_0" localSheetId="80">'415'!$T$17:$T$18</definedName>
    <definedName name="OSRRefT16x_0" localSheetId="81">'418'!$T$15</definedName>
    <definedName name="OSRRefT16x_0" localSheetId="85">'425'!$T$16</definedName>
    <definedName name="OSRRefT16x_0" localSheetId="89">'433'!$T$18:$T$19</definedName>
    <definedName name="OSRRefT16x_0" localSheetId="91">'444'!$T$18:$T$19</definedName>
    <definedName name="OSRRefT16x_0" localSheetId="92">'450'!$T$18:$T$19</definedName>
    <definedName name="OSRRefT16x_0" localSheetId="73">'491'!$T$20:$T$21</definedName>
    <definedName name="OSRRefT16x_0" localSheetId="87">'492'!$T$20:$T$21</definedName>
    <definedName name="OSRRefT16x_0" localSheetId="47">'Div 3'!$T$88:$T$130</definedName>
    <definedName name="OSRRefT16x_0" localSheetId="71">'Div 4'!$T$23:$T$24</definedName>
    <definedName name="OSRRefT16x_0" localSheetId="61">'Div 6'!$T$36:$T$49</definedName>
    <definedName name="OSRRefT16x_0" localSheetId="2">Summary!$T$106:$T$157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'300'!$T$129:$T$138</definedName>
    <definedName name="OSRRefT22_0x_0" localSheetId="49">'300 &amp; 317'!$T$152:$T$161</definedName>
    <definedName name="OSRRefT22_0x_0" localSheetId="50">'301'!$T$21:$T$30</definedName>
    <definedName name="OSRRefT22_0x_0" localSheetId="55">'307'!$T$43:$T$45</definedName>
    <definedName name="OSRRefT22_0x_0" localSheetId="51">'308'!$T$63:$T$71</definedName>
    <definedName name="OSRRefT22_0x_0" localSheetId="65">'309'!$T$26:$T$27</definedName>
    <definedName name="OSRRefT22_0x_0" localSheetId="64">'310'!$T$34:$T$42</definedName>
    <definedName name="OSRRefT22_0x_0" localSheetId="72">'310 &amp; 491'!$T$36:$T$44</definedName>
    <definedName name="OSRRefT22_0x_0" localSheetId="52">'311'!$T$63:$T$71</definedName>
    <definedName name="OSRRefT22_0x_0" localSheetId="66">'313'!$T$25:$T$32</definedName>
    <definedName name="OSRRefT22_0x_0" localSheetId="57">'315'!$T$87:$T$94</definedName>
    <definedName name="OSRRefT22_0x_0" localSheetId="60">'316'!$T$34:$T$41</definedName>
    <definedName name="OSRRefT22_0x_0" localSheetId="62">'317'!$T$55:$T$63</definedName>
    <definedName name="OSRRefT22_0x_0" localSheetId="63">'320'!$T$22:$T$23</definedName>
    <definedName name="OSRRefT22_0x_0" localSheetId="67">'321'!$T$27:$T$35</definedName>
    <definedName name="OSRRefT22_0x_0" localSheetId="68">'322'!$T$21:$T$25</definedName>
    <definedName name="OSRRefT22_0x_0" localSheetId="69">'325'!$T$24:$T$31</definedName>
    <definedName name="OSRRefT22_0x_0" localSheetId="58">'326'!$T$52:$T$59</definedName>
    <definedName name="OSRRefT22_0x_0" localSheetId="70">'327'!$T$24</definedName>
    <definedName name="OSRRefT22_0x_0" localSheetId="56">'331'!$T$88:$T$95</definedName>
    <definedName name="OSRRefT22_0x_0" localSheetId="59">'332'!$T$36:$T$43</definedName>
    <definedName name="OSRRefT22_0x_0" localSheetId="54">'333'!$T$90:$T$97</definedName>
    <definedName name="OSRRefT22_0x_0" localSheetId="74">'405'!$T$24:$T$31</definedName>
    <definedName name="OSRRefT22_0x_0" localSheetId="75">'406'!$T$20</definedName>
    <definedName name="OSRRefT22_0x_0" localSheetId="76">'411'!$T$20:$T$27</definedName>
    <definedName name="OSRRefT22_0x_0" localSheetId="77">'412'!$T$20</definedName>
    <definedName name="OSRRefT22_0x_0" localSheetId="78">'413'!$T$20:$T$24</definedName>
    <definedName name="OSRRefT22_0x_0" localSheetId="79">'414'!$T$22</definedName>
    <definedName name="OSRRefT22_0x_0" localSheetId="80">'415'!$T$24:$T$32</definedName>
    <definedName name="OSRRefT22_0x_0" localSheetId="81">'418'!$T$21:$T$28</definedName>
    <definedName name="OSRRefT22_0x_0" localSheetId="82">'420'!$T$21</definedName>
    <definedName name="OSRRefT22_0x_0" localSheetId="83">'423'!$T$20:$T$21</definedName>
    <definedName name="OSRRefT22_0x_0" localSheetId="84">'424'!$T$20</definedName>
    <definedName name="OSRRefT22_0x_0" localSheetId="85">'425'!$T$22:$T$26</definedName>
    <definedName name="OSRRefT22_0x_0" localSheetId="88">'430'!$T$20:$T$27</definedName>
    <definedName name="OSRRefT22_0x_0" localSheetId="89">'433'!$T$25:$T$33</definedName>
    <definedName name="OSRRefT22_0x_0" localSheetId="90">'435'!$T$22</definedName>
    <definedName name="OSRRefT22_0x_0" localSheetId="91">'444'!$T$25:$T$33</definedName>
    <definedName name="OSRRefT22_0x_0" localSheetId="92">'450'!$T$25:$T$33</definedName>
    <definedName name="OSRRefT22_0x_0" localSheetId="73">'491'!$T$27:$T$35</definedName>
    <definedName name="OSRRefT22_0x_0" localSheetId="87">'492'!$T$27:$T$35</definedName>
    <definedName name="OSRRefT22_0x_0" localSheetId="94">'501'!$T$21:$T$29</definedName>
    <definedName name="OSRRefT22_0x_0" localSheetId="39">'Div 2'!$T$20:$T$30</definedName>
    <definedName name="OSRRefT22_0x_0" localSheetId="47">'Div 3'!$T$136:$T$145</definedName>
    <definedName name="OSRRefT22_0x_0" localSheetId="71">'Div 4'!$T$30:$T$38</definedName>
    <definedName name="OSRRefT22_0x_0" localSheetId="93">'Div 5'!$T$21:$T$29</definedName>
    <definedName name="OSRRefT22_0x_0" localSheetId="61">'Div 6'!$T$55:$T$63</definedName>
    <definedName name="OSRRefT22_0x_0" localSheetId="2">Summary!$T$163:$T$172</definedName>
    <definedName name="OSRRefT22_10x_0" localSheetId="41">'201'!$T$52:$T$54</definedName>
    <definedName name="OSRRefT22_10x_0" localSheetId="42">'202'!$T$54</definedName>
    <definedName name="OSRRefT22_10x_0" localSheetId="43">'203'!$T$56:$T$59</definedName>
    <definedName name="OSRRefT22_10x_0" localSheetId="48">'300'!$T$167:$T$168</definedName>
    <definedName name="OSRRefT22_10x_0" localSheetId="49">'300 &amp; 317'!$T$190:$T$191</definedName>
    <definedName name="OSRRefT22_10x_0" localSheetId="50">'301'!$T$59</definedName>
    <definedName name="OSRRefT22_10x_0" localSheetId="55">'307'!$T$71</definedName>
    <definedName name="OSRRefT22_10x_0" localSheetId="51">'308'!$T$101:$T$102</definedName>
    <definedName name="OSRRefT22_10x_0" localSheetId="65">'309'!$T$50:$T$51</definedName>
    <definedName name="OSRRefT22_10x_0" localSheetId="64">'310'!$T$68</definedName>
    <definedName name="OSRRefT22_10x_0" localSheetId="72">'310 &amp; 491'!$T$72</definedName>
    <definedName name="OSRRefT22_10x_0" localSheetId="52">'311'!$T$101:$T$102</definedName>
    <definedName name="OSRRefT22_10x_0" localSheetId="57">'315'!$T$122:$T$123</definedName>
    <definedName name="OSRRefT22_10x_0" localSheetId="60">'316'!$T$66</definedName>
    <definedName name="OSRRefT22_10x_0" localSheetId="62">'317'!$T$91</definedName>
    <definedName name="OSRRefT22_10x_0" localSheetId="67">'321'!$T$63:$T$67</definedName>
    <definedName name="OSRRefT22_10x_0" localSheetId="69">'325'!$T$54:$T$55</definedName>
    <definedName name="OSRRefT22_10x_0" localSheetId="58">'326'!$T$84</definedName>
    <definedName name="OSRRefT22_10x_0" localSheetId="56">'331'!$T$122</definedName>
    <definedName name="OSRRefT22_10x_0" localSheetId="59">'332'!$T$68</definedName>
    <definedName name="OSRRefT22_10x_0" localSheetId="54">'333'!$T$124</definedName>
    <definedName name="OSRRefT22_10x_0" localSheetId="74">'405'!$T$55:$T$56</definedName>
    <definedName name="OSRRefT22_10x_0" localSheetId="76">'411'!$T$55:$T$57</definedName>
    <definedName name="OSRRefT22_10x_0" localSheetId="80">'415'!$T$57</definedName>
    <definedName name="OSRRefT22_10x_0" localSheetId="81">'418'!$T$53</definedName>
    <definedName name="OSRRefT22_10x_0" localSheetId="89">'433'!$T$58</definedName>
    <definedName name="OSRRefT22_10x_0" localSheetId="91">'444'!$T$58</definedName>
    <definedName name="OSRRefT22_10x_0" localSheetId="92">'450'!$T$57</definedName>
    <definedName name="OSRRefT22_10x_0" localSheetId="73">'491'!$T$61</definedName>
    <definedName name="OSRRefT22_10x_0" localSheetId="87">'492'!$T$61</definedName>
    <definedName name="OSRRefT22_10x_0" localSheetId="94">'501'!$T$59</definedName>
    <definedName name="OSRRefT22_10x_0" localSheetId="39">'Div 2'!$T$56</definedName>
    <definedName name="OSRRefT22_10x_0" localSheetId="47">'Div 3'!$T$174:$T$175</definedName>
    <definedName name="OSRRefT22_10x_0" localSheetId="71">'Div 4'!$T$65</definedName>
    <definedName name="OSRRefT22_10x_0" localSheetId="93">'Div 5'!$T$59</definedName>
    <definedName name="OSRRefT22_10x_0" localSheetId="61">'Div 6'!$T$91</definedName>
    <definedName name="OSRRefT22_10x_0" localSheetId="2">Summary!$T$201:$T$202</definedName>
    <definedName name="OSRRefT22_11x_0" localSheetId="41">'201'!$T$56</definedName>
    <definedName name="OSRRefT22_11x_0" localSheetId="42">'202'!$T$56</definedName>
    <definedName name="OSRRefT22_11x_0" localSheetId="43">'203'!$T$61</definedName>
    <definedName name="OSRRefT22_11x_0" localSheetId="48">'300'!$T$170</definedName>
    <definedName name="OSRRefT22_11x_0" localSheetId="49">'300 &amp; 317'!$T$193</definedName>
    <definedName name="OSRRefT22_11x_0" localSheetId="50">'301'!$T$61</definedName>
    <definedName name="OSRRefT22_11x_0" localSheetId="55">'307'!$T$73:$T$76</definedName>
    <definedName name="OSRRefT22_11x_0" localSheetId="51">'308'!$T$104:$T$105</definedName>
    <definedName name="OSRRefT22_11x_0" localSheetId="65">'309'!$T$53</definedName>
    <definedName name="OSRRefT22_11x_0" localSheetId="64">'310'!$T$70:$T$71</definedName>
    <definedName name="OSRRefT22_11x_0" localSheetId="72">'310 &amp; 491'!$T$74</definedName>
    <definedName name="OSRRefT22_11x_0" localSheetId="52">'311'!$T$104:$T$105</definedName>
    <definedName name="OSRRefT22_11x_0" localSheetId="57">'315'!$T$125:$T$126</definedName>
    <definedName name="OSRRefT22_11x_0" localSheetId="60">'316'!$T$68:$T$72</definedName>
    <definedName name="OSRRefT22_11x_0" localSheetId="62">'317'!$T$93</definedName>
    <definedName name="OSRRefT22_11x_0" localSheetId="67">'321'!$T$69</definedName>
    <definedName name="OSRRefT22_11x_0" localSheetId="69">'325'!$T$57:$T$60</definedName>
    <definedName name="OSRRefT22_11x_0" localSheetId="58">'326'!$T$86:$T$88</definedName>
    <definedName name="OSRRefT22_11x_0" localSheetId="56">'331'!$T$124:$T$125</definedName>
    <definedName name="OSRRefT22_11x_0" localSheetId="59">'332'!$T$70:$T$74</definedName>
    <definedName name="OSRRefT22_11x_0" localSheetId="54">'333'!$T$126:$T$127</definedName>
    <definedName name="OSRRefT22_11x_0" localSheetId="74">'405'!$T$58:$T$61</definedName>
    <definedName name="OSRRefT22_11x_0" localSheetId="76">'411'!$T$59</definedName>
    <definedName name="OSRRefT22_11x_0" localSheetId="80">'415'!$T$59:$T$60</definedName>
    <definedName name="OSRRefT22_11x_0" localSheetId="81">'418'!$T$55:$T$60</definedName>
    <definedName name="OSRRefT22_11x_0" localSheetId="89">'433'!$T$60:$T$61</definedName>
    <definedName name="OSRRefT22_11x_0" localSheetId="91">'444'!$T$60:$T$61</definedName>
    <definedName name="OSRRefT22_11x_0" localSheetId="92">'450'!$T$59</definedName>
    <definedName name="OSRRefT22_11x_0" localSheetId="73">'491'!$T$63</definedName>
    <definedName name="OSRRefT22_11x_0" localSheetId="87">'492'!$T$63</definedName>
    <definedName name="OSRRefT22_11x_0" localSheetId="39">'Div 2'!$T$58</definedName>
    <definedName name="OSRRefT22_11x_0" localSheetId="47">'Div 3'!$T$177</definedName>
    <definedName name="OSRRefT22_11x_0" localSheetId="71">'Div 4'!$T$67</definedName>
    <definedName name="OSRRefT22_11x_0" localSheetId="61">'Div 6'!$T$93</definedName>
    <definedName name="OSRRefT22_11x_0" localSheetId="2">Summary!$T$204</definedName>
    <definedName name="OSRRefT22_12x_0" localSheetId="41">'201'!$T$58:$T$59</definedName>
    <definedName name="OSRRefT22_12x_0" localSheetId="42">'202'!$T$58</definedName>
    <definedName name="OSRRefT22_12x_0" localSheetId="43">'203'!$T$63</definedName>
    <definedName name="OSRRefT22_12x_0" localSheetId="48">'300'!$T$172</definedName>
    <definedName name="OSRRefT22_12x_0" localSheetId="49">'300 &amp; 317'!$T$195</definedName>
    <definedName name="OSRRefT22_12x_0" localSheetId="50">'301'!$T$63</definedName>
    <definedName name="OSRRefT22_12x_0" localSheetId="55">'307'!$T$78</definedName>
    <definedName name="OSRRefT22_12x_0" localSheetId="51">'308'!$T$107:$T$108</definedName>
    <definedName name="OSRRefT22_12x_0" localSheetId="65">'309'!$T$55</definedName>
    <definedName name="OSRRefT22_12x_0" localSheetId="64">'310'!$T$73</definedName>
    <definedName name="OSRRefT22_12x_0" localSheetId="72">'310 &amp; 491'!$T$76</definedName>
    <definedName name="OSRRefT22_12x_0" localSheetId="52">'311'!$T$107:$T$108</definedName>
    <definedName name="OSRRefT22_12x_0" localSheetId="57">'315'!$T$128:$T$129</definedName>
    <definedName name="OSRRefT22_12x_0" localSheetId="60">'316'!$T$74</definedName>
    <definedName name="OSRRefT22_12x_0" localSheetId="67">'321'!$T$71</definedName>
    <definedName name="OSRRefT22_12x_0" localSheetId="69">'325'!$T$62:$T$67</definedName>
    <definedName name="OSRRefT22_12x_0" localSheetId="58">'326'!$T$90:$T$92</definedName>
    <definedName name="OSRRefT22_12x_0" localSheetId="56">'331'!$T$127</definedName>
    <definedName name="OSRRefT22_12x_0" localSheetId="59">'332'!$T$76</definedName>
    <definedName name="OSRRefT22_12x_0" localSheetId="54">'333'!$T$129</definedName>
    <definedName name="OSRRefT22_12x_0" localSheetId="74">'405'!$T$63</definedName>
    <definedName name="OSRRefT22_12x_0" localSheetId="76">'411'!$T$61:$T$62</definedName>
    <definedName name="OSRRefT22_12x_0" localSheetId="80">'415'!$T$62:$T$65</definedName>
    <definedName name="OSRRefT22_12x_0" localSheetId="81">'418'!$T$62</definedName>
    <definedName name="OSRRefT22_12x_0" localSheetId="89">'433'!$T$63:$T$65</definedName>
    <definedName name="OSRRefT22_12x_0" localSheetId="91">'444'!$T$63:$T$66</definedName>
    <definedName name="OSRRefT22_12x_0" localSheetId="92">'450'!$T$61:$T$62</definedName>
    <definedName name="OSRRefT22_12x_0" localSheetId="73">'491'!$T$65</definedName>
    <definedName name="OSRRefT22_12x_0" localSheetId="87">'492'!$T$65:$T$67</definedName>
    <definedName name="OSRRefT22_12x_0" localSheetId="39">'Div 2'!$T$60:$T$62</definedName>
    <definedName name="OSRRefT22_12x_0" localSheetId="47">'Div 3'!$T$179</definedName>
    <definedName name="OSRRefT22_12x_0" localSheetId="71">'Div 4'!$T$69</definedName>
    <definedName name="OSRRefT22_12x_0" localSheetId="2">Summary!$T$206</definedName>
    <definedName name="OSRRefT22_13x_0" localSheetId="41">'201'!$T$61</definedName>
    <definedName name="OSRRefT22_13x_0" localSheetId="43">'203'!$T$65</definedName>
    <definedName name="OSRRefT22_13x_0" localSheetId="48">'300'!$T$174:$T$175</definedName>
    <definedName name="OSRRefT22_13x_0" localSheetId="49">'300 &amp; 317'!$T$197:$T$198</definedName>
    <definedName name="OSRRefT22_13x_0" localSheetId="50">'301'!$T$65</definedName>
    <definedName name="OSRRefT22_13x_0" localSheetId="55">'307'!$T$80</definedName>
    <definedName name="OSRRefT22_13x_0" localSheetId="51">'308'!$T$110</definedName>
    <definedName name="OSRRefT22_13x_0" localSheetId="64">'310'!$T$75:$T$78</definedName>
    <definedName name="OSRRefT22_13x_0" localSheetId="72">'310 &amp; 491'!$T$78:$T$81</definedName>
    <definedName name="OSRRefT22_13x_0" localSheetId="52">'311'!$T$110</definedName>
    <definedName name="OSRRefT22_13x_0" localSheetId="57">'315'!$T$131:$T$135</definedName>
    <definedName name="OSRRefT22_13x_0" localSheetId="60">'316'!$T$76</definedName>
    <definedName name="OSRRefT22_13x_0" localSheetId="67">'321'!$T$73</definedName>
    <definedName name="OSRRefT22_13x_0" localSheetId="69">'325'!$T$69</definedName>
    <definedName name="OSRRefT22_13x_0" localSheetId="58">'326'!$T$94:$T$95</definedName>
    <definedName name="OSRRefT22_13x_0" localSheetId="56">'331'!$T$129</definedName>
    <definedName name="OSRRefT22_13x_0" localSheetId="59">'332'!$T$78</definedName>
    <definedName name="OSRRefT22_13x_0" localSheetId="54">'333'!$T$131</definedName>
    <definedName name="OSRRefT22_13x_0" localSheetId="74">'405'!$T$65:$T$73</definedName>
    <definedName name="OSRRefT22_13x_0" localSheetId="76">'411'!$T$64</definedName>
    <definedName name="OSRRefT22_13x_0" localSheetId="80">'415'!$T$67</definedName>
    <definedName name="OSRRefT22_13x_0" localSheetId="81">'418'!$T$64</definedName>
    <definedName name="OSRRefT22_13x_0" localSheetId="89">'433'!$T$67:$T$74</definedName>
    <definedName name="OSRRefT22_13x_0" localSheetId="91">'444'!$T$68</definedName>
    <definedName name="OSRRefT22_13x_0" localSheetId="92">'450'!$T$64:$T$66</definedName>
    <definedName name="OSRRefT22_13x_0" localSheetId="73">'491'!$T$67:$T$70</definedName>
    <definedName name="OSRRefT22_13x_0" localSheetId="87">'492'!$T$69:$T$72</definedName>
    <definedName name="OSRRefT22_13x_0" localSheetId="39">'Div 2'!$T$64:$T$67</definedName>
    <definedName name="OSRRefT22_13x_0" localSheetId="47">'Div 3'!$T$181</definedName>
    <definedName name="OSRRefT22_13x_0" localSheetId="71">'Div 4'!$T$71</definedName>
    <definedName name="OSRRefT22_13x_0" localSheetId="2">Summary!$T$208</definedName>
    <definedName name="OSRRefT22_14x_0" localSheetId="41">'201'!$T$63</definedName>
    <definedName name="OSRRefT22_14x_0" localSheetId="48">'300'!$T$177</definedName>
    <definedName name="OSRRefT22_14x_0" localSheetId="49">'300 &amp; 317'!$T$200</definedName>
    <definedName name="OSRRefT22_14x_0" localSheetId="50">'301'!$T$67</definedName>
    <definedName name="OSRRefT22_14x_0" localSheetId="64">'310'!$T$80:$T$85</definedName>
    <definedName name="OSRRefT22_14x_0" localSheetId="72">'310 &amp; 491'!$T$83</definedName>
    <definedName name="OSRRefT22_14x_0" localSheetId="57">'315'!$T$137</definedName>
    <definedName name="OSRRefT22_14x_0" localSheetId="69">'325'!$T$71</definedName>
    <definedName name="OSRRefT22_14x_0" localSheetId="58">'326'!$T$97:$T$100</definedName>
    <definedName name="OSRRefT22_14x_0" localSheetId="56">'331'!$T$131:$T$133</definedName>
    <definedName name="OSRRefT22_14x_0" localSheetId="54">'333'!$T$133:$T$135</definedName>
    <definedName name="OSRRefT22_14x_0" localSheetId="74">'405'!$T$75</definedName>
    <definedName name="OSRRefT22_14x_0" localSheetId="76">'411'!$T$66:$T$67</definedName>
    <definedName name="OSRRefT22_14x_0" localSheetId="80">'415'!$T$69:$T$74</definedName>
    <definedName name="OSRRefT22_14x_0" localSheetId="89">'433'!$T$76</definedName>
    <definedName name="OSRRefT22_14x_0" localSheetId="91">'444'!$T$70:$T$77</definedName>
    <definedName name="OSRRefT22_14x_0" localSheetId="92">'450'!$T$68:$T$73</definedName>
    <definedName name="OSRRefT22_14x_0" localSheetId="73">'491'!$T$72</definedName>
    <definedName name="OSRRefT22_14x_0" localSheetId="87">'492'!$T$74</definedName>
    <definedName name="OSRRefT22_14x_0" localSheetId="39">'Div 2'!$T$69</definedName>
    <definedName name="OSRRefT22_14x_0" localSheetId="47">'Div 3'!$T$183:$T$184</definedName>
    <definedName name="OSRRefT22_14x_0" localSheetId="71">'Div 4'!$T$73</definedName>
    <definedName name="OSRRefT22_14x_0" localSheetId="2">Summary!$T$210:$T$211</definedName>
    <definedName name="OSRRefT22_15x_0" localSheetId="48">'300'!$T$179</definedName>
    <definedName name="OSRRefT22_15x_0" localSheetId="49">'300 &amp; 317'!$T$202</definedName>
    <definedName name="OSRRefT22_15x_0" localSheetId="50">'301'!$T$69:$T$72</definedName>
    <definedName name="OSRRefT22_15x_0" localSheetId="64">'310'!$T$87</definedName>
    <definedName name="OSRRefT22_15x_0" localSheetId="72">'310 &amp; 491'!$T$85:$T$88</definedName>
    <definedName name="OSRRefT22_15x_0" localSheetId="57">'315'!$T$139</definedName>
    <definedName name="OSRRefT22_15x_0" localSheetId="69">'325'!$T$73</definedName>
    <definedName name="OSRRefT22_15x_0" localSheetId="58">'326'!$T$102</definedName>
    <definedName name="OSRRefT22_15x_0" localSheetId="56">'331'!$T$135:$T$136</definedName>
    <definedName name="OSRRefT22_15x_0" localSheetId="54">'333'!$T$137:$T$138</definedName>
    <definedName name="OSRRefT22_15x_0" localSheetId="74">'405'!$T$77</definedName>
    <definedName name="OSRRefT22_15x_0" localSheetId="76">'411'!$T$69</definedName>
    <definedName name="OSRRefT22_15x_0" localSheetId="80">'415'!$T$76</definedName>
    <definedName name="OSRRefT22_15x_0" localSheetId="91">'444'!$T$79</definedName>
    <definedName name="OSRRefT22_15x_0" localSheetId="92">'450'!$T$75</definedName>
    <definedName name="OSRRefT22_15x_0" localSheetId="73">'491'!$T$74:$T$77</definedName>
    <definedName name="OSRRefT22_15x_0" localSheetId="87">'492'!$T$76:$T$83</definedName>
    <definedName name="OSRRefT22_15x_0" localSheetId="39">'Div 2'!$T$71:$T$72</definedName>
    <definedName name="OSRRefT22_15x_0" localSheetId="47">'Div 3'!$T$186</definedName>
    <definedName name="OSRRefT22_15x_0" localSheetId="71">'Div 4'!$T$75:$T$78</definedName>
    <definedName name="OSRRefT22_15x_0" localSheetId="2">Summary!$T$213</definedName>
    <definedName name="OSRRefT22_16x_0" localSheetId="48">'300'!$T$181:$T$184</definedName>
    <definedName name="OSRRefT22_16x_0" localSheetId="49">'300 &amp; 317'!$T$204:$T$207</definedName>
    <definedName name="OSRRefT22_16x_0" localSheetId="50">'301'!$T$74:$T$76</definedName>
    <definedName name="OSRRefT22_16x_0" localSheetId="64">'310'!$T$89</definedName>
    <definedName name="OSRRefT22_16x_0" localSheetId="72">'310 &amp; 491'!$T$90</definedName>
    <definedName name="OSRRefT22_16x_0" localSheetId="57">'315'!$T$141</definedName>
    <definedName name="OSRRefT22_16x_0" localSheetId="58">'326'!$T$104</definedName>
    <definedName name="OSRRefT22_16x_0" localSheetId="56">'331'!$T$138:$T$140</definedName>
    <definedName name="OSRRefT22_16x_0" localSheetId="54">'333'!$T$140:$T$143</definedName>
    <definedName name="OSRRefT22_16x_0" localSheetId="74">'405'!$T$79</definedName>
    <definedName name="OSRRefT22_16x_0" localSheetId="80">'415'!$T$78</definedName>
    <definedName name="OSRRefT22_16x_0" localSheetId="91">'444'!$T$81</definedName>
    <definedName name="OSRRefT22_16x_0" localSheetId="92">'450'!$T$77</definedName>
    <definedName name="OSRRefT22_16x_0" localSheetId="73">'491'!$T$79</definedName>
    <definedName name="OSRRefT22_16x_0" localSheetId="87">'492'!$T$85</definedName>
    <definedName name="OSRRefT22_16x_0" localSheetId="39">'Div 2'!$T$74:$T$78</definedName>
    <definedName name="OSRRefT22_16x_0" localSheetId="47">'Div 3'!$T$188</definedName>
    <definedName name="OSRRefT22_16x_0" localSheetId="71">'Div 4'!$T$80</definedName>
    <definedName name="OSRRefT22_16x_0" localSheetId="2">Summary!$T$215</definedName>
    <definedName name="OSRRefT22_17x_0" localSheetId="48">'300'!$T$186:$T$188</definedName>
    <definedName name="OSRRefT22_17x_0" localSheetId="49">'300 &amp; 317'!$T$209:$T$211</definedName>
    <definedName name="OSRRefT22_17x_0" localSheetId="50">'301'!$T$78</definedName>
    <definedName name="OSRRefT22_17x_0" localSheetId="64">'310'!$T$91</definedName>
    <definedName name="OSRRefT22_17x_0" localSheetId="72">'310 &amp; 491'!$T$92:$T$100</definedName>
    <definedName name="OSRRefT22_17x_0" localSheetId="58">'326'!$T$106</definedName>
    <definedName name="OSRRefT22_17x_0" localSheetId="56">'331'!$T$142:$T$143</definedName>
    <definedName name="OSRRefT22_17x_0" localSheetId="54">'333'!$T$145:$T$146</definedName>
    <definedName name="OSRRefT22_17x_0" localSheetId="80">'415'!$T$80</definedName>
    <definedName name="OSRRefT22_17x_0" localSheetId="73">'491'!$T$81:$T$89</definedName>
    <definedName name="OSRRefT22_17x_0" localSheetId="87">'492'!$T$87</definedName>
    <definedName name="OSRRefT22_17x_0" localSheetId="39">'Div 2'!$T$80:$T$81</definedName>
    <definedName name="OSRRefT22_17x_0" localSheetId="47">'Div 3'!$T$190:$T$193</definedName>
    <definedName name="OSRRefT22_17x_0" localSheetId="71">'Div 4'!$T$82:$T$85</definedName>
    <definedName name="OSRRefT22_17x_0" localSheetId="2">Summary!$T$217</definedName>
    <definedName name="OSRRefT22_18x_0" localSheetId="48">'300'!$T$190:$T$193</definedName>
    <definedName name="OSRRefT22_18x_0" localSheetId="49">'300 &amp; 317'!$T$213:$T$216</definedName>
    <definedName name="OSRRefT22_18x_0" localSheetId="50">'301'!$T$80:$T$85</definedName>
    <definedName name="OSRRefT22_18x_0" localSheetId="72">'310 &amp; 491'!$T$102</definedName>
    <definedName name="OSRRefT22_18x_0" localSheetId="56">'331'!$T$145:$T$150</definedName>
    <definedName name="OSRRefT22_18x_0" localSheetId="54">'333'!$T$148:$T$153</definedName>
    <definedName name="OSRRefT22_18x_0" localSheetId="73">'491'!$T$91</definedName>
    <definedName name="OSRRefT22_18x_0" localSheetId="87">'492'!$T$89:$T$90</definedName>
    <definedName name="OSRRefT22_18x_0" localSheetId="39">'Div 2'!$T$83</definedName>
    <definedName name="OSRRefT22_18x_0" localSheetId="47">'Div 3'!$T$195:$T$197</definedName>
    <definedName name="OSRRefT22_18x_0" localSheetId="71">'Div 4'!$T$87:$T$88</definedName>
    <definedName name="OSRRefT22_18x_0" localSheetId="2">Summary!$T$219:$T$222</definedName>
    <definedName name="OSRRefT22_19x_0" localSheetId="48">'300'!$T$195:$T$196</definedName>
    <definedName name="OSRRefT22_19x_0" localSheetId="49">'300 &amp; 317'!$T$218:$T$219</definedName>
    <definedName name="OSRRefT22_19x_0" localSheetId="50">'301'!$T$87</definedName>
    <definedName name="OSRRefT22_19x_0" localSheetId="72">'310 &amp; 491'!$T$104</definedName>
    <definedName name="OSRRefT22_19x_0" localSheetId="56">'331'!$T$152</definedName>
    <definedName name="OSRRefT22_19x_0" localSheetId="54">'333'!$T$155</definedName>
    <definedName name="OSRRefT22_19x_0" localSheetId="73">'491'!$T$93</definedName>
    <definedName name="OSRRefT22_19x_0" localSheetId="39">'Div 2'!$T$85:$T$86</definedName>
    <definedName name="OSRRefT22_19x_0" localSheetId="47">'Div 3'!$T$199:$T$203</definedName>
    <definedName name="OSRRefT22_19x_0" localSheetId="71">'Div 4'!$T$90:$T$98</definedName>
    <definedName name="OSRRefT22_19x_0" localSheetId="2">Summary!$T$224:$T$226</definedName>
    <definedName name="OSRRefT22_1x_0" localSheetId="40">'200'!$T$22</definedName>
    <definedName name="OSRRefT22_1x_0" localSheetId="41">'201'!$T$29:$T$32</definedName>
    <definedName name="OSRRefT22_1x_0" localSheetId="42">'202'!$T$29:$T$31</definedName>
    <definedName name="OSRRefT22_1x_0" localSheetId="43">'203'!$T$31:$T$35</definedName>
    <definedName name="OSRRefT22_1x_0" localSheetId="44">'204'!$T$30:$T$32</definedName>
    <definedName name="OSRRefT22_1x_0" localSheetId="45">'205'!$T$29</definedName>
    <definedName name="OSRRefT22_1x_0" localSheetId="46">'206'!$T$29:$T$32</definedName>
    <definedName name="OSRRefT22_1x_0" localSheetId="48">'300'!$T$140:$T$146</definedName>
    <definedName name="OSRRefT22_1x_0" localSheetId="49">'300 &amp; 317'!$T$163:$T$169</definedName>
    <definedName name="OSRRefT22_1x_0" localSheetId="50">'301'!$T$32:$T$38</definedName>
    <definedName name="OSRRefT22_1x_0" localSheetId="55">'307'!$T$47:$T$50</definedName>
    <definedName name="OSRRefT22_1x_0" localSheetId="51">'308'!$T$73:$T$79</definedName>
    <definedName name="OSRRefT22_1x_0" localSheetId="65">'309'!$T$29:$T$30</definedName>
    <definedName name="OSRRefT22_1x_0" localSheetId="64">'310'!$T$44:$T$49</definedName>
    <definedName name="OSRRefT22_1x_0" localSheetId="72">'310 &amp; 491'!$T$46:$T$52</definedName>
    <definedName name="OSRRefT22_1x_0" localSheetId="52">'311'!$T$73:$T$79</definedName>
    <definedName name="OSRRefT22_1x_0" localSheetId="66">'313'!$T$34</definedName>
    <definedName name="OSRRefT22_1x_0" localSheetId="57">'315'!$T$96:$T$101</definedName>
    <definedName name="OSRRefT22_1x_0" localSheetId="60">'316'!$T$43:$T$45</definedName>
    <definedName name="OSRRefT22_1x_0" localSheetId="62">'317'!$T$65:$T$69</definedName>
    <definedName name="OSRRefT22_1x_0" localSheetId="63">'320'!$T$25</definedName>
    <definedName name="OSRRefT22_1x_0" localSheetId="67">'321'!$T$37:$T$42</definedName>
    <definedName name="OSRRefT22_1x_0" localSheetId="68">'322'!$T$27</definedName>
    <definedName name="OSRRefT22_1x_0" localSheetId="69">'325'!$T$33:$T$35</definedName>
    <definedName name="OSRRefT22_1x_0" localSheetId="58">'326'!$T$61:$T$66</definedName>
    <definedName name="OSRRefT22_1x_0" localSheetId="70">'327'!$T$26</definedName>
    <definedName name="OSRRefT22_1x_0" localSheetId="56">'331'!$T$97:$T$102</definedName>
    <definedName name="OSRRefT22_1x_0" localSheetId="59">'332'!$T$45:$T$47</definedName>
    <definedName name="OSRRefT22_1x_0" localSheetId="54">'333'!$T$99:$T$104</definedName>
    <definedName name="OSRRefT22_1x_0" localSheetId="74">'405'!$T$33:$T$36</definedName>
    <definedName name="OSRRefT22_1x_0" localSheetId="75">'406'!$T$22</definedName>
    <definedName name="OSRRefT22_1x_0" localSheetId="76">'411'!$T$29:$T$33</definedName>
    <definedName name="OSRRefT22_1x_0" localSheetId="77">'412'!$T$22</definedName>
    <definedName name="OSRRefT22_1x_0" localSheetId="78">'413'!$T$26</definedName>
    <definedName name="OSRRefT22_1x_0" localSheetId="79">'414'!$T$24</definedName>
    <definedName name="OSRRefT22_1x_0" localSheetId="80">'415'!$T$34:$T$38</definedName>
    <definedName name="OSRRefT22_1x_0" localSheetId="81">'418'!$T$30:$T$33</definedName>
    <definedName name="OSRRefT22_1x_0" localSheetId="82">'420'!$T$23</definedName>
    <definedName name="OSRRefT22_1x_0" localSheetId="83">'423'!$T$23</definedName>
    <definedName name="OSRRefT22_1x_0" localSheetId="84">'424'!$T$22</definedName>
    <definedName name="OSRRefT22_1x_0" localSheetId="85">'425'!$T$28</definedName>
    <definedName name="OSRRefT22_1x_0" localSheetId="88">'430'!$T$29</definedName>
    <definedName name="OSRRefT22_1x_0" localSheetId="89">'433'!$T$35:$T$40</definedName>
    <definedName name="OSRRefT22_1x_0" localSheetId="90">'435'!$T$24</definedName>
    <definedName name="OSRRefT22_1x_0" localSheetId="91">'444'!$T$35:$T$40</definedName>
    <definedName name="OSRRefT22_1x_0" localSheetId="92">'450'!$T$35:$T$39</definedName>
    <definedName name="OSRRefT22_1x_0" localSheetId="73">'491'!$T$37:$T$42</definedName>
    <definedName name="OSRRefT22_1x_0" localSheetId="87">'492'!$T$37:$T$43</definedName>
    <definedName name="OSRRefT22_1x_0" localSheetId="94">'501'!$T$31:$T$36</definedName>
    <definedName name="OSRRefT22_1x_0" localSheetId="39">'Div 2'!$T$32:$T$37</definedName>
    <definedName name="OSRRefT22_1x_0" localSheetId="47">'Div 3'!$T$147:$T$153</definedName>
    <definedName name="OSRRefT22_1x_0" localSheetId="71">'Div 4'!$T$40:$T$46</definedName>
    <definedName name="OSRRefT22_1x_0" localSheetId="93">'Div 5'!$T$31:$T$36</definedName>
    <definedName name="OSRRefT22_1x_0" localSheetId="61">'Div 6'!$T$65:$T$69</definedName>
    <definedName name="OSRRefT22_1x_0" localSheetId="2">Summary!$T$174:$T$180</definedName>
    <definedName name="OSRRefT22_20x_0" localSheetId="48">'300'!$T$198:$T$204</definedName>
    <definedName name="OSRRefT22_20x_0" localSheetId="49">'300 &amp; 317'!$T$221:$T$227</definedName>
    <definedName name="OSRRefT22_20x_0" localSheetId="50">'301'!$T$89</definedName>
    <definedName name="OSRRefT22_20x_0" localSheetId="72">'310 &amp; 491'!$T$106:$T$107</definedName>
    <definedName name="OSRRefT22_20x_0" localSheetId="56">'331'!$T$154</definedName>
    <definedName name="OSRRefT22_20x_0" localSheetId="54">'333'!$T$157</definedName>
    <definedName name="OSRRefT22_20x_0" localSheetId="73">'491'!$T$95:$T$96</definedName>
    <definedName name="OSRRefT22_20x_0" localSheetId="47">'Div 3'!$T$205:$T$206</definedName>
    <definedName name="OSRRefT22_20x_0" localSheetId="71">'Div 4'!$T$100</definedName>
    <definedName name="OSRRefT22_20x_0" localSheetId="2">Summary!$T$228:$T$232</definedName>
    <definedName name="OSRRefT22_21x_0" localSheetId="48">'300'!$T$206:$T$207</definedName>
    <definedName name="OSRRefT22_21x_0" localSheetId="49">'300 &amp; 317'!$T$229:$T$230</definedName>
    <definedName name="OSRRefT22_21x_0" localSheetId="50">'301'!$T$91:$T$92</definedName>
    <definedName name="OSRRefT22_21x_0" localSheetId="72">'310 &amp; 491'!$T$109</definedName>
    <definedName name="OSRRefT22_21x_0" localSheetId="56">'331'!$T$156</definedName>
    <definedName name="OSRRefT22_21x_0" localSheetId="54">'333'!$T$159</definedName>
    <definedName name="OSRRefT22_21x_0" localSheetId="73">'491'!$T$98</definedName>
    <definedName name="OSRRefT22_21x_0" localSheetId="47">'Div 3'!$T$208:$T$214</definedName>
    <definedName name="OSRRefT22_21x_0" localSheetId="71">'Div 4'!$T$102</definedName>
    <definedName name="OSRRefT22_21x_0" localSheetId="2">Summary!$T$234:$T$235</definedName>
    <definedName name="OSRRefT22_22x_0" localSheetId="48">'300'!$T$209</definedName>
    <definedName name="OSRRefT22_22x_0" localSheetId="49">'300 &amp; 317'!$T$232</definedName>
    <definedName name="OSRRefT22_22x_0" localSheetId="50">'301'!$T$94</definedName>
    <definedName name="OSRRefT22_22x_0" localSheetId="56">'331'!$T$158</definedName>
    <definedName name="OSRRefT22_22x_0" localSheetId="54">'333'!$T$161</definedName>
    <definedName name="OSRRefT22_22x_0" localSheetId="47">'Div 3'!$T$216:$T$217</definedName>
    <definedName name="OSRRefT22_22x_0" localSheetId="71">'Div 4'!$T$104:$T$105</definedName>
    <definedName name="OSRRefT22_22x_0" localSheetId="2">Summary!$T$237:$T$245</definedName>
    <definedName name="OSRRefT22_23x_0" localSheetId="48">'300'!$T$211:$T$213</definedName>
    <definedName name="OSRRefT22_23x_0" localSheetId="49">'300 &amp; 317'!$T$234:$T$236</definedName>
    <definedName name="OSRRefT22_23x_0" localSheetId="47">'Div 3'!$T$219</definedName>
    <definedName name="OSRRefT22_23x_0" localSheetId="71">'Div 4'!$T$107</definedName>
    <definedName name="OSRRefT22_23x_0" localSheetId="2">Summary!$T$247:$T$248</definedName>
    <definedName name="OSRRefT22_24x_0" localSheetId="48">'300'!$T$215</definedName>
    <definedName name="OSRRefT22_24x_0" localSheetId="49">'300 &amp; 317'!$T$238</definedName>
    <definedName name="OSRRefT22_24x_0" localSheetId="47">'Div 3'!$T$221:$T$223</definedName>
    <definedName name="OSRRefT22_24x_0" localSheetId="2">Summary!$T$250</definedName>
    <definedName name="OSRRefT22_25x_0" localSheetId="47">'Div 3'!$T$225</definedName>
    <definedName name="OSRRefT22_25x_0" localSheetId="2">Summary!$T$252:$T$254</definedName>
    <definedName name="OSRRefT22_26x_0" localSheetId="2">Summary!$T$256</definedName>
    <definedName name="OSRRefT22_2x_0" localSheetId="40">'200'!$T$24</definedName>
    <definedName name="OSRRefT22_2x_0" localSheetId="41">'201'!$T$34</definedName>
    <definedName name="OSRRefT22_2x_0" localSheetId="42">'202'!$T$33</definedName>
    <definedName name="OSRRefT22_2x_0" localSheetId="43">'203'!$T$37</definedName>
    <definedName name="OSRRefT22_2x_0" localSheetId="44">'204'!$T$34</definedName>
    <definedName name="OSRRefT22_2x_0" localSheetId="45">'205'!$T$31</definedName>
    <definedName name="OSRRefT22_2x_0" localSheetId="46">'206'!$T$34</definedName>
    <definedName name="OSRRefT22_2x_0" localSheetId="48">'300'!$T$148</definedName>
    <definedName name="OSRRefT22_2x_0" localSheetId="49">'300 &amp; 317'!$T$171</definedName>
    <definedName name="OSRRefT22_2x_0" localSheetId="50">'301'!$T$40</definedName>
    <definedName name="OSRRefT22_2x_0" localSheetId="55">'307'!$T$52</definedName>
    <definedName name="OSRRefT22_2x_0" localSheetId="51">'308'!$T$81</definedName>
    <definedName name="OSRRefT22_2x_0" localSheetId="65">'309'!$T$32</definedName>
    <definedName name="OSRRefT22_2x_0" localSheetId="64">'310'!$T$51</definedName>
    <definedName name="OSRRefT22_2x_0" localSheetId="72">'310 &amp; 491'!$T$54</definedName>
    <definedName name="OSRRefT22_2x_0" localSheetId="52">'311'!$T$81</definedName>
    <definedName name="OSRRefT22_2x_0" localSheetId="66">'313'!$T$36</definedName>
    <definedName name="OSRRefT22_2x_0" localSheetId="57">'315'!$T$103</definedName>
    <definedName name="OSRRefT22_2x_0" localSheetId="60">'316'!$T$47</definedName>
    <definedName name="OSRRefT22_2x_0" localSheetId="62">'317'!$T$71</definedName>
    <definedName name="OSRRefT22_2x_0" localSheetId="63">'320'!$T$27</definedName>
    <definedName name="OSRRefT22_2x_0" localSheetId="67">'321'!$T$44</definedName>
    <definedName name="OSRRefT22_2x_0" localSheetId="68">'322'!$T$29</definedName>
    <definedName name="OSRRefT22_2x_0" localSheetId="69">'325'!$T$37</definedName>
    <definedName name="OSRRefT22_2x_0" localSheetId="58">'326'!$T$68</definedName>
    <definedName name="OSRRefT22_2x_0" localSheetId="56">'331'!$T$104</definedName>
    <definedName name="OSRRefT22_2x_0" localSheetId="59">'332'!$T$49</definedName>
    <definedName name="OSRRefT22_2x_0" localSheetId="54">'333'!$T$106</definedName>
    <definedName name="OSRRefT22_2x_0" localSheetId="74">'405'!$T$38</definedName>
    <definedName name="OSRRefT22_2x_0" localSheetId="75">'406'!$T$24</definedName>
    <definedName name="OSRRefT22_2x_0" localSheetId="76">'411'!$T$35</definedName>
    <definedName name="OSRRefT22_2x_0" localSheetId="77">'412'!$T$24:$T$25</definedName>
    <definedName name="OSRRefT22_2x_0" localSheetId="78">'413'!$T$28</definedName>
    <definedName name="OSRRefT22_2x_0" localSheetId="79">'414'!$T$26</definedName>
    <definedName name="OSRRefT22_2x_0" localSheetId="80">'415'!$T$40</definedName>
    <definedName name="OSRRefT22_2x_0" localSheetId="81">'418'!$T$35</definedName>
    <definedName name="OSRRefT22_2x_0" localSheetId="83">'423'!$T$25</definedName>
    <definedName name="OSRRefT22_2x_0" localSheetId="84">'424'!$T$24</definedName>
    <definedName name="OSRRefT22_2x_0" localSheetId="85">'425'!$T$30</definedName>
    <definedName name="OSRRefT22_2x_0" localSheetId="88">'430'!$T$31</definedName>
    <definedName name="OSRRefT22_2x_0" localSheetId="89">'433'!$T$42</definedName>
    <definedName name="OSRRefT22_2x_0" localSheetId="90">'435'!$T$26</definedName>
    <definedName name="OSRRefT22_2x_0" localSheetId="91">'444'!$T$42</definedName>
    <definedName name="OSRRefT22_2x_0" localSheetId="92">'450'!$T$41</definedName>
    <definedName name="OSRRefT22_2x_0" localSheetId="73">'491'!$T$44</definedName>
    <definedName name="OSRRefT22_2x_0" localSheetId="87">'492'!$T$45</definedName>
    <definedName name="OSRRefT22_2x_0" localSheetId="94">'501'!$T$38</definedName>
    <definedName name="OSRRefT22_2x_0" localSheetId="39">'Div 2'!$T$39</definedName>
    <definedName name="OSRRefT22_2x_0" localSheetId="47">'Div 3'!$T$155</definedName>
    <definedName name="OSRRefT22_2x_0" localSheetId="71">'Div 4'!$T$48</definedName>
    <definedName name="OSRRefT22_2x_0" localSheetId="93">'Div 5'!$T$38</definedName>
    <definedName name="OSRRefT22_2x_0" localSheetId="61">'Div 6'!$T$71</definedName>
    <definedName name="OSRRefT22_2x_0" localSheetId="2">Summary!$T$182</definedName>
    <definedName name="OSRRefT22_3x_0" localSheetId="40">'200'!$T$26</definedName>
    <definedName name="OSRRefT22_3x_0" localSheetId="41">'201'!$T$36</definedName>
    <definedName name="OSRRefT22_3x_0" localSheetId="42">'202'!$T$35</definedName>
    <definedName name="OSRRefT22_3x_0" localSheetId="43">'203'!$T$39</definedName>
    <definedName name="OSRRefT22_3x_0" localSheetId="44">'204'!$T$36</definedName>
    <definedName name="OSRRefT22_3x_0" localSheetId="45">'205'!$T$33</definedName>
    <definedName name="OSRRefT22_3x_0" localSheetId="46">'206'!$T$36</definedName>
    <definedName name="OSRRefT22_3x_0" localSheetId="48">'300'!$T$150:$T$151</definedName>
    <definedName name="OSRRefT22_3x_0" localSheetId="49">'300 &amp; 317'!$T$173:$T$174</definedName>
    <definedName name="OSRRefT22_3x_0" localSheetId="50">'301'!$T$42:$T$43</definedName>
    <definedName name="OSRRefT22_3x_0" localSheetId="55">'307'!$T$54</definedName>
    <definedName name="OSRRefT22_3x_0" localSheetId="51">'308'!$T$83:$T$84</definedName>
    <definedName name="OSRRefT22_3x_0" localSheetId="65">'309'!$T$34</definedName>
    <definedName name="OSRRefT22_3x_0" localSheetId="64">'310'!$T$53</definedName>
    <definedName name="OSRRefT22_3x_0" localSheetId="72">'310 &amp; 491'!$T$56</definedName>
    <definedName name="OSRRefT22_3x_0" localSheetId="52">'311'!$T$83:$T$84</definedName>
    <definedName name="OSRRefT22_3x_0" localSheetId="66">'313'!$T$38</definedName>
    <definedName name="OSRRefT22_3x_0" localSheetId="57">'315'!$T$105:$T$106</definedName>
    <definedName name="OSRRefT22_3x_0" localSheetId="60">'316'!$T$49</definedName>
    <definedName name="OSRRefT22_3x_0" localSheetId="62">'317'!$T$73</definedName>
    <definedName name="OSRRefT22_3x_0" localSheetId="67">'321'!$T$46</definedName>
    <definedName name="OSRRefT22_3x_0" localSheetId="68">'322'!$T$31</definedName>
    <definedName name="OSRRefT22_3x_0" localSheetId="69">'325'!$T$39</definedName>
    <definedName name="OSRRefT22_3x_0" localSheetId="58">'326'!$T$70</definedName>
    <definedName name="OSRRefT22_3x_0" localSheetId="56">'331'!$T$106</definedName>
    <definedName name="OSRRefT22_3x_0" localSheetId="59">'332'!$T$51</definedName>
    <definedName name="OSRRefT22_3x_0" localSheetId="54">'333'!$T$108</definedName>
    <definedName name="OSRRefT22_3x_0" localSheetId="74">'405'!$T$40</definedName>
    <definedName name="OSRRefT22_3x_0" localSheetId="75">'406'!$T$26</definedName>
    <definedName name="OSRRefT22_3x_0" localSheetId="76">'411'!$T$37:$T$38</definedName>
    <definedName name="OSRRefT22_3x_0" localSheetId="77">'412'!$T$27</definedName>
    <definedName name="OSRRefT22_3x_0" localSheetId="78">'413'!$T$30</definedName>
    <definedName name="OSRRefT22_3x_0" localSheetId="79">'414'!$T$28</definedName>
    <definedName name="OSRRefT22_3x_0" localSheetId="80">'415'!$T$42</definedName>
    <definedName name="OSRRefT22_3x_0" localSheetId="81">'418'!$T$37</definedName>
    <definedName name="OSRRefT22_3x_0" localSheetId="83">'423'!$T$27</definedName>
    <definedName name="OSRRefT22_3x_0" localSheetId="84">'424'!$T$26</definedName>
    <definedName name="OSRRefT22_3x_0" localSheetId="85">'425'!$T$32</definedName>
    <definedName name="OSRRefT22_3x_0" localSheetId="88">'430'!$T$33</definedName>
    <definedName name="OSRRefT22_3x_0" localSheetId="89">'433'!$T$44</definedName>
    <definedName name="OSRRefT22_3x_0" localSheetId="91">'444'!$T$44</definedName>
    <definedName name="OSRRefT22_3x_0" localSheetId="92">'450'!$T$43</definedName>
    <definedName name="OSRRefT22_3x_0" localSheetId="73">'491'!$T$46</definedName>
    <definedName name="OSRRefT22_3x_0" localSheetId="87">'492'!$T$47</definedName>
    <definedName name="OSRRefT22_3x_0" localSheetId="94">'501'!$T$40</definedName>
    <definedName name="OSRRefT22_3x_0" localSheetId="39">'Div 2'!$T$41</definedName>
    <definedName name="OSRRefT22_3x_0" localSheetId="47">'Div 3'!$T$157:$T$158</definedName>
    <definedName name="OSRRefT22_3x_0" localSheetId="71">'Div 4'!$T$50</definedName>
    <definedName name="OSRRefT22_3x_0" localSheetId="93">'Div 5'!$T$40</definedName>
    <definedName name="OSRRefT22_3x_0" localSheetId="61">'Div 6'!$T$73</definedName>
    <definedName name="OSRRefT22_3x_0" localSheetId="2">Summary!$T$184:$T$185</definedName>
    <definedName name="OSRRefT22_4x_0" localSheetId="41">'201'!$T$38</definedName>
    <definedName name="OSRRefT22_4x_0" localSheetId="42">'202'!$T$37</definedName>
    <definedName name="OSRRefT22_4x_0" localSheetId="43">'203'!$T$41</definedName>
    <definedName name="OSRRefT22_4x_0" localSheetId="44">'204'!$T$38</definedName>
    <definedName name="OSRRefT22_4x_0" localSheetId="45">'205'!$T$35:$T$36</definedName>
    <definedName name="OSRRefT22_4x_0" localSheetId="46">'206'!$T$38</definedName>
    <definedName name="OSRRefT22_4x_0" localSheetId="48">'300'!$T$153</definedName>
    <definedName name="OSRRefT22_4x_0" localSheetId="49">'300 &amp; 317'!$T$176</definedName>
    <definedName name="OSRRefT22_4x_0" localSheetId="50">'301'!$T$45</definedName>
    <definedName name="OSRRefT22_4x_0" localSheetId="55">'307'!$T$56:$T$57</definedName>
    <definedName name="OSRRefT22_4x_0" localSheetId="51">'308'!$T$86</definedName>
    <definedName name="OSRRefT22_4x_0" localSheetId="65">'309'!$T$36</definedName>
    <definedName name="OSRRefT22_4x_0" localSheetId="64">'310'!$T$55</definedName>
    <definedName name="OSRRefT22_4x_0" localSheetId="72">'310 &amp; 491'!$T$58</definedName>
    <definedName name="OSRRefT22_4x_0" localSheetId="52">'311'!$T$86</definedName>
    <definedName name="OSRRefT22_4x_0" localSheetId="66">'313'!$T$40</definedName>
    <definedName name="OSRRefT22_4x_0" localSheetId="57">'315'!$T$108</definedName>
    <definedName name="OSRRefT22_4x_0" localSheetId="60">'316'!$T$51</definedName>
    <definedName name="OSRRefT22_4x_0" localSheetId="62">'317'!$T$75</definedName>
    <definedName name="OSRRefT22_4x_0" localSheetId="67">'321'!$T$48</definedName>
    <definedName name="OSRRefT22_4x_0" localSheetId="68">'322'!$T$33:$T$34</definedName>
    <definedName name="OSRRefT22_4x_0" localSheetId="69">'325'!$T$41</definedName>
    <definedName name="OSRRefT22_4x_0" localSheetId="58">'326'!$T$72</definedName>
    <definedName name="OSRRefT22_4x_0" localSheetId="56">'331'!$T$108</definedName>
    <definedName name="OSRRefT22_4x_0" localSheetId="59">'332'!$T$53</definedName>
    <definedName name="OSRRefT22_4x_0" localSheetId="54">'333'!$T$110</definedName>
    <definedName name="OSRRefT22_4x_0" localSheetId="74">'405'!$T$42</definedName>
    <definedName name="OSRRefT22_4x_0" localSheetId="75">'406'!$T$28</definedName>
    <definedName name="OSRRefT22_4x_0" localSheetId="76">'411'!$T$40</definedName>
    <definedName name="OSRRefT22_4x_0" localSheetId="77">'412'!$T$29</definedName>
    <definedName name="OSRRefT22_4x_0" localSheetId="78">'413'!$T$32</definedName>
    <definedName name="OSRRefT22_4x_0" localSheetId="79">'414'!$T$30</definedName>
    <definedName name="OSRRefT22_4x_0" localSheetId="80">'415'!$T$44</definedName>
    <definedName name="OSRRefT22_4x_0" localSheetId="81">'418'!$T$39:$T$40</definedName>
    <definedName name="OSRRefT22_4x_0" localSheetId="85">'425'!$T$34</definedName>
    <definedName name="OSRRefT22_4x_0" localSheetId="88">'430'!$T$35</definedName>
    <definedName name="OSRRefT22_4x_0" localSheetId="89">'433'!$T$46</definedName>
    <definedName name="OSRRefT22_4x_0" localSheetId="91">'444'!$T$46</definedName>
    <definedName name="OSRRefT22_4x_0" localSheetId="92">'450'!$T$45</definedName>
    <definedName name="OSRRefT22_4x_0" localSheetId="73">'491'!$T$48</definedName>
    <definedName name="OSRRefT22_4x_0" localSheetId="87">'492'!$T$49</definedName>
    <definedName name="OSRRefT22_4x_0" localSheetId="94">'501'!$T$42:$T$43</definedName>
    <definedName name="OSRRefT22_4x_0" localSheetId="39">'Div 2'!$T$43</definedName>
    <definedName name="OSRRefT22_4x_0" localSheetId="47">'Div 3'!$T$160</definedName>
    <definedName name="OSRRefT22_4x_0" localSheetId="71">'Div 4'!$T$52</definedName>
    <definedName name="OSRRefT22_4x_0" localSheetId="93">'Div 5'!$T$42:$T$43</definedName>
    <definedName name="OSRRefT22_4x_0" localSheetId="61">'Div 6'!$T$75</definedName>
    <definedName name="OSRRefT22_4x_0" localSheetId="2">Summary!$T$187</definedName>
    <definedName name="OSRRefT22_5x_0" localSheetId="41">'201'!$T$40</definedName>
    <definedName name="OSRRefT22_5x_0" localSheetId="42">'202'!$T$39:$T$40</definedName>
    <definedName name="OSRRefT22_5x_0" localSheetId="43">'203'!$T$43</definedName>
    <definedName name="OSRRefT22_5x_0" localSheetId="44">'204'!$T$40:$T$43</definedName>
    <definedName name="OSRRefT22_5x_0" localSheetId="45">'205'!$T$38:$T$40</definedName>
    <definedName name="OSRRefT22_5x_0" localSheetId="46">'206'!$T$40</definedName>
    <definedName name="OSRRefT22_5x_0" localSheetId="48">'300'!$T$155:$T$156</definedName>
    <definedName name="OSRRefT22_5x_0" localSheetId="49">'300 &amp; 317'!$T$178:$T$179</definedName>
    <definedName name="OSRRefT22_5x_0" localSheetId="50">'301'!$T$47:$T$48</definedName>
    <definedName name="OSRRefT22_5x_0" localSheetId="55">'307'!$T$59</definedName>
    <definedName name="OSRRefT22_5x_0" localSheetId="51">'308'!$T$88</definedName>
    <definedName name="OSRRefT22_5x_0" localSheetId="65">'309'!$T$38</definedName>
    <definedName name="OSRRefT22_5x_0" localSheetId="64">'310'!$T$57:$T$58</definedName>
    <definedName name="OSRRefT22_5x_0" localSheetId="72">'310 &amp; 491'!$T$60:$T$61</definedName>
    <definedName name="OSRRefT22_5x_0" localSheetId="52">'311'!$T$88</definedName>
    <definedName name="OSRRefT22_5x_0" localSheetId="66">'313'!$T$42</definedName>
    <definedName name="OSRRefT22_5x_0" localSheetId="57">'315'!$T$110</definedName>
    <definedName name="OSRRefT22_5x_0" localSheetId="60">'316'!$T$53</definedName>
    <definedName name="OSRRefT22_5x_0" localSheetId="62">'317'!$T$77:$T$78</definedName>
    <definedName name="OSRRefT22_5x_0" localSheetId="67">'321'!$T$50</definedName>
    <definedName name="OSRRefT22_5x_0" localSheetId="68">'322'!$T$36</definedName>
    <definedName name="OSRRefT22_5x_0" localSheetId="69">'325'!$T$43:$T$44</definedName>
    <definedName name="OSRRefT22_5x_0" localSheetId="58">'326'!$T$74</definedName>
    <definedName name="OSRRefT22_5x_0" localSheetId="56">'331'!$T$110:$T$111</definedName>
    <definedName name="OSRRefT22_5x_0" localSheetId="59">'332'!$T$55</definedName>
    <definedName name="OSRRefT22_5x_0" localSheetId="54">'333'!$T$112:$T$113</definedName>
    <definedName name="OSRRefT22_5x_0" localSheetId="74">'405'!$T$44:$T$45</definedName>
    <definedName name="OSRRefT22_5x_0" localSheetId="76">'411'!$T$42</definedName>
    <definedName name="OSRRefT22_5x_0" localSheetId="78">'413'!$T$34</definedName>
    <definedName name="OSRRefT22_5x_0" localSheetId="79">'414'!$T$32:$T$33</definedName>
    <definedName name="OSRRefT22_5x_0" localSheetId="80">'415'!$T$46:$T$47</definedName>
    <definedName name="OSRRefT22_5x_0" localSheetId="81">'418'!$T$42</definedName>
    <definedName name="OSRRefT22_5x_0" localSheetId="85">'425'!$T$36:$T$37</definedName>
    <definedName name="OSRRefT22_5x_0" localSheetId="88">'430'!$T$37:$T$38</definedName>
    <definedName name="OSRRefT22_5x_0" localSheetId="89">'433'!$T$48</definedName>
    <definedName name="OSRRefT22_5x_0" localSheetId="91">'444'!$T$48</definedName>
    <definedName name="OSRRefT22_5x_0" localSheetId="92">'450'!$T$47</definedName>
    <definedName name="OSRRefT22_5x_0" localSheetId="73">'491'!$T$50:$T$51</definedName>
    <definedName name="OSRRefT22_5x_0" localSheetId="87">'492'!$T$51</definedName>
    <definedName name="OSRRefT22_5x_0" localSheetId="94">'501'!$T$45</definedName>
    <definedName name="OSRRefT22_5x_0" localSheetId="39">'Div 2'!$T$45</definedName>
    <definedName name="OSRRefT22_5x_0" localSheetId="47">'Div 3'!$T$162:$T$163</definedName>
    <definedName name="OSRRefT22_5x_0" localSheetId="71">'Div 4'!$T$54:$T$55</definedName>
    <definedName name="OSRRefT22_5x_0" localSheetId="93">'Div 5'!$T$45</definedName>
    <definedName name="OSRRefT22_5x_0" localSheetId="61">'Div 6'!$T$77:$T$78</definedName>
    <definedName name="OSRRefT22_5x_0" localSheetId="2">Summary!$T$189:$T$190</definedName>
    <definedName name="OSRRefT22_6x_0" localSheetId="41">'201'!$T$42</definedName>
    <definedName name="OSRRefT22_6x_0" localSheetId="42">'202'!$T$42</definedName>
    <definedName name="OSRRefT22_6x_0" localSheetId="43">'203'!$T$45</definedName>
    <definedName name="OSRRefT22_6x_0" localSheetId="44">'204'!$T$45</definedName>
    <definedName name="OSRRefT22_6x_0" localSheetId="45">'205'!$T$42</definedName>
    <definedName name="OSRRefT22_6x_0" localSheetId="46">'206'!$T$42</definedName>
    <definedName name="OSRRefT22_6x_0" localSheetId="48">'300'!$T$158:$T$159</definedName>
    <definedName name="OSRRefT22_6x_0" localSheetId="49">'300 &amp; 317'!$T$181:$T$182</definedName>
    <definedName name="OSRRefT22_6x_0" localSheetId="50">'301'!$T$50:$T$51</definedName>
    <definedName name="OSRRefT22_6x_0" localSheetId="55">'307'!$T$61</definedName>
    <definedName name="OSRRefT22_6x_0" localSheetId="51">'308'!$T$90:$T$91</definedName>
    <definedName name="OSRRefT22_6x_0" localSheetId="65">'309'!$T$40</definedName>
    <definedName name="OSRRefT22_6x_0" localSheetId="64">'310'!$T$60</definedName>
    <definedName name="OSRRefT22_6x_0" localSheetId="72">'310 &amp; 491'!$T$63</definedName>
    <definedName name="OSRRefT22_6x_0" localSheetId="52">'311'!$T$90:$T$91</definedName>
    <definedName name="OSRRefT22_6x_0" localSheetId="66">'313'!$T$44</definedName>
    <definedName name="OSRRefT22_6x_0" localSheetId="57">'315'!$T$112:$T$113</definedName>
    <definedName name="OSRRefT22_6x_0" localSheetId="60">'316'!$T$55:$T$56</definedName>
    <definedName name="OSRRefT22_6x_0" localSheetId="62">'317'!$T$80</definedName>
    <definedName name="OSRRefT22_6x_0" localSheetId="67">'321'!$T$52</definedName>
    <definedName name="OSRRefT22_6x_0" localSheetId="68">'322'!$T$38</definedName>
    <definedName name="OSRRefT22_6x_0" localSheetId="69">'325'!$T$46</definedName>
    <definedName name="OSRRefT22_6x_0" localSheetId="58">'326'!$T$76</definedName>
    <definedName name="OSRRefT22_6x_0" localSheetId="56">'331'!$T$113</definedName>
    <definedName name="OSRRefT22_6x_0" localSheetId="59">'332'!$T$57:$T$58</definedName>
    <definedName name="OSRRefT22_6x_0" localSheetId="54">'333'!$T$115</definedName>
    <definedName name="OSRRefT22_6x_0" localSheetId="74">'405'!$T$47</definedName>
    <definedName name="OSRRefT22_6x_0" localSheetId="76">'411'!$T$44</definedName>
    <definedName name="OSRRefT22_6x_0" localSheetId="80">'415'!$T$49</definedName>
    <definedName name="OSRRefT22_6x_0" localSheetId="81">'418'!$T$44</definedName>
    <definedName name="OSRRefT22_6x_0" localSheetId="85">'425'!$T$39</definedName>
    <definedName name="OSRRefT22_6x_0" localSheetId="88">'430'!$T$40</definedName>
    <definedName name="OSRRefT22_6x_0" localSheetId="89">'433'!$T$50</definedName>
    <definedName name="OSRRefT22_6x_0" localSheetId="91">'444'!$T$50</definedName>
    <definedName name="OSRRefT22_6x_0" localSheetId="92">'450'!$T$49</definedName>
    <definedName name="OSRRefT22_6x_0" localSheetId="73">'491'!$T$53</definedName>
    <definedName name="OSRRefT22_6x_0" localSheetId="87">'492'!$T$53</definedName>
    <definedName name="OSRRefT22_6x_0" localSheetId="94">'501'!$T$47</definedName>
    <definedName name="OSRRefT22_6x_0" localSheetId="39">'Div 2'!$T$47</definedName>
    <definedName name="OSRRefT22_6x_0" localSheetId="47">'Div 3'!$T$165:$T$166</definedName>
    <definedName name="OSRRefT22_6x_0" localSheetId="71">'Div 4'!$T$57</definedName>
    <definedName name="OSRRefT22_6x_0" localSheetId="93">'Div 5'!$T$47</definedName>
    <definedName name="OSRRefT22_6x_0" localSheetId="61">'Div 6'!$T$80</definedName>
    <definedName name="OSRRefT22_6x_0" localSheetId="2">Summary!$T$192:$T$193</definedName>
    <definedName name="OSRRefT22_7x_0" localSheetId="41">'201'!$T$44</definedName>
    <definedName name="OSRRefT22_7x_0" localSheetId="42">'202'!$T$44:$T$46</definedName>
    <definedName name="OSRRefT22_7x_0" localSheetId="43">'203'!$T$47:$T$48</definedName>
    <definedName name="OSRRefT22_7x_0" localSheetId="44">'204'!$T$47:$T$48</definedName>
    <definedName name="OSRRefT22_7x_0" localSheetId="48">'300'!$T$161</definedName>
    <definedName name="OSRRefT22_7x_0" localSheetId="49">'300 &amp; 317'!$T$184</definedName>
    <definedName name="OSRRefT22_7x_0" localSheetId="50">'301'!$T$53</definedName>
    <definedName name="OSRRefT22_7x_0" localSheetId="55">'307'!$T$63</definedName>
    <definedName name="OSRRefT22_7x_0" localSheetId="51">'308'!$T$93</definedName>
    <definedName name="OSRRefT22_7x_0" localSheetId="65">'309'!$T$42</definedName>
    <definedName name="OSRRefT22_7x_0" localSheetId="64">'310'!$T$62</definedName>
    <definedName name="OSRRefT22_7x_0" localSheetId="72">'310 &amp; 491'!$T$65</definedName>
    <definedName name="OSRRefT22_7x_0" localSheetId="52">'311'!$T$93</definedName>
    <definedName name="OSRRefT22_7x_0" localSheetId="66">'313'!$T$46</definedName>
    <definedName name="OSRRefT22_7x_0" localSheetId="57">'315'!$T$115</definedName>
    <definedName name="OSRRefT22_7x_0" localSheetId="60">'316'!$T$58</definedName>
    <definedName name="OSRRefT22_7x_0" localSheetId="62">'317'!$T$82</definedName>
    <definedName name="OSRRefT22_7x_0" localSheetId="67">'321'!$T$54:$T$55</definedName>
    <definedName name="OSRRefT22_7x_0" localSheetId="68">'322'!$T$40</definedName>
    <definedName name="OSRRefT22_7x_0" localSheetId="69">'325'!$T$48</definedName>
    <definedName name="OSRRefT22_7x_0" localSheetId="58">'326'!$T$78</definedName>
    <definedName name="OSRRefT22_7x_0" localSheetId="56">'331'!$T$115</definedName>
    <definedName name="OSRRefT22_7x_0" localSheetId="59">'332'!$T$60</definedName>
    <definedName name="OSRRefT22_7x_0" localSheetId="54">'333'!$T$117</definedName>
    <definedName name="OSRRefT22_7x_0" localSheetId="74">'405'!$T$49</definedName>
    <definedName name="OSRRefT22_7x_0" localSheetId="76">'411'!$T$46</definedName>
    <definedName name="OSRRefT22_7x_0" localSheetId="80">'415'!$T$51</definedName>
    <definedName name="OSRRefT22_7x_0" localSheetId="81">'418'!$T$46</definedName>
    <definedName name="OSRRefT22_7x_0" localSheetId="85">'425'!$T$41</definedName>
    <definedName name="OSRRefT22_7x_0" localSheetId="88">'430'!$T$42</definedName>
    <definedName name="OSRRefT22_7x_0" localSheetId="89">'433'!$T$52</definedName>
    <definedName name="OSRRefT22_7x_0" localSheetId="91">'444'!$T$52</definedName>
    <definedName name="OSRRefT22_7x_0" localSheetId="92">'450'!$T$51</definedName>
    <definedName name="OSRRefT22_7x_0" localSheetId="73">'491'!$T$55</definedName>
    <definedName name="OSRRefT22_7x_0" localSheetId="87">'492'!$T$55</definedName>
    <definedName name="OSRRefT22_7x_0" localSheetId="94">'501'!$T$49:$T$52</definedName>
    <definedName name="OSRRefT22_7x_0" localSheetId="39">'Div 2'!$T$49</definedName>
    <definedName name="OSRRefT22_7x_0" localSheetId="47">'Div 3'!$T$168</definedName>
    <definedName name="OSRRefT22_7x_0" localSheetId="71">'Div 4'!$T$59</definedName>
    <definedName name="OSRRefT22_7x_0" localSheetId="93">'Div 5'!$T$49:$T$52</definedName>
    <definedName name="OSRRefT22_7x_0" localSheetId="61">'Div 6'!$T$82</definedName>
    <definedName name="OSRRefT22_7x_0" localSheetId="2">Summary!$T$195</definedName>
    <definedName name="OSRRefT22_8x_0" localSheetId="41">'201'!$T$46</definedName>
    <definedName name="OSRRefT22_8x_0" localSheetId="42">'202'!$T$48</definedName>
    <definedName name="OSRRefT22_8x_0" localSheetId="43">'203'!$T$50:$T$51</definedName>
    <definedName name="OSRRefT22_8x_0" localSheetId="44">'204'!$T$50</definedName>
    <definedName name="OSRRefT22_8x_0" localSheetId="48">'300'!$T$163</definedName>
    <definedName name="OSRRefT22_8x_0" localSheetId="49">'300 &amp; 317'!$T$186</definedName>
    <definedName name="OSRRefT22_8x_0" localSheetId="50">'301'!$T$55</definedName>
    <definedName name="OSRRefT22_8x_0" localSheetId="55">'307'!$T$65:$T$66</definedName>
    <definedName name="OSRRefT22_8x_0" localSheetId="51">'308'!$T$95</definedName>
    <definedName name="OSRRefT22_8x_0" localSheetId="65">'309'!$T$44:$T$45</definedName>
    <definedName name="OSRRefT22_8x_0" localSheetId="64">'310'!$T$64</definedName>
    <definedName name="OSRRefT22_8x_0" localSheetId="72">'310 &amp; 491'!$T$67:$T$68</definedName>
    <definedName name="OSRRefT22_8x_0" localSheetId="52">'311'!$T$95</definedName>
    <definedName name="OSRRefT22_8x_0" localSheetId="57">'315'!$T$117:$T$118</definedName>
    <definedName name="OSRRefT22_8x_0" localSheetId="60">'316'!$T$60:$T$62</definedName>
    <definedName name="OSRRefT22_8x_0" localSheetId="62">'317'!$T$84</definedName>
    <definedName name="OSRRefT22_8x_0" localSheetId="67">'321'!$T$57</definedName>
    <definedName name="OSRRefT22_8x_0" localSheetId="69">'325'!$T$50</definedName>
    <definedName name="OSRRefT22_8x_0" localSheetId="58">'326'!$T$80</definedName>
    <definedName name="OSRRefT22_8x_0" localSheetId="56">'331'!$T$117:$T$118</definedName>
    <definedName name="OSRRefT22_8x_0" localSheetId="59">'332'!$T$62:$T$64</definedName>
    <definedName name="OSRRefT22_8x_0" localSheetId="54">'333'!$T$119:$T$120</definedName>
    <definedName name="OSRRefT22_8x_0" localSheetId="74">'405'!$T$51</definedName>
    <definedName name="OSRRefT22_8x_0" localSheetId="76">'411'!$T$48</definedName>
    <definedName name="OSRRefT22_8x_0" localSheetId="80">'415'!$T$53</definedName>
    <definedName name="OSRRefT22_8x_0" localSheetId="81">'418'!$T$48:$T$49</definedName>
    <definedName name="OSRRefT22_8x_0" localSheetId="85">'425'!$T$43</definedName>
    <definedName name="OSRRefT22_8x_0" localSheetId="88">'430'!$T$44</definedName>
    <definedName name="OSRRefT22_8x_0" localSheetId="89">'433'!$T$54</definedName>
    <definedName name="OSRRefT22_8x_0" localSheetId="91">'444'!$T$54</definedName>
    <definedName name="OSRRefT22_8x_0" localSheetId="92">'450'!$T$53</definedName>
    <definedName name="OSRRefT22_8x_0" localSheetId="73">'491'!$T$57</definedName>
    <definedName name="OSRRefT22_8x_0" localSheetId="87">'492'!$T$57</definedName>
    <definedName name="OSRRefT22_8x_0" localSheetId="94">'501'!$T$54:$T$55</definedName>
    <definedName name="OSRRefT22_8x_0" localSheetId="39">'Div 2'!$T$51</definedName>
    <definedName name="OSRRefT22_8x_0" localSheetId="47">'Div 3'!$T$170</definedName>
    <definedName name="OSRRefT22_8x_0" localSheetId="71">'Div 4'!$T$61</definedName>
    <definedName name="OSRRefT22_8x_0" localSheetId="93">'Div 5'!$T$54:$T$55</definedName>
    <definedName name="OSRRefT22_8x_0" localSheetId="61">'Div 6'!$T$84</definedName>
    <definedName name="OSRRefT22_8x_0" localSheetId="2">Summary!$T$197</definedName>
    <definedName name="OSRRefT22_9x_0" localSheetId="41">'201'!$T$48:$T$50</definedName>
    <definedName name="OSRRefT22_9x_0" localSheetId="42">'202'!$T$50:$T$52</definedName>
    <definedName name="OSRRefT22_9x_0" localSheetId="43">'203'!$T$53:$T$54</definedName>
    <definedName name="OSRRefT22_9x_0" localSheetId="44">'204'!$T$52</definedName>
    <definedName name="OSRRefT22_9x_0" localSheetId="48">'300'!$T$165</definedName>
    <definedName name="OSRRefT22_9x_0" localSheetId="49">'300 &amp; 317'!$T$188</definedName>
    <definedName name="OSRRefT22_9x_0" localSheetId="50">'301'!$T$57</definedName>
    <definedName name="OSRRefT22_9x_0" localSheetId="55">'307'!$T$68:$T$69</definedName>
    <definedName name="OSRRefT22_9x_0" localSheetId="51">'308'!$T$97:$T$99</definedName>
    <definedName name="OSRRefT22_9x_0" localSheetId="65">'309'!$T$47:$T$48</definedName>
    <definedName name="OSRRefT22_9x_0" localSheetId="64">'310'!$T$66</definedName>
    <definedName name="OSRRefT22_9x_0" localSheetId="72">'310 &amp; 491'!$T$70</definedName>
    <definedName name="OSRRefT22_9x_0" localSheetId="52">'311'!$T$97:$T$99</definedName>
    <definedName name="OSRRefT22_9x_0" localSheetId="57">'315'!$T$120</definedName>
    <definedName name="OSRRefT22_9x_0" localSheetId="60">'316'!$T$64</definedName>
    <definedName name="OSRRefT22_9x_0" localSheetId="62">'317'!$T$86:$T$89</definedName>
    <definedName name="OSRRefT22_9x_0" localSheetId="67">'321'!$T$59:$T$61</definedName>
    <definedName name="OSRRefT22_9x_0" localSheetId="69">'325'!$T$52</definedName>
    <definedName name="OSRRefT22_9x_0" localSheetId="58">'326'!$T$82</definedName>
    <definedName name="OSRRefT22_9x_0" localSheetId="56">'331'!$T$120</definedName>
    <definedName name="OSRRefT22_9x_0" localSheetId="59">'332'!$T$66</definedName>
    <definedName name="OSRRefT22_9x_0" localSheetId="54">'333'!$T$122</definedName>
    <definedName name="OSRRefT22_9x_0" localSheetId="74">'405'!$T$53</definedName>
    <definedName name="OSRRefT22_9x_0" localSheetId="76">'411'!$T$50:$T$53</definedName>
    <definedName name="OSRRefT22_9x_0" localSheetId="80">'415'!$T$55</definedName>
    <definedName name="OSRRefT22_9x_0" localSheetId="81">'418'!$T$51</definedName>
    <definedName name="OSRRefT22_9x_0" localSheetId="89">'433'!$T$56</definedName>
    <definedName name="OSRRefT22_9x_0" localSheetId="91">'444'!$T$56</definedName>
    <definedName name="OSRRefT22_9x_0" localSheetId="92">'450'!$T$55</definedName>
    <definedName name="OSRRefT22_9x_0" localSheetId="73">'491'!$T$59</definedName>
    <definedName name="OSRRefT22_9x_0" localSheetId="87">'492'!$T$59</definedName>
    <definedName name="OSRRefT22_9x_0" localSheetId="94">'501'!$T$57</definedName>
    <definedName name="OSRRefT22_9x_0" localSheetId="39">'Div 2'!$T$53:$T$54</definedName>
    <definedName name="OSRRefT22_9x_0" localSheetId="47">'Div 3'!$T$172</definedName>
    <definedName name="OSRRefT22_9x_0" localSheetId="71">'Div 4'!$T$63</definedName>
    <definedName name="OSRRefT22_9x_0" localSheetId="93">'Div 5'!$T$57</definedName>
    <definedName name="OSRRefT22_9x_0" localSheetId="61">'Div 6'!$T$86:$T$89</definedName>
    <definedName name="OSRRefT22_9x_0" localSheetId="2">Summary!$T$199</definedName>
    <definedName name="OSRRefT22x_0" localSheetId="40">'200'!$T$20,'200'!$T$22,'200'!$T$24,'200'!$T$26</definedName>
    <definedName name="OSRRefT22x_0" localSheetId="41">'201'!$T$20:$T$27,'201'!$T$29:$T$32,'201'!$T$34,'201'!$T$36,'201'!$T$38,'201'!$T$40,'201'!$T$42,'201'!$T$44,'201'!$T$46,'201'!$T$48:$T$50,'201'!$T$52:$T$54,'201'!$T$56,'201'!$T$58:$T$59,'201'!$T$61,'201'!$T$63</definedName>
    <definedName name="OSRRefT22x_0" localSheetId="42">'202'!$T$20:$T$27,'202'!$T$29:$T$31,'202'!$T$33,'202'!$T$35,'202'!$T$37,'202'!$T$39:$T$40,'202'!$T$42,'202'!$T$44:$T$46,'202'!$T$48,'202'!$T$50:$T$52,'202'!$T$54,'202'!$T$56,'202'!$T$58</definedName>
    <definedName name="OSRRefT22x_0" localSheetId="43">'203'!$T$20:$T$29,'203'!$T$31:$T$35,'203'!$T$37,'203'!$T$39,'203'!$T$41,'203'!$T$43,'203'!$T$45,'203'!$T$47:$T$48,'203'!$T$50:$T$51,'203'!$T$53:$T$54,'203'!$T$56:$T$59,'203'!$T$61,'203'!$T$63,'203'!$T$65</definedName>
    <definedName name="OSRRefT22x_0" localSheetId="44">'204'!$T$20:$T$28,'204'!$T$30:$T$32,'204'!$T$34,'204'!$T$36,'204'!$T$38,'204'!$T$40:$T$43,'204'!$T$45,'204'!$T$47:$T$48,'204'!$T$50,'204'!$T$52</definedName>
    <definedName name="OSRRefT22x_0" localSheetId="45">'205'!$T$20:$T$27,'205'!$T$29,'205'!$T$31,'205'!$T$33,'205'!$T$35:$T$36,'205'!$T$38:$T$40,'205'!$T$42</definedName>
    <definedName name="OSRRefT22x_0" localSheetId="46">'206'!$T$20:$T$27,'206'!$T$29:$T$32,'206'!$T$34,'206'!$T$36,'206'!$T$38,'206'!$T$40,'206'!$T$42</definedName>
    <definedName name="OSRRefT22x_0" localSheetId="48">'300'!$T$129:$T$138,'300'!$T$140:$T$146,'300'!$T$148,'300'!$T$150:$T$151,'300'!$T$153,'300'!$T$155:$T$156,'300'!$T$158:$T$159,'300'!$T$161,'300'!$T$163,'300'!$T$165,'300'!$T$167:$T$168,'300'!$T$170,'300'!$T$172,'300'!$T$174:$T$175,'300'!$T$177,'300'!$T$179,'300'!$T$181:$T$184,'300'!$T$186:$T$188,'300'!$T$190:$T$193,'300'!$T$195:$T$196,'300'!$T$198:$T$204,'300'!$T$206:$T$207,'300'!$T$209,'300'!$T$211:$T$213,'300'!$T$215</definedName>
    <definedName name="OSRRefT22x_0" localSheetId="49">'300 &amp; 317'!$T$152:$T$161,'300 &amp; 317'!$T$163:$T$169,'300 &amp; 317'!$T$171,'300 &amp; 317'!$T$173:$T$174,'300 &amp; 317'!$T$176,'300 &amp; 317'!$T$178:$T$179,'300 &amp; 317'!$T$181:$T$182,'300 &amp; 317'!$T$184,'300 &amp; 317'!$T$186,'300 &amp; 317'!$T$188,'300 &amp; 317'!$T$190:$T$191,'300 &amp; 317'!$T$193,'300 &amp; 317'!$T$195,'300 &amp; 317'!$T$197:$T$198,'300 &amp; 317'!$T$200,'300 &amp; 317'!$T$202,'300 &amp; 317'!$T$204:$T$207,'300 &amp; 317'!$T$209:$T$211,'300 &amp; 317'!$T$213:$T$216,'300 &amp; 317'!$T$218:$T$219,'300 &amp; 317'!$T$221:$T$227,'300 &amp; 317'!$T$229:$T$230,'300 &amp; 317'!$T$232,'300 &amp; 317'!$T$234:$T$236,'300 &amp; 317'!$T$238</definedName>
    <definedName name="OSRRefT22x_0" localSheetId="50">'301'!$T$21:$T$30,'301'!$T$32:$T$38,'301'!$T$40,'301'!$T$42:$T$43,'301'!$T$45,'301'!$T$47:$T$48,'301'!$T$50:$T$51,'301'!$T$53,'301'!$T$55,'301'!$T$57,'301'!$T$59,'301'!$T$61,'301'!$T$63,'301'!$T$65,'301'!$T$67,'301'!$T$69:$T$72,'301'!$T$74:$T$76,'301'!$T$78,'301'!$T$80:$T$85,'301'!$T$87,'301'!$T$89,'301'!$T$91:$T$92,'301'!$T$94</definedName>
    <definedName name="OSRRefT22x_0" localSheetId="55">'307'!$T$43:$T$45,'307'!$T$47:$T$50,'307'!$T$52,'307'!$T$54,'307'!$T$56:$T$57,'307'!$T$59,'307'!$T$61,'307'!$T$63,'307'!$T$65:$T$66,'307'!$T$68:$T$69,'307'!$T$71,'307'!$T$73:$T$76,'307'!$T$78,'307'!$T$80</definedName>
    <definedName name="OSRRefT22x_0" localSheetId="51">'308'!$T$63:$T$71,'308'!$T$73:$T$79,'308'!$T$81,'308'!$T$83:$T$84,'308'!$T$86,'308'!$T$88,'308'!$T$90:$T$91,'308'!$T$93,'308'!$T$95,'308'!$T$97:$T$99,'308'!$T$101:$T$102,'308'!$T$104:$T$105,'308'!$T$107:$T$108,'308'!$T$110</definedName>
    <definedName name="OSRRefT22x_0" localSheetId="65">'309'!$T$26:$T$27,'309'!$T$29:$T$30,'309'!$T$32,'309'!$T$34,'309'!$T$36,'309'!$T$38,'309'!$T$40,'309'!$T$42,'309'!$T$44:$T$45,'309'!$T$47:$T$48,'309'!$T$50:$T$51,'309'!$T$53,'309'!$T$55</definedName>
    <definedName name="OSRRefT22x_0" localSheetId="64">'310'!$T$34:$T$42,'310'!$T$44:$T$49,'310'!$T$51,'310'!$T$53,'310'!$T$55,'310'!$T$57:$T$58,'310'!$T$60,'310'!$T$62,'310'!$T$64,'310'!$T$66,'310'!$T$68,'310'!$T$70:$T$71,'310'!$T$73,'310'!$T$75:$T$78,'310'!$T$80:$T$85,'310'!$T$87,'310'!$T$89,'310'!$T$91</definedName>
    <definedName name="OSRRefT22x_0" localSheetId="72">'310 &amp; 491'!$T$36:$T$44,'310 &amp; 491'!$T$46:$T$52,'310 &amp; 491'!$T$54,'310 &amp; 491'!$T$56,'310 &amp; 491'!$T$58,'310 &amp; 491'!$T$60:$T$61,'310 &amp; 491'!$T$63,'310 &amp; 491'!$T$65,'310 &amp; 491'!$T$67:$T$68,'310 &amp; 491'!$T$70,'310 &amp; 491'!$T$72,'310 &amp; 491'!$T$74,'310 &amp; 491'!$T$76,'310 &amp; 491'!$T$78:$T$81,'310 &amp; 491'!$T$83,'310 &amp; 491'!$T$85:$T$88,'310 &amp; 491'!$T$90,'310 &amp; 491'!$T$92:$T$100,'310 &amp; 491'!$T$102,'310 &amp; 491'!$T$104,'310 &amp; 491'!$T$106:$T$107,'310 &amp; 491'!$T$109</definedName>
    <definedName name="OSRRefT22x_0" localSheetId="52">'311'!$T$63:$T$71,'311'!$T$73:$T$79,'311'!$T$81,'311'!$T$83:$T$84,'311'!$T$86,'311'!$T$88,'311'!$T$90:$T$91,'311'!$T$93,'311'!$T$95,'311'!$T$97:$T$99,'311'!$T$101:$T$102,'311'!$T$104:$T$105,'311'!$T$107:$T$108,'311'!$T$110</definedName>
    <definedName name="OSRRefT22x_0" localSheetId="66">'313'!$T$25:$T$32,'313'!$T$34,'313'!$T$36,'313'!$T$38,'313'!$T$40,'313'!$T$42,'313'!$T$44,'313'!$T$46</definedName>
    <definedName name="OSRRefT22x_0" localSheetId="57">'315'!$T$87:$T$94,'315'!$T$96:$T$101,'315'!$T$103,'315'!$T$105:$T$106,'315'!$T$108,'315'!$T$110,'315'!$T$112:$T$113,'315'!$T$115,'315'!$T$117:$T$118,'315'!$T$120,'315'!$T$122:$T$123,'315'!$T$125:$T$126,'315'!$T$128:$T$129,'315'!$T$131:$T$135,'315'!$T$137,'315'!$T$139,'315'!$T$141</definedName>
    <definedName name="OSRRefT22x_0" localSheetId="60">'316'!$T$34:$T$41,'316'!$T$43:$T$45,'316'!$T$47,'316'!$T$49,'316'!$T$51,'316'!$T$53,'316'!$T$55:$T$56,'316'!$T$58,'316'!$T$60:$T$62,'316'!$T$64,'316'!$T$66,'316'!$T$68:$T$72,'316'!$T$74,'316'!$T$76</definedName>
    <definedName name="OSRRefT22x_0" localSheetId="62">'317'!$T$55:$T$63,'317'!$T$65:$T$69,'317'!$T$71,'317'!$T$73,'317'!$T$75,'317'!$T$77:$T$78,'317'!$T$80,'317'!$T$82,'317'!$T$84,'317'!$T$86:$T$89,'317'!$T$91,'317'!$T$93</definedName>
    <definedName name="OSRRefT22x_0" localSheetId="63">'320'!$T$22:$T$23,'320'!$T$25,'320'!$T$27</definedName>
    <definedName name="OSRRefT22x_0" localSheetId="67">'321'!$T$27:$T$35,'321'!$T$37:$T$42,'321'!$T$44,'321'!$T$46,'321'!$T$48,'321'!$T$50,'321'!$T$52,'321'!$T$54:$T$55,'321'!$T$57,'321'!$T$59:$T$61,'321'!$T$63:$T$67,'321'!$T$69,'321'!$T$71,'321'!$T$73</definedName>
    <definedName name="OSRRefT22x_0" localSheetId="68">'322'!$T$21:$T$25,'322'!$T$27,'322'!$T$29,'322'!$T$31,'322'!$T$33:$T$34,'322'!$T$36,'322'!$T$38,'322'!$T$40</definedName>
    <definedName name="OSRRefT22x_0" localSheetId="69">'325'!$T$24:$T$31,'325'!$T$33:$T$35,'325'!$T$37,'325'!$T$39,'325'!$T$41,'325'!$T$43:$T$44,'325'!$T$46,'325'!$T$48,'325'!$T$50,'325'!$T$52,'325'!$T$54:$T$55,'325'!$T$57:$T$60,'325'!$T$62:$T$67,'325'!$T$69,'325'!$T$71,'325'!$T$73</definedName>
    <definedName name="OSRRefT22x_0" localSheetId="58">'326'!$T$52:$T$59,'326'!$T$61:$T$66,'326'!$T$68,'326'!$T$70,'326'!$T$72,'326'!$T$74,'326'!$T$76,'326'!$T$78,'326'!$T$80,'326'!$T$82,'326'!$T$84,'326'!$T$86:$T$88,'326'!$T$90:$T$92,'326'!$T$94:$T$95,'326'!$T$97:$T$100,'326'!$T$102,'326'!$T$104,'326'!$T$106</definedName>
    <definedName name="OSRRefT22x_0" localSheetId="70">'327'!$T$24,'327'!$T$26</definedName>
    <definedName name="OSRRefT22x_0" localSheetId="56">'331'!$T$88:$T$95,'331'!$T$97:$T$102,'331'!$T$104,'331'!$T$106,'331'!$T$108,'331'!$T$110:$T$111,'331'!$T$113,'331'!$T$115,'331'!$T$117:$T$118,'331'!$T$120,'331'!$T$122,'331'!$T$124:$T$125,'331'!$T$127,'331'!$T$129,'331'!$T$131:$T$133,'331'!$T$135:$T$136,'331'!$T$138:$T$140,'331'!$T$142:$T$143,'331'!$T$145:$T$150,'331'!$T$152,'331'!$T$154,'331'!$T$156,'331'!$T$158</definedName>
    <definedName name="OSRRefT22x_0" localSheetId="59">'332'!$T$36:$T$43,'332'!$T$45:$T$47,'332'!$T$49,'332'!$T$51,'332'!$T$53,'332'!$T$55,'332'!$T$57:$T$58,'332'!$T$60,'332'!$T$62:$T$64,'332'!$T$66,'332'!$T$68,'332'!$T$70:$T$74,'332'!$T$76,'332'!$T$78</definedName>
    <definedName name="OSRRefT22x_0" localSheetId="54">'333'!$T$90:$T$97,'333'!$T$99:$T$104,'333'!$T$106,'333'!$T$108,'333'!$T$110,'333'!$T$112:$T$113,'333'!$T$115,'333'!$T$117,'333'!$T$119:$T$120,'333'!$T$122,'333'!$T$124,'333'!$T$126:$T$127,'333'!$T$129,'333'!$T$131,'333'!$T$133:$T$135,'333'!$T$137:$T$138,'333'!$T$140:$T$143,'333'!$T$145:$T$146,'333'!$T$148:$T$153,'333'!$T$155,'333'!$T$157,'333'!$T$159,'333'!$T$161</definedName>
    <definedName name="OSRRefT22x_0" localSheetId="74">'405'!$T$24:$T$31,'405'!$T$33:$T$36,'405'!$T$38,'405'!$T$40,'405'!$T$42,'405'!$T$44:$T$45,'405'!$T$47,'405'!$T$49,'405'!$T$51,'405'!$T$53,'405'!$T$55:$T$56,'405'!$T$58:$T$61,'405'!$T$63,'405'!$T$65:$T$73,'405'!$T$75,'405'!$T$77,'405'!$T$79</definedName>
    <definedName name="OSRRefT22x_0" localSheetId="75">'406'!$T$20,'406'!$T$22,'406'!$T$24,'406'!$T$26,'406'!$T$28</definedName>
    <definedName name="OSRRefT22x_0" localSheetId="76">'411'!$T$20:$T$27,'411'!$T$29:$T$33,'411'!$T$35,'411'!$T$37:$T$38,'411'!$T$40,'411'!$T$42,'411'!$T$44,'411'!$T$46,'411'!$T$48,'411'!$T$50:$T$53,'411'!$T$55:$T$57,'411'!$T$59,'411'!$T$61:$T$62,'411'!$T$64,'411'!$T$66:$T$67,'411'!$T$69</definedName>
    <definedName name="OSRRefT22x_0" localSheetId="77">'412'!$T$20,'412'!$T$22,'412'!$T$24:$T$25,'412'!$T$27,'412'!$T$29</definedName>
    <definedName name="OSRRefT22x_0" localSheetId="78">'413'!$T$20:$T$24,'413'!$T$26,'413'!$T$28,'413'!$T$30,'413'!$T$32,'413'!$T$34</definedName>
    <definedName name="OSRRefT22x_0" localSheetId="79">'414'!$T$22,'414'!$T$24,'414'!$T$26,'414'!$T$28,'414'!$T$30,'414'!$T$32:$T$33</definedName>
    <definedName name="OSRRefT22x_0" localSheetId="80">'415'!$T$24:$T$32,'415'!$T$34:$T$38,'415'!$T$40,'415'!$T$42,'415'!$T$44,'415'!$T$46:$T$47,'415'!$T$49,'415'!$T$51,'415'!$T$53,'415'!$T$55,'415'!$T$57,'415'!$T$59:$T$60,'415'!$T$62:$T$65,'415'!$T$67,'415'!$T$69:$T$74,'415'!$T$76,'415'!$T$78,'415'!$T$80</definedName>
    <definedName name="OSRRefT22x_0" localSheetId="81">'418'!$T$21:$T$28,'418'!$T$30:$T$33,'418'!$T$35,'418'!$T$37,'418'!$T$39:$T$40,'418'!$T$42,'418'!$T$44,'418'!$T$46,'418'!$T$48:$T$49,'418'!$T$51,'418'!$T$53,'418'!$T$55:$T$60,'418'!$T$62,'418'!$T$64</definedName>
    <definedName name="OSRRefT22x_0" localSheetId="82">'420'!$T$21,'420'!$T$23</definedName>
    <definedName name="OSRRefT22x_0" localSheetId="83">'423'!$T$20:$T$21,'423'!$T$23,'423'!$T$25,'423'!$T$27</definedName>
    <definedName name="OSRRefT22x_0" localSheetId="84">'424'!$T$20,'424'!$T$22,'424'!$T$24,'424'!$T$26</definedName>
    <definedName name="OSRRefT22x_0" localSheetId="85">'425'!$T$22:$T$26,'425'!$T$28,'425'!$T$30,'425'!$T$32,'425'!$T$34,'425'!$T$36:$T$37,'425'!$T$39,'425'!$T$41,'425'!$T$43</definedName>
    <definedName name="OSRRefT22x_0" localSheetId="88">'430'!$T$20:$T$27,'430'!$T$29,'430'!$T$31,'430'!$T$33,'430'!$T$35,'430'!$T$37:$T$38,'430'!$T$40,'430'!$T$42,'430'!$T$44</definedName>
    <definedName name="OSRRefT22x_0" localSheetId="89">'433'!$T$25:$T$33,'433'!$T$35:$T$40,'433'!$T$42,'433'!$T$44,'433'!$T$46,'433'!$T$48,'433'!$T$50,'433'!$T$52,'433'!$T$54,'433'!$T$56,'433'!$T$58,'433'!$T$60:$T$61,'433'!$T$63:$T$65,'433'!$T$67:$T$74,'433'!$T$76</definedName>
    <definedName name="OSRRefT22x_0" localSheetId="90">'435'!$T$22,'435'!$T$24,'435'!$T$26</definedName>
    <definedName name="OSRRefT22x_0" localSheetId="91">'444'!$T$25:$T$33,'444'!$T$35:$T$40,'444'!$T$42,'444'!$T$44,'444'!$T$46,'444'!$T$48,'444'!$T$50,'444'!$T$52,'444'!$T$54,'444'!$T$56,'444'!$T$58,'444'!$T$60:$T$61,'444'!$T$63:$T$66,'444'!$T$68,'444'!$T$70:$T$77,'444'!$T$79,'444'!$T$81</definedName>
    <definedName name="OSRRefT22x_0" localSheetId="92">'450'!$T$25:$T$33,'450'!$T$35:$T$39,'450'!$T$41,'450'!$T$43,'450'!$T$45,'450'!$T$47,'450'!$T$49,'450'!$T$51,'450'!$T$53,'450'!$T$55,'450'!$T$57,'450'!$T$59,'450'!$T$61:$T$62,'450'!$T$64:$T$66,'450'!$T$68:$T$73,'450'!$T$75,'450'!$T$77</definedName>
    <definedName name="OSRRefT22x_0" localSheetId="73">'491'!$T$27:$T$35,'491'!$T$37:$T$42,'491'!$T$44,'491'!$T$46,'491'!$T$48,'491'!$T$50:$T$51,'491'!$T$53,'491'!$T$55,'491'!$T$57,'491'!$T$59,'491'!$T$61,'491'!$T$63,'491'!$T$65,'491'!$T$67:$T$70,'491'!$T$72,'491'!$T$74:$T$77,'491'!$T$79,'491'!$T$81:$T$89,'491'!$T$91,'491'!$T$93,'491'!$T$95:$T$96,'491'!$T$98</definedName>
    <definedName name="OSRRefT22x_0" localSheetId="87">'492'!$T$27:$T$35,'492'!$T$37:$T$43,'492'!$T$45,'492'!$T$47,'492'!$T$49,'492'!$T$51,'492'!$T$53,'492'!$T$55,'492'!$T$57,'492'!$T$59,'492'!$T$61,'492'!$T$63,'492'!$T$65:$T$67,'492'!$T$69:$T$72,'492'!$T$74,'492'!$T$76:$T$83,'492'!$T$85,'492'!$T$87,'492'!$T$89:$T$90</definedName>
    <definedName name="OSRRefT22x_0" localSheetId="94">'501'!$T$21:$T$29,'501'!$T$31:$T$36,'501'!$T$38,'501'!$T$40,'501'!$T$42:$T$43,'501'!$T$45,'501'!$T$47,'501'!$T$49:$T$52,'501'!$T$54:$T$55,'501'!$T$57,'501'!$T$59</definedName>
    <definedName name="OSRRefT22x_0" localSheetId="39">'Div 2'!$T$20:$T$30,'Div 2'!$T$32:$T$37,'Div 2'!$T$39,'Div 2'!$T$41,'Div 2'!$T$43,'Div 2'!$T$45,'Div 2'!$T$47,'Div 2'!$T$49,'Div 2'!$T$51,'Div 2'!$T$53:$T$54,'Div 2'!$T$56,'Div 2'!$T$58,'Div 2'!$T$60:$T$62,'Div 2'!$T$64:$T$67,'Div 2'!$T$69,'Div 2'!$T$71:$T$72,'Div 2'!$T$74:$T$78,'Div 2'!$T$80:$T$81,'Div 2'!$T$83,'Div 2'!$T$85:$T$86</definedName>
    <definedName name="OSRRefT22x_0" localSheetId="47">'Div 3'!$T$136:$T$145,'Div 3'!$T$147:$T$153,'Div 3'!$T$155,'Div 3'!$T$157:$T$158,'Div 3'!$T$160,'Div 3'!$T$162:$T$163,'Div 3'!$T$165:$T$166,'Div 3'!$T$168,'Div 3'!$T$170,'Div 3'!$T$172,'Div 3'!$T$174:$T$175,'Div 3'!$T$177,'Div 3'!$T$179,'Div 3'!$T$181,'Div 3'!$T$183:$T$184,'Div 3'!$T$186,'Div 3'!$T$188,'Div 3'!$T$190:$T$193,'Div 3'!$T$195:$T$197,'Div 3'!$T$199:$T$203,'Div 3'!$T$205:$T$206,'Div 3'!$T$208:$T$214,'Div 3'!$T$216:$T$217,'Div 3'!$T$219,'Div 3'!$T$221:$T$223,'Div 3'!$T$225</definedName>
    <definedName name="OSRRefT22x_0" localSheetId="71">'Div 4'!$T$30:$T$38,'Div 4'!$T$40:$T$46,'Div 4'!$T$48,'Div 4'!$T$50,'Div 4'!$T$52,'Div 4'!$T$54:$T$55,'Div 4'!$T$57,'Div 4'!$T$59,'Div 4'!$T$61,'Div 4'!$T$63,'Div 4'!$T$65,'Div 4'!$T$67,'Div 4'!$T$69,'Div 4'!$T$71,'Div 4'!$T$73,'Div 4'!$T$75:$T$78,'Div 4'!$T$80,'Div 4'!$T$82:$T$85,'Div 4'!$T$87:$T$88,'Div 4'!$T$90:$T$98,'Div 4'!$T$100,'Div 4'!$T$102,'Div 4'!$T$104:$T$105,'Div 4'!$T$107</definedName>
    <definedName name="OSRRefT22x_0" localSheetId="93">'Div 5'!$T$21:$T$29,'Div 5'!$T$31:$T$36,'Div 5'!$T$38,'Div 5'!$T$40,'Div 5'!$T$42:$T$43,'Div 5'!$T$45,'Div 5'!$T$47,'Div 5'!$T$49:$T$52,'Div 5'!$T$54:$T$55,'Div 5'!$T$57,'Div 5'!$T$59</definedName>
    <definedName name="OSRRefT22x_0" localSheetId="61">'Div 6'!$T$55:$T$63,'Div 6'!$T$65:$T$69,'Div 6'!$T$71,'Div 6'!$T$73,'Div 6'!$T$75,'Div 6'!$T$77:$T$78,'Div 6'!$T$80,'Div 6'!$T$82,'Div 6'!$T$84,'Div 6'!$T$86:$T$89,'Div 6'!$T$91,'Div 6'!$T$93</definedName>
    <definedName name="OSRRefT22x_0" localSheetId="2">Summary!$T$163:$T$172,Summary!$T$174:$T$180,Summary!$T$182,Summary!$T$184:$T$185,Summary!$T$187,Summary!$T$189:$T$190,Summary!$T$192:$T$193,Summary!$T$195,Summary!$T$197,Summary!$T$199,Summary!$T$201:$T$202,Summary!$T$204,Summary!$T$206,Summary!$T$208,Summary!$T$210:$T$211,Summary!$T$213,Summary!$T$215,Summary!$T$217,Summary!$T$219:$T$222,Summary!$T$224:$T$226,Summary!$T$228:$T$232,Summary!$T$234:$T$235,Summary!$T$237:$T$245,Summary!$T$247:$T$248,Summary!$T$250,Summary!$T$252:$T$254,Summary!$T$256</definedName>
    <definedName name="OSRRefT25x_0" localSheetId="48">'300'!$T$218:$T$221</definedName>
    <definedName name="OSRRefT25x_0" localSheetId="49">'300 &amp; 317'!$T$241:$T$246</definedName>
    <definedName name="OSRRefT25x_0" localSheetId="50">'301'!$T$97</definedName>
    <definedName name="OSRRefT25x_0" localSheetId="51">'308'!$T$113:$T$115</definedName>
    <definedName name="OSRRefT25x_0" localSheetId="72">'310 &amp; 491'!$T$112:$T$114</definedName>
    <definedName name="OSRRefT25x_0" localSheetId="52">'311'!$T$113:$T$115</definedName>
    <definedName name="OSRRefT25x_0" localSheetId="57">'315'!$T$144:$T$145</definedName>
    <definedName name="OSRRefT25x_0" localSheetId="60">'316'!$T$79</definedName>
    <definedName name="OSRRefT25x_0" localSheetId="62">'317'!$T$96:$T$98</definedName>
    <definedName name="OSRRefT25x_0" localSheetId="63">'320'!$T$30</definedName>
    <definedName name="OSRRefT25x_0" localSheetId="56">'331'!$T$161:$T$162</definedName>
    <definedName name="OSRRefT25x_0" localSheetId="59">'332'!$T$81:$T$82</definedName>
    <definedName name="OSRRefT25x_0" localSheetId="54">'333'!$T$164:$T$165</definedName>
    <definedName name="OSRRefT25x_0" localSheetId="74">'405'!$T$82</definedName>
    <definedName name="OSRRefT25x_0" localSheetId="76">'411'!$T$72:$T$73</definedName>
    <definedName name="OSRRefT25x_0" localSheetId="80">'415'!$T$83</definedName>
    <definedName name="OSRRefT25x_0" localSheetId="81">'418'!$T$67</definedName>
    <definedName name="OSRRefT25x_0" localSheetId="83">'423'!$T$30</definedName>
    <definedName name="OSRRefT25x_0" localSheetId="86">'455'!$T$21:$T$22</definedName>
    <definedName name="OSRRefT25x_0" localSheetId="73">'491'!$T$101:$T$103</definedName>
    <definedName name="OSRRefT25x_0" localSheetId="94">'501'!$T$62</definedName>
    <definedName name="OSRRefT25x_0" localSheetId="47">'Div 3'!$T$228:$T$231</definedName>
    <definedName name="OSRRefT25x_0" localSheetId="71">'Div 4'!$T$110:$T$112</definedName>
    <definedName name="OSRRefT25x_0" localSheetId="93">'Div 5'!$T$62</definedName>
    <definedName name="OSRRefT25x_0" localSheetId="61">'Div 6'!$T$96:$T$98</definedName>
    <definedName name="OSRRefT25x_0" localSheetId="2">Summary!$T$259:$T$266</definedName>
    <definedName name="_xlnm.Print_Area" localSheetId="38">'100'!$A$1:$Z$34</definedName>
    <definedName name="_xlnm.Print_Area" localSheetId="40">'200'!$A$1:$Z$40</definedName>
    <definedName name="_xlnm.Print_Area" localSheetId="41">'201'!$A$1:$Z$77</definedName>
    <definedName name="_xlnm.Print_Area" localSheetId="42">'202'!$A$1:$Z$72</definedName>
    <definedName name="_xlnm.Print_Area" localSheetId="43">'203'!$A$1:$Z$79</definedName>
    <definedName name="_xlnm.Print_Area" localSheetId="44">'204'!$A$1:$Z$66</definedName>
    <definedName name="_xlnm.Print_Area" localSheetId="45">'205'!$A$1:$Z$56</definedName>
    <definedName name="_xlnm.Print_Area" localSheetId="46">'206'!$A$1:$Z$56</definedName>
    <definedName name="_xlnm.Print_Area" localSheetId="48">'300'!$A$1:$Z$233</definedName>
    <definedName name="_xlnm.Print_Area" localSheetId="49">'300 &amp; 317'!$A$1:$Z$258</definedName>
    <definedName name="_xlnm.Print_Area" localSheetId="50">'301'!$A$1:$Z$109</definedName>
    <definedName name="_xlnm.Print_Area" localSheetId="55">'307'!$A$1:$Z$94</definedName>
    <definedName name="_xlnm.Print_Area" localSheetId="51">'308'!$A$1:$Z$127</definedName>
    <definedName name="_xlnm.Print_Area" localSheetId="65">'309'!$A$1:$Z$69</definedName>
    <definedName name="_xlnm.Print_Area" localSheetId="64">'310'!$A$1:$Z$105</definedName>
    <definedName name="_xlnm.Print_Area" localSheetId="72">'310 &amp; 491'!$A$1:$Z$126</definedName>
    <definedName name="_xlnm.Print_Area" localSheetId="52">'311'!$A$1:$Z$127</definedName>
    <definedName name="_xlnm.Print_Area" localSheetId="66">'313'!$A$1:$Z$60</definedName>
    <definedName name="_xlnm.Print_Area" localSheetId="57">'315'!$A$1:$Z$157</definedName>
    <definedName name="_xlnm.Print_Area" localSheetId="60">'316'!$A$1:$Z$91</definedName>
    <definedName name="_xlnm.Print_Area" localSheetId="62">'317'!$A$1:$Z$110</definedName>
    <definedName name="_xlnm.Print_Area" localSheetId="63">'320'!$A$1:$Z$42</definedName>
    <definedName name="_xlnm.Print_Area" localSheetId="67">'321'!$A$1:$Z$87</definedName>
    <definedName name="_xlnm.Print_Area" localSheetId="68">'322'!$A$1:$Z$54</definedName>
    <definedName name="_xlnm.Print_Area" localSheetId="53">'324'!$A$1:$Z$39</definedName>
    <definedName name="_xlnm.Print_Area" localSheetId="69">'325'!$A$1:$Z$87</definedName>
    <definedName name="_xlnm.Print_Area" localSheetId="58">'326'!$A$1:$Z$120</definedName>
    <definedName name="_xlnm.Print_Area" localSheetId="70">'327'!$A$1:$Z$40</definedName>
    <definedName name="_xlnm.Print_Area" localSheetId="56">'331'!$A$1:$Z$174</definedName>
    <definedName name="_xlnm.Print_Area" localSheetId="59">'332'!$A$1:$Z$94</definedName>
    <definedName name="_xlnm.Print_Area" localSheetId="54">'333'!$A$1:$Z$177</definedName>
    <definedName name="_xlnm.Print_Area" localSheetId="74">'405'!$A$1:$Z$94</definedName>
    <definedName name="_xlnm.Print_Area" localSheetId="75">'406'!$A$1:$Z$42</definedName>
    <definedName name="_xlnm.Print_Area" localSheetId="76">'411'!$A$1:$Z$85</definedName>
    <definedName name="_xlnm.Print_Area" localSheetId="77">'412'!$A$1:$Z$43</definedName>
    <definedName name="_xlnm.Print_Area" localSheetId="78">'413'!$A$1:$Z$48</definedName>
    <definedName name="_xlnm.Print_Area" localSheetId="79">'414'!$A$1:$Z$47</definedName>
    <definedName name="_xlnm.Print_Area" localSheetId="80">'415'!$A$1:$Z$95</definedName>
    <definedName name="_xlnm.Print_Area" localSheetId="81">'418'!$A$1:$Z$79</definedName>
    <definedName name="_xlnm.Print_Area" localSheetId="82">'420'!$A$1:$Z$37</definedName>
    <definedName name="_xlnm.Print_Area" localSheetId="83">'423'!$A$1:$Z$42</definedName>
    <definedName name="_xlnm.Print_Area" localSheetId="84">'424'!$A$1:$Z$40</definedName>
    <definedName name="_xlnm.Print_Area" localSheetId="85">'425'!$A$1:$Z$57</definedName>
    <definedName name="_xlnm.Print_Area" localSheetId="88">'430'!$A$1:$Z$58</definedName>
    <definedName name="_xlnm.Print_Area" localSheetId="89">'433'!$A$1:$Z$90</definedName>
    <definedName name="_xlnm.Print_Area" localSheetId="90">'435'!$A$1:$Z$40</definedName>
    <definedName name="_xlnm.Print_Area" localSheetId="91">'444'!$A$1:$Z$95</definedName>
    <definedName name="_xlnm.Print_Area" localSheetId="92">'450'!$A$1:$Z$91</definedName>
    <definedName name="_xlnm.Print_Area" localSheetId="86">'455'!$A$1:$Z$34</definedName>
    <definedName name="_xlnm.Print_Area" localSheetId="73">'491'!$A$1:$Z$115</definedName>
    <definedName name="_xlnm.Print_Area" localSheetId="87">'492'!$A$1:$Z$104</definedName>
    <definedName name="_xlnm.Print_Area" localSheetId="94">'501'!$A$1:$Z$74</definedName>
    <definedName name="_xlnm.Print_Area" localSheetId="95">Dept!$A$1:$Z$39</definedName>
    <definedName name="_xlnm.Print_Area" localSheetId="5">'Div 1'!$A$1:$Z$34</definedName>
    <definedName name="_xlnm.Print_Area" localSheetId="39">'Div 2'!$A$1:$Z$100</definedName>
    <definedName name="_xlnm.Print_Area" localSheetId="47">'Div 3'!$A$1:$Z$243</definedName>
    <definedName name="_xlnm.Print_Area" localSheetId="71">'Div 4'!$A$1:$Z$124</definedName>
    <definedName name="_xlnm.Print_Area" localSheetId="93">'Div 5'!$A$1:$Z$74</definedName>
    <definedName name="_xlnm.Print_Area" localSheetId="61">'Div 6'!$A$1:$Z$110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6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7">'OSR_Summary (...56e5d78f_5JEYZH'!$A$1:$Z$39</definedName>
    <definedName name="_xlnm.Print_Area" localSheetId="3">OSR_Summary_18VAVWG!$A$1:$Z$39</definedName>
    <definedName name="_xlnm.Print_Area" localSheetId="2">Summary!$A$1:$Z$280</definedName>
    <definedName name="_xlnm.Print_Titles" localSheetId="38">'100'!$1:$10</definedName>
    <definedName name="_xlnm.Print_Titles" localSheetId="40">'200'!$1:$10</definedName>
    <definedName name="_xlnm.Print_Titles" localSheetId="41">'201'!$1:$10</definedName>
    <definedName name="_xlnm.Print_Titles" localSheetId="42">'202'!$1:$10</definedName>
    <definedName name="_xlnm.Print_Titles" localSheetId="43">'203'!$1:$10</definedName>
    <definedName name="_xlnm.Print_Titles" localSheetId="44">'204'!$1:$10</definedName>
    <definedName name="_xlnm.Print_Titles" localSheetId="45">'205'!$1:$10</definedName>
    <definedName name="_xlnm.Print_Titles" localSheetId="46">'206'!$1:$10</definedName>
    <definedName name="_xlnm.Print_Titles" localSheetId="48">'300'!$1:$10</definedName>
    <definedName name="_xlnm.Print_Titles" localSheetId="49">'300 &amp; 317'!$1:$10</definedName>
    <definedName name="_xlnm.Print_Titles" localSheetId="50">'301'!$1:$10</definedName>
    <definedName name="_xlnm.Print_Titles" localSheetId="55">'307'!$1:$10</definedName>
    <definedName name="_xlnm.Print_Titles" localSheetId="51">'308'!$1:$10</definedName>
    <definedName name="_xlnm.Print_Titles" localSheetId="65">'309'!$1:$10</definedName>
    <definedName name="_xlnm.Print_Titles" localSheetId="64">'310'!$1:$10</definedName>
    <definedName name="_xlnm.Print_Titles" localSheetId="72">'310 &amp; 491'!$1:$10</definedName>
    <definedName name="_xlnm.Print_Titles" localSheetId="52">'311'!$1:$10</definedName>
    <definedName name="_xlnm.Print_Titles" localSheetId="66">'313'!$1:$10</definedName>
    <definedName name="_xlnm.Print_Titles" localSheetId="57">'315'!$1:$10</definedName>
    <definedName name="_xlnm.Print_Titles" localSheetId="60">'316'!$1:$10</definedName>
    <definedName name="_xlnm.Print_Titles" localSheetId="62">'317'!$1:$10</definedName>
    <definedName name="_xlnm.Print_Titles" localSheetId="63">'320'!$1:$10</definedName>
    <definedName name="_xlnm.Print_Titles" localSheetId="67">'321'!$1:$10</definedName>
    <definedName name="_xlnm.Print_Titles" localSheetId="68">'322'!$1:$10</definedName>
    <definedName name="_xlnm.Print_Titles" localSheetId="53">'324'!$1:$10</definedName>
    <definedName name="_xlnm.Print_Titles" localSheetId="69">'325'!$1:$10</definedName>
    <definedName name="_xlnm.Print_Titles" localSheetId="58">'326'!$1:$10</definedName>
    <definedName name="_xlnm.Print_Titles" localSheetId="70">'327'!$1:$10</definedName>
    <definedName name="_xlnm.Print_Titles" localSheetId="56">'331'!$1:$10</definedName>
    <definedName name="_xlnm.Print_Titles" localSheetId="59">'332'!$1:$10</definedName>
    <definedName name="_xlnm.Print_Titles" localSheetId="54">'333'!$1:$10</definedName>
    <definedName name="_xlnm.Print_Titles" localSheetId="74">'405'!$1:$10</definedName>
    <definedName name="_xlnm.Print_Titles" localSheetId="75">'406'!$1:$10</definedName>
    <definedName name="_xlnm.Print_Titles" localSheetId="76">'411'!$1:$10</definedName>
    <definedName name="_xlnm.Print_Titles" localSheetId="77">'412'!$1:$10</definedName>
    <definedName name="_xlnm.Print_Titles" localSheetId="78">'413'!$1:$10</definedName>
    <definedName name="_xlnm.Print_Titles" localSheetId="79">'414'!$1:$10</definedName>
    <definedName name="_xlnm.Print_Titles" localSheetId="80">'415'!$1:$10</definedName>
    <definedName name="_xlnm.Print_Titles" localSheetId="81">'418'!$1:$10</definedName>
    <definedName name="_xlnm.Print_Titles" localSheetId="82">'420'!$1:$10</definedName>
    <definedName name="_xlnm.Print_Titles" localSheetId="83">'423'!$1:$10</definedName>
    <definedName name="_xlnm.Print_Titles" localSheetId="84">'424'!$1:$10</definedName>
    <definedName name="_xlnm.Print_Titles" localSheetId="85">'425'!$1:$10</definedName>
    <definedName name="_xlnm.Print_Titles" localSheetId="88">'430'!$1:$10</definedName>
    <definedName name="_xlnm.Print_Titles" localSheetId="89">'433'!$1:$10</definedName>
    <definedName name="_xlnm.Print_Titles" localSheetId="90">'435'!$1:$10</definedName>
    <definedName name="_xlnm.Print_Titles" localSheetId="91">'444'!$1:$10</definedName>
    <definedName name="_xlnm.Print_Titles" localSheetId="92">'450'!$1:$10</definedName>
    <definedName name="_xlnm.Print_Titles" localSheetId="86">'455'!$1:$10</definedName>
    <definedName name="_xlnm.Print_Titles" localSheetId="73">'491'!$1:$10</definedName>
    <definedName name="_xlnm.Print_Titles" localSheetId="87">'492'!$1:$10</definedName>
    <definedName name="_xlnm.Print_Titles" localSheetId="94">'501'!$1:$10</definedName>
    <definedName name="_xlnm.Print_Titles" localSheetId="95">Dept!$A:$C,Dept!$1:$10</definedName>
    <definedName name="_xlnm.Print_Titles" localSheetId="5">'Div 1'!$1:$10</definedName>
    <definedName name="_xlnm.Print_Titles" localSheetId="39">'Div 2'!$1:$10</definedName>
    <definedName name="_xlnm.Print_Titles" localSheetId="47">'Div 3'!$1:$10</definedName>
    <definedName name="_xlnm.Print_Titles" localSheetId="71">'Div 4'!$1:$10</definedName>
    <definedName name="_xlnm.Print_Titles" localSheetId="93">'Div 5'!$1:$10</definedName>
    <definedName name="_xlnm.Print_Titles" localSheetId="61">'Div 6'!$1:$10</definedName>
    <definedName name="_xlnm.Print_Titles" localSheetId="14">'OSR_300 &amp; 317_1C00ID4'!$1:$10</definedName>
    <definedName name="_xlnm.Print_Titles" localSheetId="11">'OSR_300 (2)_7...54cb56fc_UFX0O2'!$1:$10</definedName>
    <definedName name="_xlnm.Print_Titles" localSheetId="15">'OSR_300 (2)_c...79cd3046_1TJM0H'!$1:$10</definedName>
    <definedName name="_xlnm.Print_Titles" localSheetId="17">'OSR_300 (2)_e...5d0da5bf_6BPGAO'!$1:$10</definedName>
    <definedName name="_xlnm.Print_Titles" localSheetId="12">OSR_300_IYZXI6!$A:$C,OSR_300_IYZXI6!$1:$10</definedName>
    <definedName name="_xlnm.Print_Titles" localSheetId="22">'OSR_308 (2)_...47685838_1YQW4QY'!$1:$10</definedName>
    <definedName name="_xlnm.Print_Titles" localSheetId="19">OSR_308_UAWDAG!$A:$C,OSR_308_UAWDAG!$1:$10</definedName>
    <definedName name="_xlnm.Print_Titles" localSheetId="28">'OSR_310 &amp; 491_1NGRCS9'!$1:$10</definedName>
    <definedName name="_xlnm.Print_Titles" localSheetId="18">'OSR_310 (2)_...6e684f08_1FLCNJG'!$1:$10</definedName>
    <definedName name="_xlnm.Print_Titles" localSheetId="27">'OSR_310 (2)_...8cac1423_1JTU33X'!$1:$10</definedName>
    <definedName name="_xlnm.Print_Titles" localSheetId="16">OSR_310_1CMTOSB!$A:$C,OSR_310_1CMTOSB!$1:$10</definedName>
    <definedName name="_xlnm.Print_Titles" localSheetId="20">'OSR_330 (2)_...8a14c83e_1NSH7XI'!$1:$10</definedName>
    <definedName name="_xlnm.Print_Titles" localSheetId="24">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(2)_0...c51cc666_QIOT67'!$1:$10</definedName>
    <definedName name="_xlnm.Print_Titles" localSheetId="30">OSR_491_9Z9JH5!$A:$C,OSR_491_9Z9JH5!$1:$10</definedName>
    <definedName name="_xlnm.Print_Titles" localSheetId="35">'OSR_492 (2)_...cd97c6a6_13HYXEV'!$1:$10</definedName>
    <definedName name="_xlnm.Print_Titles" localSheetId="32">OSR_492_943FP1!$A:$C,OSR_492_943FP1!$1:$10</definedName>
    <definedName name="_xlnm.Print_Titles" localSheetId="4">'OSR_Current ...69b7dd8c_1IEQKFK'!$1:$10</definedName>
    <definedName name="_xlnm.Print_Titles" localSheetId="96">OSR_Dept_Y0WUKY!$A:$C,OSR_Dept_Y0WUKY!$1:$10</definedName>
    <definedName name="_xlnm.Print_Titles" localSheetId="9">'OSR_Div 1 (2)...789fe994_2NV3KA'!$1:$10</definedName>
    <definedName name="_xlnm.Print_Titles" localSheetId="6">'OSR_Div 1_7H47HR'!$1:$10</definedName>
    <definedName name="_xlnm.Print_Titles" localSheetId="8">'OSR_Div 2_1PQ800A'!$1:$10</definedName>
    <definedName name="_xlnm.Print_Titles" localSheetId="7">'OSR_Div 3 (2)...4cb81c06_PBSMLS'!$1:$10</definedName>
    <definedName name="_xlnm.Print_Titles" localSheetId="13">'OSR_Div 3 (2)...b7db256a_40ITCB'!$1:$10</definedName>
    <definedName name="_xlnm.Print_Titles" localSheetId="10">'OSR_Div 3_18723PH'!$1:$10</definedName>
    <definedName name="_xlnm.Print_Titles" localSheetId="33">'OSR_Div 4 (2)...1a9a4454_CQFRNE'!$1:$10</definedName>
    <definedName name="_xlnm.Print_Titles" localSheetId="31">'OSR_Div 4 (2...2533da42_174R6QX'!$1:$10</definedName>
    <definedName name="_xlnm.Print_Titles" localSheetId="26">'OSR_Div 4_1740TMT'!$1:$10</definedName>
    <definedName name="_xlnm.Print_Titles" localSheetId="37">'OSR_Div 5 (2...09141158_1BG9FGV'!$1:$10</definedName>
    <definedName name="_xlnm.Print_Titles" localSheetId="34">'OSR_Div 5_16NAZO2'!$1:$10</definedName>
    <definedName name="_xlnm.Print_Titles" localSheetId="36">'OSR_Div 6_P37YY7'!$1:$10</definedName>
    <definedName name="_xlnm.Print_Titles" localSheetId="97">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X33" i="100" s="1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Z24" i="100" s="1"/>
  <c r="P24" i="100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N20" i="100" s="1"/>
  <c r="D20" i="100"/>
  <c r="T16" i="100"/>
  <c r="P16" i="100"/>
  <c r="H16" i="100"/>
  <c r="N16" i="100" s="1"/>
  <c r="D16" i="100"/>
  <c r="B16" i="100"/>
  <c r="T15" i="100"/>
  <c r="Z15" i="100" s="1"/>
  <c r="P15" i="100"/>
  <c r="H15" i="100"/>
  <c r="N15" i="100" s="1"/>
  <c r="D15" i="100"/>
  <c r="T13" i="100"/>
  <c r="Z13" i="100" s="1"/>
  <c r="P13" i="100"/>
  <c r="H13" i="100"/>
  <c r="N13" i="100" s="1"/>
  <c r="D13" i="100"/>
  <c r="B13" i="100"/>
  <c r="T12" i="100"/>
  <c r="V18" i="100" s="1"/>
  <c r="P12" i="100"/>
  <c r="R34" i="100" s="1"/>
  <c r="H12" i="100"/>
  <c r="D12" i="100"/>
  <c r="F34" i="100" s="1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P33" i="99"/>
  <c r="H33" i="99"/>
  <c r="N33" i="99" s="1"/>
  <c r="D33" i="99"/>
  <c r="T29" i="99"/>
  <c r="P29" i="99"/>
  <c r="H29" i="99"/>
  <c r="N29" i="99" s="1"/>
  <c r="D29" i="99"/>
  <c r="T25" i="99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P12" i="99"/>
  <c r="H12" i="99"/>
  <c r="J24" i="99" s="1"/>
  <c r="D12" i="99"/>
  <c r="F16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X25" i="98" s="1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L21" i="98" s="1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36" i="98" s="1"/>
  <c r="P12" i="98"/>
  <c r="R15" i="98" s="1"/>
  <c r="H12" i="98"/>
  <c r="J24" i="98" s="1"/>
  <c r="D12" i="98"/>
  <c r="F36" i="98" s="1"/>
  <c r="D6" i="98"/>
  <c r="D5" i="98"/>
  <c r="D4" i="98"/>
  <c r="X66" i="97"/>
  <c r="Z66" i="97" s="1"/>
  <c r="N66" i="97"/>
  <c r="L66" i="97"/>
  <c r="T62" i="97"/>
  <c r="T61" i="97" s="1"/>
  <c r="P62" i="97"/>
  <c r="P61" i="97" s="1"/>
  <c r="H62" i="97"/>
  <c r="H61" i="97" s="1"/>
  <c r="D62" i="97"/>
  <c r="L62" i="97" s="1"/>
  <c r="N62" i="97" s="1"/>
  <c r="B62" i="97"/>
  <c r="D61" i="97"/>
  <c r="Z59" i="97"/>
  <c r="X59" i="97"/>
  <c r="N59" i="97"/>
  <c r="L59" i="97"/>
  <c r="B59" i="97"/>
  <c r="X58" i="97"/>
  <c r="T58" i="97"/>
  <c r="Z58" i="97" s="1"/>
  <c r="P58" i="97"/>
  <c r="N58" i="97"/>
  <c r="H58" i="97"/>
  <c r="D58" i="97"/>
  <c r="L58" i="97" s="1"/>
  <c r="B58" i="97"/>
  <c r="X57" i="97"/>
  <c r="Z57" i="97" s="1"/>
  <c r="N57" i="97"/>
  <c r="L57" i="97"/>
  <c r="B57" i="97"/>
  <c r="T56" i="97"/>
  <c r="P56" i="97"/>
  <c r="H56" i="97"/>
  <c r="D56" i="97"/>
  <c r="B56" i="97"/>
  <c r="Z55" i="97"/>
  <c r="X55" i="97"/>
  <c r="N55" i="97"/>
  <c r="L55" i="97"/>
  <c r="B55" i="97"/>
  <c r="Z54" i="97"/>
  <c r="X54" i="97"/>
  <c r="L54" i="97"/>
  <c r="N54" i="97" s="1"/>
  <c r="B54" i="97"/>
  <c r="Z53" i="97"/>
  <c r="X53" i="97"/>
  <c r="T53" i="97"/>
  <c r="P53" i="97"/>
  <c r="H53" i="97"/>
  <c r="L53" i="97" s="1"/>
  <c r="N53" i="97" s="1"/>
  <c r="D53" i="97"/>
  <c r="B53" i="97"/>
  <c r="X52" i="97"/>
  <c r="Z52" i="97" s="1"/>
  <c r="N52" i="97"/>
  <c r="L52" i="97"/>
  <c r="B52" i="97"/>
  <c r="X51" i="97"/>
  <c r="Z51" i="97" s="1"/>
  <c r="N51" i="97"/>
  <c r="L51" i="97"/>
  <c r="B51" i="97"/>
  <c r="Z50" i="97"/>
  <c r="X50" i="97"/>
  <c r="N50" i="97"/>
  <c r="L50" i="97"/>
  <c r="B50" i="97"/>
  <c r="Z49" i="97"/>
  <c r="X49" i="97"/>
  <c r="N49" i="97"/>
  <c r="L49" i="97"/>
  <c r="B49" i="97"/>
  <c r="X48" i="97"/>
  <c r="T48" i="97"/>
  <c r="Z48" i="97" s="1"/>
  <c r="P48" i="97"/>
  <c r="H48" i="97"/>
  <c r="D48" i="97"/>
  <c r="B48" i="97"/>
  <c r="Z47" i="97"/>
  <c r="X47" i="97"/>
  <c r="L47" i="97"/>
  <c r="N47" i="97" s="1"/>
  <c r="B47" i="97"/>
  <c r="T46" i="97"/>
  <c r="P46" i="97"/>
  <c r="X46" i="97" s="1"/>
  <c r="Z46" i="97" s="1"/>
  <c r="H46" i="97"/>
  <c r="D46" i="97"/>
  <c r="L46" i="97" s="1"/>
  <c r="B46" i="97"/>
  <c r="Z45" i="97"/>
  <c r="X45" i="97"/>
  <c r="N45" i="97"/>
  <c r="L45" i="97"/>
  <c r="B45" i="97"/>
  <c r="X44" i="97"/>
  <c r="T44" i="97"/>
  <c r="P44" i="97"/>
  <c r="H44" i="97"/>
  <c r="D44" i="97"/>
  <c r="B44" i="97"/>
  <c r="Z43" i="97"/>
  <c r="X43" i="97"/>
  <c r="N43" i="97"/>
  <c r="L43" i="97"/>
  <c r="B43" i="97"/>
  <c r="Z42" i="97"/>
  <c r="X42" i="97"/>
  <c r="N42" i="97"/>
  <c r="L42" i="97"/>
  <c r="B42" i="97"/>
  <c r="Z41" i="97"/>
  <c r="T41" i="97"/>
  <c r="P41" i="97"/>
  <c r="X41" i="97" s="1"/>
  <c r="N41" i="97"/>
  <c r="H41" i="97"/>
  <c r="D41" i="97"/>
  <c r="L41" i="97" s="1"/>
  <c r="B41" i="97"/>
  <c r="X40" i="97"/>
  <c r="Z40" i="97" s="1"/>
  <c r="L40" i="97"/>
  <c r="N40" i="97" s="1"/>
  <c r="B40" i="97"/>
  <c r="X39" i="97"/>
  <c r="Z39" i="97" s="1"/>
  <c r="T39" i="97"/>
  <c r="P39" i="97"/>
  <c r="H39" i="97"/>
  <c r="D39" i="97"/>
  <c r="B39" i="97"/>
  <c r="Z38" i="97"/>
  <c r="X38" i="97"/>
  <c r="N38" i="97"/>
  <c r="L38" i="97"/>
  <c r="B38" i="97"/>
  <c r="T37" i="97"/>
  <c r="Z37" i="97" s="1"/>
  <c r="P37" i="97"/>
  <c r="N37" i="97"/>
  <c r="L37" i="97"/>
  <c r="H37" i="97"/>
  <c r="D37" i="97"/>
  <c r="B37" i="97"/>
  <c r="X36" i="97"/>
  <c r="Z36" i="97" s="1"/>
  <c r="N36" i="97"/>
  <c r="L36" i="97"/>
  <c r="B36" i="97"/>
  <c r="X35" i="97"/>
  <c r="Z35" i="97" s="1"/>
  <c r="L35" i="97"/>
  <c r="N35" i="97" s="1"/>
  <c r="B35" i="97"/>
  <c r="X34" i="97"/>
  <c r="Z34" i="97" s="1"/>
  <c r="L34" i="97"/>
  <c r="N34" i="97" s="1"/>
  <c r="B34" i="97"/>
  <c r="Z33" i="97"/>
  <c r="X33" i="97"/>
  <c r="N33" i="97"/>
  <c r="L33" i="97"/>
  <c r="B33" i="97"/>
  <c r="Z32" i="97"/>
  <c r="X32" i="97"/>
  <c r="L32" i="97"/>
  <c r="N32" i="97" s="1"/>
  <c r="B32" i="97"/>
  <c r="X31" i="97"/>
  <c r="Z31" i="97" s="1"/>
  <c r="N31" i="97"/>
  <c r="L31" i="97"/>
  <c r="B31" i="97"/>
  <c r="T30" i="97"/>
  <c r="P30" i="97"/>
  <c r="X30" i="97" s="1"/>
  <c r="H30" i="97"/>
  <c r="D30" i="97"/>
  <c r="L30" i="97" s="1"/>
  <c r="N30" i="97" s="1"/>
  <c r="B30" i="97"/>
  <c r="X29" i="97"/>
  <c r="Z29" i="97" s="1"/>
  <c r="L29" i="97"/>
  <c r="N29" i="97" s="1"/>
  <c r="B29" i="97"/>
  <c r="Z28" i="97"/>
  <c r="X28" i="97"/>
  <c r="L28" i="97"/>
  <c r="N28" i="97" s="1"/>
  <c r="B28" i="97"/>
  <c r="Z27" i="97"/>
  <c r="X27" i="97"/>
  <c r="N27" i="97"/>
  <c r="L27" i="97"/>
  <c r="B27" i="97"/>
  <c r="X26" i="97"/>
  <c r="Z26" i="97" s="1"/>
  <c r="L26" i="97"/>
  <c r="N26" i="97" s="1"/>
  <c r="B26" i="97"/>
  <c r="X25" i="97"/>
  <c r="Z25" i="97" s="1"/>
  <c r="L25" i="97"/>
  <c r="N25" i="97" s="1"/>
  <c r="B25" i="97"/>
  <c r="X24" i="97"/>
  <c r="Z24" i="97" s="1"/>
  <c r="N24" i="97"/>
  <c r="L24" i="97"/>
  <c r="B24" i="97"/>
  <c r="Z23" i="97"/>
  <c r="X23" i="97"/>
  <c r="N23" i="97"/>
  <c r="L23" i="97"/>
  <c r="B23" i="97"/>
  <c r="X22" i="97"/>
  <c r="Z22" i="97" s="1"/>
  <c r="L22" i="97"/>
  <c r="N22" i="97" s="1"/>
  <c r="B22" i="97"/>
  <c r="X21" i="97"/>
  <c r="Z21" i="97" s="1"/>
  <c r="L21" i="97"/>
  <c r="N21" i="97" s="1"/>
  <c r="B21" i="97"/>
  <c r="T20" i="97"/>
  <c r="P20" i="97"/>
  <c r="X20" i="97" s="1"/>
  <c r="Z20" i="97" s="1"/>
  <c r="L20" i="97"/>
  <c r="H20" i="97"/>
  <c r="N20" i="97" s="1"/>
  <c r="D20" i="97"/>
  <c r="B20" i="97"/>
  <c r="T19" i="97" a="1"/>
  <c r="T19" i="97" s="1"/>
  <c r="P19" i="97" a="1"/>
  <c r="P19" i="97" s="1"/>
  <c r="X19" i="97" s="1"/>
  <c r="H19" i="97" a="1"/>
  <c r="H19" i="97" s="1"/>
  <c r="D19" i="97" a="1"/>
  <c r="D19" i="97" s="1"/>
  <c r="T15" i="97"/>
  <c r="Z15" i="97" s="1"/>
  <c r="P15" i="97"/>
  <c r="N15" i="97"/>
  <c r="L15" i="97"/>
  <c r="H15" i="97"/>
  <c r="D15" i="97"/>
  <c r="T13" i="97"/>
  <c r="T12" i="97" s="1"/>
  <c r="P13" i="97"/>
  <c r="H13" i="97"/>
  <c r="D13" i="97"/>
  <c r="L13" i="97" s="1"/>
  <c r="B13" i="97"/>
  <c r="D12" i="97"/>
  <c r="F34" i="97" s="1"/>
  <c r="D6" i="97"/>
  <c r="D4" i="97"/>
  <c r="J31" i="96"/>
  <c r="R28" i="96"/>
  <c r="Z26" i="96"/>
  <c r="X26" i="96"/>
  <c r="R26" i="96"/>
  <c r="N26" i="96"/>
  <c r="L26" i="96"/>
  <c r="R24" i="96"/>
  <c r="J24" i="96"/>
  <c r="T22" i="96"/>
  <c r="R22" i="96"/>
  <c r="P22" i="96"/>
  <c r="H22" i="96"/>
  <c r="N22" i="96" s="1"/>
  <c r="D22" i="96"/>
  <c r="L22" i="96" s="1"/>
  <c r="B22" i="96"/>
  <c r="T21" i="96"/>
  <c r="R21" i="96"/>
  <c r="P21" i="96"/>
  <c r="X21" i="96" s="1"/>
  <c r="N21" i="96"/>
  <c r="L21" i="96"/>
  <c r="H21" i="96"/>
  <c r="F21" i="96"/>
  <c r="D21" i="96"/>
  <c r="B21" i="96"/>
  <c r="P20" i="96"/>
  <c r="H20" i="96"/>
  <c r="N20" i="96" s="1"/>
  <c r="F20" i="96"/>
  <c r="T18" i="96"/>
  <c r="Z18" i="96" s="1"/>
  <c r="P18" i="96"/>
  <c r="X18" i="96" s="1"/>
  <c r="N18" i="96"/>
  <c r="H18" i="96"/>
  <c r="D18" i="96"/>
  <c r="H16" i="96"/>
  <c r="T14" i="96"/>
  <c r="P14" i="96"/>
  <c r="P16" i="96" s="1"/>
  <c r="P24" i="96" s="1"/>
  <c r="H14" i="96"/>
  <c r="N14" i="96" s="1"/>
  <c r="F14" i="96"/>
  <c r="D14" i="96"/>
  <c r="L14" i="96" s="1"/>
  <c r="T12" i="96"/>
  <c r="P12" i="96"/>
  <c r="R18" i="96" s="1"/>
  <c r="H12" i="96"/>
  <c r="D12" i="96"/>
  <c r="F16" i="96" s="1"/>
  <c r="D6" i="96"/>
  <c r="D4" i="96"/>
  <c r="Z83" i="95"/>
  <c r="X83" i="95"/>
  <c r="N83" i="95"/>
  <c r="L83" i="95"/>
  <c r="T79" i="95"/>
  <c r="Z79" i="95" s="1"/>
  <c r="P79" i="95"/>
  <c r="L79" i="95"/>
  <c r="H79" i="95"/>
  <c r="N79" i="95" s="1"/>
  <c r="D79" i="95"/>
  <c r="Z77" i="95"/>
  <c r="X77" i="95"/>
  <c r="N77" i="95"/>
  <c r="L77" i="95"/>
  <c r="B77" i="95"/>
  <c r="Z76" i="95"/>
  <c r="T76" i="95"/>
  <c r="P76" i="95"/>
  <c r="X76" i="95" s="1"/>
  <c r="N76" i="95"/>
  <c r="H76" i="95"/>
  <c r="D76" i="95"/>
  <c r="L76" i="95" s="1"/>
  <c r="B76" i="95"/>
  <c r="X75" i="95"/>
  <c r="Z75" i="95" s="1"/>
  <c r="N75" i="95"/>
  <c r="L75" i="95"/>
  <c r="B75" i="95"/>
  <c r="T74" i="95"/>
  <c r="P74" i="95"/>
  <c r="X74" i="95" s="1"/>
  <c r="Z74" i="95" s="1"/>
  <c r="H74" i="95"/>
  <c r="N74" i="95" s="1"/>
  <c r="D74" i="95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X70" i="95"/>
  <c r="Z70" i="95" s="1"/>
  <c r="L70" i="95"/>
  <c r="N70" i="95" s="1"/>
  <c r="B70" i="95"/>
  <c r="Z69" i="95"/>
  <c r="X69" i="95"/>
  <c r="N69" i="95"/>
  <c r="L69" i="95"/>
  <c r="B69" i="95"/>
  <c r="Z68" i="95"/>
  <c r="X68" i="95"/>
  <c r="V68" i="95"/>
  <c r="N68" i="95"/>
  <c r="L68" i="95"/>
  <c r="B68" i="95"/>
  <c r="X67" i="95"/>
  <c r="T67" i="95"/>
  <c r="P67" i="95"/>
  <c r="H67" i="95"/>
  <c r="D67" i="95"/>
  <c r="B67" i="95"/>
  <c r="X66" i="95"/>
  <c r="Z66" i="95" s="1"/>
  <c r="N66" i="95"/>
  <c r="L66" i="95"/>
  <c r="B66" i="95"/>
  <c r="Z65" i="95"/>
  <c r="X65" i="95"/>
  <c r="N65" i="95"/>
  <c r="L65" i="95"/>
  <c r="B65" i="95"/>
  <c r="Z64" i="95"/>
  <c r="X64" i="95"/>
  <c r="L64" i="95"/>
  <c r="N64" i="95" s="1"/>
  <c r="B64" i="95"/>
  <c r="X63" i="95"/>
  <c r="V63" i="95"/>
  <c r="T63" i="95"/>
  <c r="P63" i="95"/>
  <c r="H63" i="95"/>
  <c r="D63" i="95"/>
  <c r="B63" i="95"/>
  <c r="Z62" i="95"/>
  <c r="X62" i="95"/>
  <c r="N62" i="95"/>
  <c r="L62" i="95"/>
  <c r="B62" i="95"/>
  <c r="X61" i="95"/>
  <c r="Z61" i="95" s="1"/>
  <c r="N61" i="95"/>
  <c r="L61" i="95"/>
  <c r="B61" i="95"/>
  <c r="T60" i="95"/>
  <c r="P60" i="95"/>
  <c r="X60" i="95" s="1"/>
  <c r="H60" i="95"/>
  <c r="D60" i="95"/>
  <c r="L60" i="95" s="1"/>
  <c r="N60" i="95" s="1"/>
  <c r="B60" i="95"/>
  <c r="Z59" i="95"/>
  <c r="X59" i="95"/>
  <c r="N59" i="95"/>
  <c r="L59" i="95"/>
  <c r="B59" i="95"/>
  <c r="Z58" i="95"/>
  <c r="T58" i="95"/>
  <c r="P58" i="95"/>
  <c r="X58" i="95" s="1"/>
  <c r="H58" i="95"/>
  <c r="N58" i="95" s="1"/>
  <c r="D58" i="95"/>
  <c r="B58" i="95"/>
  <c r="Z57" i="95"/>
  <c r="X57" i="95"/>
  <c r="L57" i="95"/>
  <c r="N57" i="95" s="1"/>
  <c r="B57" i="95"/>
  <c r="T56" i="95"/>
  <c r="P56" i="95"/>
  <c r="L56" i="95"/>
  <c r="N56" i="95" s="1"/>
  <c r="H56" i="95"/>
  <c r="D56" i="95"/>
  <c r="B56" i="95"/>
  <c r="X55" i="95"/>
  <c r="Z55" i="95" s="1"/>
  <c r="L55" i="95"/>
  <c r="N55" i="95" s="1"/>
  <c r="B55" i="95"/>
  <c r="Z54" i="95"/>
  <c r="X54" i="95"/>
  <c r="T54" i="95"/>
  <c r="P54" i="95"/>
  <c r="H54" i="95"/>
  <c r="N54" i="95" s="1"/>
  <c r="D54" i="95"/>
  <c r="L54" i="95" s="1"/>
  <c r="B54" i="95"/>
  <c r="X53" i="95"/>
  <c r="Z53" i="95" s="1"/>
  <c r="N53" i="95"/>
  <c r="L53" i="95"/>
  <c r="B53" i="95"/>
  <c r="T52" i="95"/>
  <c r="P52" i="95"/>
  <c r="N52" i="95"/>
  <c r="H52" i="95"/>
  <c r="D52" i="95"/>
  <c r="L52" i="95" s="1"/>
  <c r="B52" i="95"/>
  <c r="Z51" i="95"/>
  <c r="X51" i="95"/>
  <c r="N51" i="95"/>
  <c r="L51" i="95"/>
  <c r="B51" i="95"/>
  <c r="Z50" i="95"/>
  <c r="V50" i="95"/>
  <c r="T50" i="95"/>
  <c r="P50" i="95"/>
  <c r="X50" i="95" s="1"/>
  <c r="H50" i="95"/>
  <c r="N50" i="95" s="1"/>
  <c r="D50" i="95"/>
  <c r="B50" i="95"/>
  <c r="Z49" i="95"/>
  <c r="X49" i="95"/>
  <c r="N49" i="95"/>
  <c r="L49" i="95"/>
  <c r="B49" i="95"/>
  <c r="T48" i="95"/>
  <c r="Z48" i="95" s="1"/>
  <c r="P48" i="95"/>
  <c r="N48" i="95"/>
  <c r="L48" i="95"/>
  <c r="H48" i="95"/>
  <c r="D48" i="95"/>
  <c r="B48" i="95"/>
  <c r="X47" i="95"/>
  <c r="Z47" i="95" s="1"/>
  <c r="L47" i="95"/>
  <c r="N47" i="95" s="1"/>
  <c r="B47" i="95"/>
  <c r="X46" i="95"/>
  <c r="Z46" i="95" s="1"/>
  <c r="T46" i="95"/>
  <c r="P46" i="95"/>
  <c r="H46" i="95"/>
  <c r="D46" i="95"/>
  <c r="L46" i="95" s="1"/>
  <c r="N46" i="95" s="1"/>
  <c r="B46" i="95"/>
  <c r="Z45" i="95"/>
  <c r="X45" i="95"/>
  <c r="N45" i="95"/>
  <c r="L45" i="95"/>
  <c r="B45" i="95"/>
  <c r="Z44" i="95"/>
  <c r="T44" i="95"/>
  <c r="P44" i="95"/>
  <c r="X44" i="95" s="1"/>
  <c r="N44" i="95"/>
  <c r="H44" i="95"/>
  <c r="D44" i="95"/>
  <c r="L44" i="95" s="1"/>
  <c r="B44" i="95"/>
  <c r="X43" i="95"/>
  <c r="Z43" i="95" s="1"/>
  <c r="N43" i="95"/>
  <c r="L43" i="95"/>
  <c r="B43" i="95"/>
  <c r="T42" i="95"/>
  <c r="P42" i="95"/>
  <c r="X42" i="95" s="1"/>
  <c r="Z42" i="95" s="1"/>
  <c r="H42" i="95"/>
  <c r="N42" i="95" s="1"/>
  <c r="D42" i="95"/>
  <c r="L42" i="95" s="1"/>
  <c r="B42" i="95"/>
  <c r="Z41" i="95"/>
  <c r="X41" i="95"/>
  <c r="N41" i="95"/>
  <c r="L41" i="95"/>
  <c r="B41" i="95"/>
  <c r="T40" i="95"/>
  <c r="Z40" i="95" s="1"/>
  <c r="P40" i="95"/>
  <c r="X40" i="95" s="1"/>
  <c r="N40" i="95"/>
  <c r="L40" i="95"/>
  <c r="H40" i="95"/>
  <c r="D40" i="95"/>
  <c r="B40" i="95"/>
  <c r="Z39" i="95"/>
  <c r="X39" i="95"/>
  <c r="V39" i="95"/>
  <c r="N39" i="95"/>
  <c r="L39" i="95"/>
  <c r="B39" i="95"/>
  <c r="X38" i="95"/>
  <c r="Z38" i="95" s="1"/>
  <c r="L38" i="95"/>
  <c r="N38" i="95" s="1"/>
  <c r="B38" i="95"/>
  <c r="Z37" i="95"/>
  <c r="X37" i="95"/>
  <c r="N37" i="95"/>
  <c r="L37" i="95"/>
  <c r="B37" i="95"/>
  <c r="X36" i="95"/>
  <c r="Z36" i="95" s="1"/>
  <c r="N36" i="95"/>
  <c r="L36" i="95"/>
  <c r="B36" i="95"/>
  <c r="X35" i="95"/>
  <c r="Z35" i="95" s="1"/>
  <c r="L35" i="95"/>
  <c r="N35" i="95" s="1"/>
  <c r="B35" i="95"/>
  <c r="T34" i="95"/>
  <c r="P34" i="95"/>
  <c r="X34" i="95" s="1"/>
  <c r="H34" i="95"/>
  <c r="N34" i="95" s="1"/>
  <c r="D34" i="95"/>
  <c r="L34" i="95" s="1"/>
  <c r="B34" i="95"/>
  <c r="Z33" i="95"/>
  <c r="X33" i="95"/>
  <c r="N33" i="95"/>
  <c r="L33" i="95"/>
  <c r="B33" i="95"/>
  <c r="X32" i="95"/>
  <c r="Z32" i="95" s="1"/>
  <c r="N32" i="95"/>
  <c r="L32" i="95"/>
  <c r="B32" i="95"/>
  <c r="Z31" i="95"/>
  <c r="X31" i="95"/>
  <c r="L31" i="95"/>
  <c r="N31" i="95" s="1"/>
  <c r="B31" i="95"/>
  <c r="X30" i="95"/>
  <c r="Z30" i="95" s="1"/>
  <c r="V30" i="95"/>
  <c r="L30" i="95"/>
  <c r="N30" i="95" s="1"/>
  <c r="B30" i="95"/>
  <c r="X29" i="95"/>
  <c r="Z29" i="95" s="1"/>
  <c r="N29" i="95"/>
  <c r="L29" i="95"/>
  <c r="B29" i="95"/>
  <c r="Z28" i="95"/>
  <c r="X28" i="95"/>
  <c r="L28" i="95"/>
  <c r="N28" i="95" s="1"/>
  <c r="B28" i="95"/>
  <c r="X27" i="95"/>
  <c r="Z27" i="95" s="1"/>
  <c r="V27" i="95"/>
  <c r="N27" i="95"/>
  <c r="L27" i="95"/>
  <c r="B27" i="95"/>
  <c r="X26" i="95"/>
  <c r="Z26" i="95" s="1"/>
  <c r="L26" i="95"/>
  <c r="N26" i="95" s="1"/>
  <c r="B26" i="95"/>
  <c r="Z25" i="95"/>
  <c r="X25" i="95"/>
  <c r="L25" i="95"/>
  <c r="N25" i="95" s="1"/>
  <c r="B25" i="95"/>
  <c r="T24" i="95"/>
  <c r="Z24" i="95" s="1"/>
  <c r="P24" i="95"/>
  <c r="X24" i="95" s="1"/>
  <c r="N24" i="95"/>
  <c r="L24" i="95"/>
  <c r="H24" i="95"/>
  <c r="D24" i="95"/>
  <c r="B24" i="95"/>
  <c r="V23" i="95"/>
  <c r="T23" i="95" a="1"/>
  <c r="T23" i="95" s="1"/>
  <c r="P23" i="95" a="1"/>
  <c r="P23" i="95" s="1"/>
  <c r="X23" i="95" s="1"/>
  <c r="H23" i="95" a="1"/>
  <c r="H23" i="95" s="1"/>
  <c r="D23" i="95" a="1"/>
  <c r="D23" i="95" s="1"/>
  <c r="L23" i="95" s="1"/>
  <c r="V21" i="95"/>
  <c r="Z19" i="95"/>
  <c r="X19" i="95"/>
  <c r="N19" i="95"/>
  <c r="L19" i="95"/>
  <c r="B19" i="95"/>
  <c r="Z18" i="95"/>
  <c r="X18" i="95"/>
  <c r="N18" i="95"/>
  <c r="L18" i="95"/>
  <c r="B18" i="95"/>
  <c r="T17" i="95"/>
  <c r="Z17" i="95" s="1"/>
  <c r="P17" i="95"/>
  <c r="H17" i="95"/>
  <c r="N17" i="95" s="1"/>
  <c r="D17" i="95"/>
  <c r="L17" i="95" s="1"/>
  <c r="Z15" i="95"/>
  <c r="X15" i="95"/>
  <c r="T15" i="95"/>
  <c r="P15" i="95"/>
  <c r="N15" i="95"/>
  <c r="H15" i="95"/>
  <c r="D15" i="95"/>
  <c r="L15" i="95" s="1"/>
  <c r="B15" i="95"/>
  <c r="Z14" i="95"/>
  <c r="T14" i="95"/>
  <c r="P14" i="95"/>
  <c r="X14" i="95" s="1"/>
  <c r="H14" i="95"/>
  <c r="N14" i="95" s="1"/>
  <c r="D14" i="95"/>
  <c r="L14" i="95" s="1"/>
  <c r="B14" i="95"/>
  <c r="T13" i="95"/>
  <c r="Z13" i="95" s="1"/>
  <c r="P13" i="95"/>
  <c r="H13" i="95"/>
  <c r="D13" i="95"/>
  <c r="B13" i="95"/>
  <c r="T12" i="95"/>
  <c r="D6" i="95"/>
  <c r="D4" i="95"/>
  <c r="Z87" i="94"/>
  <c r="X87" i="94"/>
  <c r="N87" i="94"/>
  <c r="L87" i="94"/>
  <c r="T83" i="94"/>
  <c r="R83" i="94"/>
  <c r="P83" i="94"/>
  <c r="N83" i="94"/>
  <c r="H83" i="94"/>
  <c r="D83" i="94"/>
  <c r="L83" i="94" s="1"/>
  <c r="Z81" i="94"/>
  <c r="X81" i="94"/>
  <c r="N81" i="94"/>
  <c r="L81" i="94"/>
  <c r="B81" i="94"/>
  <c r="X80" i="94"/>
  <c r="T80" i="94"/>
  <c r="Z80" i="94" s="1"/>
  <c r="P80" i="94"/>
  <c r="N80" i="94"/>
  <c r="H80" i="94"/>
  <c r="L80" i="94" s="1"/>
  <c r="D80" i="94"/>
  <c r="B80" i="94"/>
  <c r="X79" i="94"/>
  <c r="Z79" i="94" s="1"/>
  <c r="N79" i="94"/>
  <c r="L79" i="94"/>
  <c r="B79" i="94"/>
  <c r="T78" i="94"/>
  <c r="R78" i="94"/>
  <c r="P78" i="94"/>
  <c r="H78" i="94"/>
  <c r="D78" i="94"/>
  <c r="L78" i="94" s="1"/>
  <c r="B78" i="94"/>
  <c r="Z77" i="94"/>
  <c r="X77" i="94"/>
  <c r="R77" i="94"/>
  <c r="N77" i="94"/>
  <c r="L77" i="94"/>
  <c r="B77" i="94"/>
  <c r="Z76" i="94"/>
  <c r="X76" i="94"/>
  <c r="N76" i="94"/>
  <c r="L76" i="94"/>
  <c r="B76" i="94"/>
  <c r="X75" i="94"/>
  <c r="Z75" i="94" s="1"/>
  <c r="L75" i="94"/>
  <c r="N75" i="94" s="1"/>
  <c r="B75" i="94"/>
  <c r="X74" i="94"/>
  <c r="Z74" i="94" s="1"/>
  <c r="N74" i="94"/>
  <c r="L74" i="94"/>
  <c r="B74" i="94"/>
  <c r="Z73" i="94"/>
  <c r="X73" i="94"/>
  <c r="N73" i="94"/>
  <c r="L73" i="94"/>
  <c r="B73" i="94"/>
  <c r="X72" i="94"/>
  <c r="Z72" i="94" s="1"/>
  <c r="N72" i="94"/>
  <c r="L72" i="94"/>
  <c r="B72" i="94"/>
  <c r="X71" i="94"/>
  <c r="Z71" i="94" s="1"/>
  <c r="N71" i="94"/>
  <c r="L71" i="94"/>
  <c r="B71" i="94"/>
  <c r="Z70" i="94"/>
  <c r="X70" i="94"/>
  <c r="N70" i="94"/>
  <c r="L70" i="94"/>
  <c r="B70" i="94"/>
  <c r="Z69" i="94"/>
  <c r="T69" i="94"/>
  <c r="X69" i="94" s="1"/>
  <c r="R69" i="94"/>
  <c r="P69" i="94"/>
  <c r="H69" i="94"/>
  <c r="D69" i="94"/>
  <c r="L69" i="94" s="1"/>
  <c r="N69" i="94" s="1"/>
  <c r="B69" i="94"/>
  <c r="X68" i="94"/>
  <c r="Z68" i="94" s="1"/>
  <c r="N68" i="94"/>
  <c r="L68" i="94"/>
  <c r="B68" i="94"/>
  <c r="Z67" i="94"/>
  <c r="T67" i="94"/>
  <c r="P67" i="94"/>
  <c r="X67" i="94" s="1"/>
  <c r="N67" i="94"/>
  <c r="H67" i="94"/>
  <c r="D67" i="94"/>
  <c r="B67" i="94"/>
  <c r="X66" i="94"/>
  <c r="Z66" i="94" s="1"/>
  <c r="N66" i="94"/>
  <c r="L66" i="94"/>
  <c r="B66" i="94"/>
  <c r="Z65" i="94"/>
  <c r="X65" i="94"/>
  <c r="N65" i="94"/>
  <c r="L65" i="94"/>
  <c r="B65" i="94"/>
  <c r="X64" i="94"/>
  <c r="Z64" i="94" s="1"/>
  <c r="N64" i="94"/>
  <c r="L64" i="94"/>
  <c r="B64" i="94"/>
  <c r="X63" i="94"/>
  <c r="Z63" i="94" s="1"/>
  <c r="L63" i="94"/>
  <c r="N63" i="94" s="1"/>
  <c r="B63" i="94"/>
  <c r="T62" i="94"/>
  <c r="Z62" i="94" s="1"/>
  <c r="R62" i="94"/>
  <c r="P62" i="94"/>
  <c r="X62" i="94" s="1"/>
  <c r="N62" i="94"/>
  <c r="H62" i="94"/>
  <c r="D62" i="94"/>
  <c r="L62" i="94" s="1"/>
  <c r="B62" i="94"/>
  <c r="X61" i="94"/>
  <c r="Z61" i="94" s="1"/>
  <c r="N61" i="94"/>
  <c r="L61" i="94"/>
  <c r="B61" i="94"/>
  <c r="Z60" i="94"/>
  <c r="X60" i="94"/>
  <c r="L60" i="94"/>
  <c r="N60" i="94" s="1"/>
  <c r="B60" i="94"/>
  <c r="T59" i="94"/>
  <c r="Z59" i="94" s="1"/>
  <c r="P59" i="94"/>
  <c r="X59" i="94" s="1"/>
  <c r="L59" i="94"/>
  <c r="N59" i="94" s="1"/>
  <c r="H59" i="94"/>
  <c r="D59" i="94"/>
  <c r="B59" i="94"/>
  <c r="Z58" i="94"/>
  <c r="X58" i="94"/>
  <c r="N58" i="94"/>
  <c r="L58" i="94"/>
  <c r="B58" i="94"/>
  <c r="X57" i="94"/>
  <c r="Z57" i="94" s="1"/>
  <c r="T57" i="94"/>
  <c r="P57" i="94"/>
  <c r="L57" i="94"/>
  <c r="H57" i="94"/>
  <c r="D57" i="94"/>
  <c r="B57" i="94"/>
  <c r="X56" i="94"/>
  <c r="Z56" i="94" s="1"/>
  <c r="N56" i="94"/>
  <c r="L56" i="94"/>
  <c r="B56" i="94"/>
  <c r="X55" i="94"/>
  <c r="T55" i="94"/>
  <c r="P55" i="94"/>
  <c r="H55" i="94"/>
  <c r="N55" i="94" s="1"/>
  <c r="D55" i="94"/>
  <c r="L55" i="94" s="1"/>
  <c r="B55" i="94"/>
  <c r="Z54" i="94"/>
  <c r="X54" i="94"/>
  <c r="N54" i="94"/>
  <c r="L54" i="94"/>
  <c r="B54" i="94"/>
  <c r="T53" i="94"/>
  <c r="P53" i="94"/>
  <c r="H53" i="94"/>
  <c r="D53" i="94"/>
  <c r="L53" i="94" s="1"/>
  <c r="B53" i="94"/>
  <c r="Z52" i="94"/>
  <c r="X52" i="94"/>
  <c r="N52" i="94"/>
  <c r="L52" i="94"/>
  <c r="B52" i="94"/>
  <c r="T51" i="94"/>
  <c r="Z51" i="94" s="1"/>
  <c r="P51" i="94"/>
  <c r="X51" i="94" s="1"/>
  <c r="N51" i="94"/>
  <c r="L51" i="94"/>
  <c r="H51" i="94"/>
  <c r="D51" i="94"/>
  <c r="B51" i="94"/>
  <c r="Z50" i="94"/>
  <c r="X50" i="94"/>
  <c r="N50" i="94"/>
  <c r="L50" i="94"/>
  <c r="B50" i="94"/>
  <c r="X49" i="94"/>
  <c r="Z49" i="94" s="1"/>
  <c r="T49" i="94"/>
  <c r="P49" i="94"/>
  <c r="H49" i="94"/>
  <c r="D49" i="94"/>
  <c r="B49" i="94"/>
  <c r="X48" i="94"/>
  <c r="Z48" i="94" s="1"/>
  <c r="N48" i="94"/>
  <c r="L48" i="94"/>
  <c r="B48" i="94"/>
  <c r="X47" i="94"/>
  <c r="T47" i="94"/>
  <c r="P47" i="94"/>
  <c r="H47" i="94"/>
  <c r="D47" i="94"/>
  <c r="L47" i="94" s="1"/>
  <c r="B47" i="94"/>
  <c r="Z46" i="94"/>
  <c r="X46" i="94"/>
  <c r="N46" i="94"/>
  <c r="L46" i="94"/>
  <c r="B46" i="94"/>
  <c r="T45" i="94"/>
  <c r="P45" i="94"/>
  <c r="H45" i="94"/>
  <c r="D45" i="94"/>
  <c r="L45" i="94" s="1"/>
  <c r="B45" i="94"/>
  <c r="Z44" i="94"/>
  <c r="X44" i="94"/>
  <c r="N44" i="94"/>
  <c r="L44" i="94"/>
  <c r="B44" i="94"/>
  <c r="T43" i="94"/>
  <c r="P43" i="94"/>
  <c r="X43" i="94" s="1"/>
  <c r="N43" i="94"/>
  <c r="L43" i="94"/>
  <c r="H43" i="94"/>
  <c r="D43" i="94"/>
  <c r="B43" i="94"/>
  <c r="Z42" i="94"/>
  <c r="X42" i="94"/>
  <c r="N42" i="94"/>
  <c r="L42" i="94"/>
  <c r="B42" i="94"/>
  <c r="X41" i="94"/>
  <c r="Z41" i="94" s="1"/>
  <c r="T41" i="94"/>
  <c r="P41" i="94"/>
  <c r="H41" i="94"/>
  <c r="N41" i="94" s="1"/>
  <c r="D41" i="94"/>
  <c r="B41" i="94"/>
  <c r="X40" i="94"/>
  <c r="Z40" i="94" s="1"/>
  <c r="N40" i="94"/>
  <c r="L40" i="94"/>
  <c r="B40" i="94"/>
  <c r="X39" i="94"/>
  <c r="Z39" i="94" s="1"/>
  <c r="R39" i="94"/>
  <c r="L39" i="94"/>
  <c r="N39" i="94" s="1"/>
  <c r="B39" i="94"/>
  <c r="Z38" i="94"/>
  <c r="X38" i="94"/>
  <c r="N38" i="94"/>
  <c r="L38" i="94"/>
  <c r="B38" i="94"/>
  <c r="X37" i="94"/>
  <c r="Z37" i="94" s="1"/>
  <c r="L37" i="94"/>
  <c r="N37" i="94" s="1"/>
  <c r="B37" i="94"/>
  <c r="Z36" i="94"/>
  <c r="X36" i="94"/>
  <c r="L36" i="94"/>
  <c r="N36" i="94" s="1"/>
  <c r="B36" i="94"/>
  <c r="X35" i="94"/>
  <c r="Z35" i="94" s="1"/>
  <c r="L35" i="94"/>
  <c r="N35" i="94" s="1"/>
  <c r="B35" i="94"/>
  <c r="T34" i="94"/>
  <c r="Z34" i="94" s="1"/>
  <c r="R34" i="94"/>
  <c r="P34" i="94"/>
  <c r="X34" i="94" s="1"/>
  <c r="N34" i="94"/>
  <c r="H34" i="94"/>
  <c r="D34" i="94"/>
  <c r="L34" i="94" s="1"/>
  <c r="B34" i="94"/>
  <c r="X33" i="94"/>
  <c r="Z33" i="94" s="1"/>
  <c r="L33" i="94"/>
  <c r="N33" i="94" s="1"/>
  <c r="F33" i="94"/>
  <c r="B33" i="94"/>
  <c r="Z32" i="94"/>
  <c r="X32" i="94"/>
  <c r="L32" i="94"/>
  <c r="N32" i="94" s="1"/>
  <c r="B32" i="94"/>
  <c r="X31" i="94"/>
  <c r="Z31" i="94" s="1"/>
  <c r="L31" i="94"/>
  <c r="N31" i="94" s="1"/>
  <c r="B31" i="94"/>
  <c r="Z30" i="94"/>
  <c r="X30" i="94"/>
  <c r="N30" i="94"/>
  <c r="L30" i="94"/>
  <c r="B30" i="94"/>
  <c r="X29" i="94"/>
  <c r="Z29" i="94" s="1"/>
  <c r="R29" i="94"/>
  <c r="L29" i="94"/>
  <c r="N29" i="94" s="1"/>
  <c r="B29" i="94"/>
  <c r="X28" i="94"/>
  <c r="Z28" i="94" s="1"/>
  <c r="N28" i="94"/>
  <c r="L28" i="94"/>
  <c r="B28" i="94"/>
  <c r="X27" i="94"/>
  <c r="Z27" i="94" s="1"/>
  <c r="R27" i="94"/>
  <c r="L27" i="94"/>
  <c r="N27" i="94" s="1"/>
  <c r="B27" i="94"/>
  <c r="Z26" i="94"/>
  <c r="X26" i="94"/>
  <c r="N26" i="94"/>
  <c r="L26" i="94"/>
  <c r="B26" i="94"/>
  <c r="X25" i="94"/>
  <c r="Z25" i="94" s="1"/>
  <c r="L25" i="94"/>
  <c r="N25" i="94" s="1"/>
  <c r="B25" i="94"/>
  <c r="Z24" i="94"/>
  <c r="T24" i="94"/>
  <c r="P24" i="94"/>
  <c r="X24" i="94" s="1"/>
  <c r="N24" i="94"/>
  <c r="L24" i="94"/>
  <c r="H24" i="94"/>
  <c r="D24" i="94"/>
  <c r="B24" i="94"/>
  <c r="T23" i="94" a="1"/>
  <c r="T23" i="94" s="1"/>
  <c r="P23" i="94" a="1"/>
  <c r="P23" i="94"/>
  <c r="H23" i="94" a="1"/>
  <c r="H23" i="94" s="1"/>
  <c r="D23" i="94" a="1"/>
  <c r="D23" i="94" s="1"/>
  <c r="X19" i="94"/>
  <c r="Z19" i="94" s="1"/>
  <c r="L19" i="94"/>
  <c r="N19" i="94" s="1"/>
  <c r="F19" i="94"/>
  <c r="B19" i="94"/>
  <c r="X18" i="94"/>
  <c r="Z18" i="94" s="1"/>
  <c r="N18" i="94"/>
  <c r="L18" i="94"/>
  <c r="B18" i="94"/>
  <c r="T17" i="94"/>
  <c r="P17" i="94"/>
  <c r="X17" i="94" s="1"/>
  <c r="H17" i="94"/>
  <c r="D17" i="94"/>
  <c r="L17" i="94" s="1"/>
  <c r="X15" i="94"/>
  <c r="Z15" i="94" s="1"/>
  <c r="T15" i="94"/>
  <c r="P15" i="94"/>
  <c r="H15" i="94"/>
  <c r="N15" i="94" s="1"/>
  <c r="D15" i="94"/>
  <c r="L15" i="94" s="1"/>
  <c r="B15" i="94"/>
  <c r="Z14" i="94"/>
  <c r="T14" i="94"/>
  <c r="P14" i="94"/>
  <c r="X14" i="94" s="1"/>
  <c r="H14" i="94"/>
  <c r="D14" i="94"/>
  <c r="B14" i="94"/>
  <c r="T13" i="94"/>
  <c r="P13" i="94"/>
  <c r="X13" i="94" s="1"/>
  <c r="L13" i="94"/>
  <c r="N13" i="94" s="1"/>
  <c r="H13" i="94"/>
  <c r="D13" i="94"/>
  <c r="D12" i="94" s="1"/>
  <c r="B13" i="94"/>
  <c r="P12" i="94"/>
  <c r="R81" i="94" s="1"/>
  <c r="D6" i="94"/>
  <c r="D4" i="94"/>
  <c r="V37" i="93"/>
  <c r="Z32" i="93"/>
  <c r="X32" i="93"/>
  <c r="V32" i="93"/>
  <c r="N32" i="93"/>
  <c r="L32" i="93"/>
  <c r="Z28" i="93"/>
  <c r="T28" i="93"/>
  <c r="P28" i="93"/>
  <c r="X28" i="93" s="1"/>
  <c r="N28" i="93"/>
  <c r="J28" i="93"/>
  <c r="H28" i="93"/>
  <c r="D28" i="93"/>
  <c r="L28" i="93" s="1"/>
  <c r="X26" i="93"/>
  <c r="Z26" i="93" s="1"/>
  <c r="N26" i="93"/>
  <c r="L26" i="93"/>
  <c r="B26" i="93"/>
  <c r="X25" i="93"/>
  <c r="T25" i="93"/>
  <c r="P25" i="93"/>
  <c r="H25" i="93"/>
  <c r="N25" i="93" s="1"/>
  <c r="D25" i="93"/>
  <c r="L25" i="93" s="1"/>
  <c r="B25" i="93"/>
  <c r="Z24" i="93"/>
  <c r="X24" i="93"/>
  <c r="N24" i="93"/>
  <c r="L24" i="93"/>
  <c r="B24" i="93"/>
  <c r="T23" i="93"/>
  <c r="Z23" i="93" s="1"/>
  <c r="P23" i="93"/>
  <c r="X23" i="93" s="1"/>
  <c r="H23" i="93"/>
  <c r="N23" i="93" s="1"/>
  <c r="D23" i="93"/>
  <c r="L23" i="93" s="1"/>
  <c r="B23" i="93"/>
  <c r="Z22" i="93"/>
  <c r="X22" i="93"/>
  <c r="N22" i="93"/>
  <c r="L22" i="93"/>
  <c r="J22" i="93"/>
  <c r="B22" i="93"/>
  <c r="T21" i="93"/>
  <c r="Z21" i="93" s="1"/>
  <c r="P21" i="93"/>
  <c r="X21" i="93" s="1"/>
  <c r="L21" i="93"/>
  <c r="H21" i="93"/>
  <c r="N21" i="93" s="1"/>
  <c r="D21" i="93"/>
  <c r="B21" i="93"/>
  <c r="V20" i="93"/>
  <c r="T20" i="93" a="1"/>
  <c r="T20" i="93" s="1"/>
  <c r="P20" i="93" a="1"/>
  <c r="P20" i="93" s="1"/>
  <c r="H20" i="93" a="1"/>
  <c r="H20" i="93" s="1"/>
  <c r="N20" i="93" s="1"/>
  <c r="D20" i="93" a="1"/>
  <c r="D20" i="93"/>
  <c r="T16" i="93"/>
  <c r="Z16" i="93" s="1"/>
  <c r="R16" i="93"/>
  <c r="P16" i="93"/>
  <c r="N16" i="93"/>
  <c r="H16" i="93"/>
  <c r="D16" i="93"/>
  <c r="L16" i="93" s="1"/>
  <c r="T14" i="93"/>
  <c r="Z14" i="93" s="1"/>
  <c r="P14" i="93"/>
  <c r="H14" i="93"/>
  <c r="N14" i="93" s="1"/>
  <c r="D14" i="93"/>
  <c r="L14" i="93" s="1"/>
  <c r="B14" i="93"/>
  <c r="X13" i="93"/>
  <c r="T13" i="93"/>
  <c r="T12" i="93" s="1"/>
  <c r="P13" i="93"/>
  <c r="H13" i="93"/>
  <c r="N13" i="93" s="1"/>
  <c r="D13" i="93"/>
  <c r="B13" i="93"/>
  <c r="Z12" i="93"/>
  <c r="P12" i="93"/>
  <c r="R25" i="93" s="1"/>
  <c r="H12" i="93"/>
  <c r="D6" i="93"/>
  <c r="D4" i="93"/>
  <c r="X82" i="92"/>
  <c r="Z82" i="92" s="1"/>
  <c r="N82" i="92"/>
  <c r="L82" i="92"/>
  <c r="Z78" i="92"/>
  <c r="T78" i="92"/>
  <c r="P78" i="92"/>
  <c r="N78" i="92"/>
  <c r="H78" i="92"/>
  <c r="D78" i="92"/>
  <c r="L78" i="92" s="1"/>
  <c r="X76" i="92"/>
  <c r="Z76" i="92" s="1"/>
  <c r="N76" i="92"/>
  <c r="L76" i="92"/>
  <c r="B76" i="92"/>
  <c r="T75" i="92"/>
  <c r="P75" i="92"/>
  <c r="X75" i="92" s="1"/>
  <c r="Z75" i="92" s="1"/>
  <c r="H75" i="92"/>
  <c r="D75" i="92"/>
  <c r="B75" i="92"/>
  <c r="Z74" i="92"/>
  <c r="X74" i="92"/>
  <c r="N74" i="92"/>
  <c r="L74" i="92"/>
  <c r="B74" i="92"/>
  <c r="Z73" i="92"/>
  <c r="X73" i="92"/>
  <c r="N73" i="92"/>
  <c r="L73" i="92"/>
  <c r="B73" i="92"/>
  <c r="X72" i="92"/>
  <c r="Z72" i="92" s="1"/>
  <c r="N72" i="92"/>
  <c r="L72" i="92"/>
  <c r="B72" i="92"/>
  <c r="Z71" i="92"/>
  <c r="X71" i="92"/>
  <c r="N71" i="92"/>
  <c r="L71" i="92"/>
  <c r="F71" i="92"/>
  <c r="B71" i="92"/>
  <c r="X70" i="92"/>
  <c r="Z70" i="92" s="1"/>
  <c r="N70" i="92"/>
  <c r="L70" i="92"/>
  <c r="B70" i="92"/>
  <c r="Z69" i="92"/>
  <c r="X69" i="92"/>
  <c r="N69" i="92"/>
  <c r="L69" i="92"/>
  <c r="B69" i="92"/>
  <c r="X68" i="92"/>
  <c r="Z68" i="92" s="1"/>
  <c r="N68" i="92"/>
  <c r="L68" i="92"/>
  <c r="B68" i="92"/>
  <c r="Z67" i="92"/>
  <c r="X67" i="92"/>
  <c r="N67" i="92"/>
  <c r="L67" i="92"/>
  <c r="B67" i="92"/>
  <c r="V66" i="92"/>
  <c r="T66" i="92"/>
  <c r="P66" i="92"/>
  <c r="X66" i="92" s="1"/>
  <c r="H66" i="92"/>
  <c r="N66" i="92" s="1"/>
  <c r="D66" i="92"/>
  <c r="L66" i="92" s="1"/>
  <c r="B66" i="92"/>
  <c r="Z65" i="92"/>
  <c r="X65" i="92"/>
  <c r="L65" i="92"/>
  <c r="N65" i="92" s="1"/>
  <c r="B65" i="92"/>
  <c r="X64" i="92"/>
  <c r="Z64" i="92" s="1"/>
  <c r="N64" i="92"/>
  <c r="L64" i="92"/>
  <c r="B64" i="92"/>
  <c r="Z63" i="92"/>
  <c r="X63" i="92"/>
  <c r="N63" i="92"/>
  <c r="L63" i="92"/>
  <c r="B63" i="92"/>
  <c r="T62" i="92"/>
  <c r="P62" i="92"/>
  <c r="X62" i="92" s="1"/>
  <c r="H62" i="92"/>
  <c r="N62" i="92" s="1"/>
  <c r="D62" i="92"/>
  <c r="L62" i="92" s="1"/>
  <c r="B62" i="92"/>
  <c r="Z61" i="92"/>
  <c r="X61" i="92"/>
  <c r="N61" i="92"/>
  <c r="L61" i="92"/>
  <c r="B61" i="92"/>
  <c r="X60" i="92"/>
  <c r="Z60" i="92" s="1"/>
  <c r="N60" i="92"/>
  <c r="L60" i="92"/>
  <c r="B60" i="92"/>
  <c r="T59" i="92"/>
  <c r="P59" i="92"/>
  <c r="H59" i="92"/>
  <c r="D59" i="92"/>
  <c r="L59" i="92" s="1"/>
  <c r="N59" i="92" s="1"/>
  <c r="B59" i="92"/>
  <c r="X58" i="92"/>
  <c r="Z58" i="92" s="1"/>
  <c r="N58" i="92"/>
  <c r="L58" i="92"/>
  <c r="B58" i="92"/>
  <c r="T57" i="92"/>
  <c r="P57" i="92"/>
  <c r="X57" i="92" s="1"/>
  <c r="Z57" i="92" s="1"/>
  <c r="N57" i="92"/>
  <c r="L57" i="92"/>
  <c r="H57" i="92"/>
  <c r="D57" i="92"/>
  <c r="B57" i="92"/>
  <c r="Z56" i="92"/>
  <c r="X56" i="92"/>
  <c r="N56" i="92"/>
  <c r="L56" i="92"/>
  <c r="B56" i="92"/>
  <c r="Z55" i="92"/>
  <c r="X55" i="92"/>
  <c r="T55" i="92"/>
  <c r="P55" i="92"/>
  <c r="L55" i="92"/>
  <c r="H55" i="92"/>
  <c r="N55" i="92" s="1"/>
  <c r="D55" i="92"/>
  <c r="B55" i="92"/>
  <c r="X54" i="92"/>
  <c r="Z54" i="92" s="1"/>
  <c r="L54" i="92"/>
  <c r="N54" i="92" s="1"/>
  <c r="B54" i="92"/>
  <c r="X53" i="92"/>
  <c r="T53" i="92"/>
  <c r="Z53" i="92" s="1"/>
  <c r="P53" i="92"/>
  <c r="H53" i="92"/>
  <c r="D53" i="92"/>
  <c r="B53" i="92"/>
  <c r="Z52" i="92"/>
  <c r="X52" i="92"/>
  <c r="N52" i="92"/>
  <c r="L52" i="92"/>
  <c r="B52" i="92"/>
  <c r="T51" i="92"/>
  <c r="Z51" i="92" s="1"/>
  <c r="P51" i="92"/>
  <c r="N51" i="92"/>
  <c r="H51" i="92"/>
  <c r="D51" i="92"/>
  <c r="L51" i="92" s="1"/>
  <c r="B51" i="92"/>
  <c r="Z50" i="92"/>
  <c r="X50" i="92"/>
  <c r="N50" i="92"/>
  <c r="L50" i="92"/>
  <c r="B50" i="92"/>
  <c r="Z49" i="92"/>
  <c r="T49" i="92"/>
  <c r="P49" i="92"/>
  <c r="X49" i="92" s="1"/>
  <c r="N49" i="92"/>
  <c r="L49" i="92"/>
  <c r="H49" i="92"/>
  <c r="D49" i="92"/>
  <c r="B49" i="92"/>
  <c r="Z48" i="92"/>
  <c r="X48" i="92"/>
  <c r="N48" i="92"/>
  <c r="L48" i="92"/>
  <c r="B48" i="92"/>
  <c r="Z47" i="92"/>
  <c r="X47" i="92"/>
  <c r="T47" i="92"/>
  <c r="P47" i="92"/>
  <c r="L47" i="92"/>
  <c r="H47" i="92"/>
  <c r="D47" i="92"/>
  <c r="B47" i="92"/>
  <c r="Z46" i="92"/>
  <c r="X46" i="92"/>
  <c r="V46" i="92"/>
  <c r="N46" i="92"/>
  <c r="L46" i="92"/>
  <c r="B46" i="92"/>
  <c r="X45" i="92"/>
  <c r="T45" i="92"/>
  <c r="Z45" i="92" s="1"/>
  <c r="P45" i="92"/>
  <c r="H45" i="92"/>
  <c r="N45" i="92" s="1"/>
  <c r="D45" i="92"/>
  <c r="B45" i="92"/>
  <c r="Z44" i="92"/>
  <c r="X44" i="92"/>
  <c r="N44" i="92"/>
  <c r="L44" i="92"/>
  <c r="B44" i="92"/>
  <c r="T43" i="92"/>
  <c r="Z43" i="92" s="1"/>
  <c r="P43" i="92"/>
  <c r="N43" i="92"/>
  <c r="H43" i="92"/>
  <c r="D43" i="92"/>
  <c r="L43" i="92" s="1"/>
  <c r="B43" i="92"/>
  <c r="X42" i="92"/>
  <c r="Z42" i="92" s="1"/>
  <c r="N42" i="92"/>
  <c r="L42" i="92"/>
  <c r="B42" i="92"/>
  <c r="T41" i="92"/>
  <c r="P41" i="92"/>
  <c r="X41" i="92" s="1"/>
  <c r="Z41" i="92" s="1"/>
  <c r="N41" i="92"/>
  <c r="L41" i="92"/>
  <c r="H41" i="92"/>
  <c r="D41" i="92"/>
  <c r="B41" i="92"/>
  <c r="Z40" i="92"/>
  <c r="X40" i="92"/>
  <c r="N40" i="92"/>
  <c r="L40" i="92"/>
  <c r="B40" i="92"/>
  <c r="Z39" i="92"/>
  <c r="X39" i="92"/>
  <c r="L39" i="92"/>
  <c r="N39" i="92" s="1"/>
  <c r="B39" i="92"/>
  <c r="Z38" i="92"/>
  <c r="X38" i="92"/>
  <c r="N38" i="92"/>
  <c r="L38" i="92"/>
  <c r="B38" i="92"/>
  <c r="Z37" i="92"/>
  <c r="X37" i="92"/>
  <c r="N37" i="92"/>
  <c r="L37" i="92"/>
  <c r="B37" i="92"/>
  <c r="X36" i="92"/>
  <c r="Z36" i="92" s="1"/>
  <c r="L36" i="92"/>
  <c r="N36" i="92" s="1"/>
  <c r="B36" i="92"/>
  <c r="X35" i="92"/>
  <c r="Z35" i="92" s="1"/>
  <c r="N35" i="92"/>
  <c r="L35" i="92"/>
  <c r="B35" i="92"/>
  <c r="T34" i="92"/>
  <c r="P34" i="92"/>
  <c r="X34" i="92" s="1"/>
  <c r="H34" i="92"/>
  <c r="D34" i="92"/>
  <c r="L34" i="92" s="1"/>
  <c r="N34" i="92" s="1"/>
  <c r="B34" i="92"/>
  <c r="Z33" i="92"/>
  <c r="X33" i="92"/>
  <c r="L33" i="92"/>
  <c r="N33" i="92" s="1"/>
  <c r="B33" i="92"/>
  <c r="X32" i="92"/>
  <c r="Z32" i="92" s="1"/>
  <c r="L32" i="92"/>
  <c r="N32" i="92" s="1"/>
  <c r="B32" i="92"/>
  <c r="Z31" i="92"/>
  <c r="X31" i="92"/>
  <c r="N31" i="92"/>
  <c r="L31" i="92"/>
  <c r="B31" i="92"/>
  <c r="X30" i="92"/>
  <c r="Z30" i="92" s="1"/>
  <c r="L30" i="92"/>
  <c r="N30" i="92" s="1"/>
  <c r="B30" i="92"/>
  <c r="X29" i="92"/>
  <c r="Z29" i="92" s="1"/>
  <c r="N29" i="92"/>
  <c r="L29" i="92"/>
  <c r="B29" i="92"/>
  <c r="X28" i="92"/>
  <c r="Z28" i="92" s="1"/>
  <c r="L28" i="92"/>
  <c r="N28" i="92" s="1"/>
  <c r="B28" i="92"/>
  <c r="Z27" i="92"/>
  <c r="X27" i="92"/>
  <c r="N27" i="92"/>
  <c r="L27" i="92"/>
  <c r="B27" i="92"/>
  <c r="X26" i="92"/>
  <c r="Z26" i="92" s="1"/>
  <c r="L26" i="92"/>
  <c r="N26" i="92" s="1"/>
  <c r="B26" i="92"/>
  <c r="Z25" i="92"/>
  <c r="X25" i="92"/>
  <c r="L25" i="92"/>
  <c r="N25" i="92" s="1"/>
  <c r="B25" i="92"/>
  <c r="T24" i="92"/>
  <c r="Z24" i="92" s="1"/>
  <c r="P24" i="92"/>
  <c r="X24" i="92" s="1"/>
  <c r="L24" i="92"/>
  <c r="N24" i="92" s="1"/>
  <c r="H24" i="92"/>
  <c r="D24" i="92"/>
  <c r="B24" i="92"/>
  <c r="T23" i="92" a="1"/>
  <c r="T23" i="92" s="1"/>
  <c r="P23" i="92" a="1"/>
  <c r="P23" i="92"/>
  <c r="H23" i="92" a="1"/>
  <c r="H23" i="92" s="1"/>
  <c r="D23" i="92" a="1"/>
  <c r="D23" i="92"/>
  <c r="L23" i="92" s="1"/>
  <c r="N23" i="92" s="1"/>
  <c r="Z19" i="92"/>
  <c r="X19" i="92"/>
  <c r="N19" i="92"/>
  <c r="L19" i="92"/>
  <c r="B19" i="92"/>
  <c r="X18" i="92"/>
  <c r="Z18" i="92" s="1"/>
  <c r="N18" i="92"/>
  <c r="L18" i="92"/>
  <c r="B18" i="92"/>
  <c r="X17" i="92"/>
  <c r="Z17" i="92" s="1"/>
  <c r="T17" i="92"/>
  <c r="P17" i="92"/>
  <c r="H17" i="92"/>
  <c r="N17" i="92" s="1"/>
  <c r="D17" i="92"/>
  <c r="Z15" i="92"/>
  <c r="X15" i="92"/>
  <c r="T15" i="92"/>
  <c r="P15" i="92"/>
  <c r="H15" i="92"/>
  <c r="N15" i="92" s="1"/>
  <c r="D15" i="92"/>
  <c r="B15" i="92"/>
  <c r="T14" i="92"/>
  <c r="P14" i="92"/>
  <c r="X14" i="92" s="1"/>
  <c r="Z14" i="92" s="1"/>
  <c r="N14" i="92"/>
  <c r="L14" i="92"/>
  <c r="H14" i="92"/>
  <c r="D14" i="92"/>
  <c r="B14" i="92"/>
  <c r="T13" i="92"/>
  <c r="P13" i="92"/>
  <c r="N13" i="92"/>
  <c r="H13" i="92"/>
  <c r="D13" i="92"/>
  <c r="D12" i="92" s="1"/>
  <c r="B13" i="92"/>
  <c r="T12" i="92"/>
  <c r="V30" i="92" s="1"/>
  <c r="D6" i="92"/>
  <c r="D4" i="92"/>
  <c r="Z50" i="91"/>
  <c r="X50" i="91"/>
  <c r="N50" i="91"/>
  <c r="L50" i="91"/>
  <c r="T46" i="91"/>
  <c r="Z46" i="91" s="1"/>
  <c r="P46" i="91"/>
  <c r="X46" i="91" s="1"/>
  <c r="L46" i="91"/>
  <c r="H46" i="91"/>
  <c r="N46" i="91" s="1"/>
  <c r="D46" i="91"/>
  <c r="Z44" i="91"/>
  <c r="X44" i="91"/>
  <c r="N44" i="91"/>
  <c r="L44" i="91"/>
  <c r="B44" i="91"/>
  <c r="Z43" i="91"/>
  <c r="T43" i="91"/>
  <c r="P43" i="91"/>
  <c r="X43" i="91" s="1"/>
  <c r="N43" i="91"/>
  <c r="L43" i="91"/>
  <c r="H43" i="91"/>
  <c r="D43" i="91"/>
  <c r="B43" i="91"/>
  <c r="X42" i="91"/>
  <c r="Z42" i="91" s="1"/>
  <c r="L42" i="91"/>
  <c r="N42" i="91" s="1"/>
  <c r="B42" i="91"/>
  <c r="X41" i="91"/>
  <c r="Z41" i="91" s="1"/>
  <c r="T41" i="91"/>
  <c r="P41" i="91"/>
  <c r="H41" i="91"/>
  <c r="D41" i="91"/>
  <c r="B41" i="91"/>
  <c r="Z40" i="91"/>
  <c r="X40" i="91"/>
  <c r="N40" i="91"/>
  <c r="L40" i="91"/>
  <c r="B40" i="91"/>
  <c r="T39" i="91"/>
  <c r="P39" i="91"/>
  <c r="N39" i="91"/>
  <c r="H39" i="91"/>
  <c r="D39" i="91"/>
  <c r="L39" i="91" s="1"/>
  <c r="B39" i="91"/>
  <c r="Z38" i="91"/>
  <c r="X38" i="91"/>
  <c r="N38" i="91"/>
  <c r="L38" i="91"/>
  <c r="J38" i="91"/>
  <c r="F38" i="91"/>
  <c r="B38" i="91"/>
  <c r="Z37" i="91"/>
  <c r="X37" i="91"/>
  <c r="N37" i="91"/>
  <c r="L37" i="91"/>
  <c r="B37" i="91"/>
  <c r="T36" i="91"/>
  <c r="P36" i="91"/>
  <c r="X36" i="91" s="1"/>
  <c r="Z36" i="91" s="1"/>
  <c r="N36" i="91"/>
  <c r="L36" i="91"/>
  <c r="H36" i="91"/>
  <c r="D36" i="91"/>
  <c r="B36" i="91"/>
  <c r="Z35" i="91"/>
  <c r="X35" i="91"/>
  <c r="N35" i="91"/>
  <c r="L35" i="91"/>
  <c r="B35" i="91"/>
  <c r="X34" i="91"/>
  <c r="Z34" i="91" s="1"/>
  <c r="T34" i="91"/>
  <c r="P34" i="91"/>
  <c r="L34" i="91"/>
  <c r="N34" i="91" s="1"/>
  <c r="H34" i="91"/>
  <c r="D34" i="91"/>
  <c r="B34" i="91"/>
  <c r="X33" i="91"/>
  <c r="Z33" i="91" s="1"/>
  <c r="N33" i="91"/>
  <c r="L33" i="91"/>
  <c r="B33" i="91"/>
  <c r="X32" i="91"/>
  <c r="Z32" i="91" s="1"/>
  <c r="T32" i="91"/>
  <c r="P32" i="91"/>
  <c r="J32" i="91"/>
  <c r="H32" i="91"/>
  <c r="N32" i="91" s="1"/>
  <c r="D32" i="91"/>
  <c r="B32" i="91"/>
  <c r="Z31" i="91"/>
  <c r="X31" i="91"/>
  <c r="N31" i="91"/>
  <c r="L31" i="91"/>
  <c r="B31" i="91"/>
  <c r="T30" i="91"/>
  <c r="Z30" i="91" s="1"/>
  <c r="P30" i="91"/>
  <c r="H30" i="91"/>
  <c r="N30" i="91" s="1"/>
  <c r="D30" i="91"/>
  <c r="L30" i="91" s="1"/>
  <c r="B30" i="91"/>
  <c r="Z29" i="91"/>
  <c r="X29" i="91"/>
  <c r="L29" i="91"/>
  <c r="N29" i="91" s="1"/>
  <c r="B29" i="91"/>
  <c r="T28" i="91"/>
  <c r="P28" i="91"/>
  <c r="X28" i="91" s="1"/>
  <c r="L28" i="91"/>
  <c r="H28" i="91"/>
  <c r="N28" i="91" s="1"/>
  <c r="D28" i="91"/>
  <c r="B28" i="91"/>
  <c r="Z27" i="91"/>
  <c r="X27" i="91"/>
  <c r="N27" i="91"/>
  <c r="L27" i="91"/>
  <c r="F27" i="91"/>
  <c r="B27" i="91"/>
  <c r="X26" i="91"/>
  <c r="Z26" i="91" s="1"/>
  <c r="L26" i="91"/>
  <c r="N26" i="91" s="1"/>
  <c r="J26" i="91"/>
  <c r="B26" i="91"/>
  <c r="Z25" i="91"/>
  <c r="X25" i="91"/>
  <c r="N25" i="91"/>
  <c r="L25" i="91"/>
  <c r="B25" i="91"/>
  <c r="Z24" i="91"/>
  <c r="X24" i="91"/>
  <c r="L24" i="91"/>
  <c r="N24" i="91" s="1"/>
  <c r="B24" i="91"/>
  <c r="Z23" i="91"/>
  <c r="X23" i="91"/>
  <c r="N23" i="91"/>
  <c r="L23" i="91"/>
  <c r="J23" i="91"/>
  <c r="B23" i="91"/>
  <c r="X22" i="91"/>
  <c r="Z22" i="91" s="1"/>
  <c r="L22" i="91"/>
  <c r="N22" i="91" s="1"/>
  <c r="B22" i="91"/>
  <c r="X21" i="91"/>
  <c r="Z21" i="91" s="1"/>
  <c r="V21" i="91"/>
  <c r="N21" i="91"/>
  <c r="L21" i="91"/>
  <c r="B21" i="91"/>
  <c r="Z20" i="91"/>
  <c r="X20" i="91"/>
  <c r="L20" i="91"/>
  <c r="N20" i="91" s="1"/>
  <c r="B20" i="91"/>
  <c r="Z19" i="91"/>
  <c r="T19" i="91"/>
  <c r="X19" i="91" s="1"/>
  <c r="P19" i="91"/>
  <c r="L19" i="91"/>
  <c r="N19" i="91" s="1"/>
  <c r="H19" i="91"/>
  <c r="F19" i="91"/>
  <c r="D19" i="91"/>
  <c r="B19" i="91"/>
  <c r="T18" i="91" a="1"/>
  <c r="T18" i="91" s="1"/>
  <c r="P18" i="91" a="1"/>
  <c r="P18" i="91" s="1"/>
  <c r="J18" i="91"/>
  <c r="H18" i="91" a="1"/>
  <c r="H18" i="91" s="1"/>
  <c r="D18" i="91" a="1"/>
  <c r="D18" i="91" s="1"/>
  <c r="L18" i="91" s="1"/>
  <c r="N16" i="91"/>
  <c r="H16" i="91"/>
  <c r="T14" i="91"/>
  <c r="Z14" i="91" s="1"/>
  <c r="P14" i="91"/>
  <c r="X14" i="91" s="1"/>
  <c r="N14" i="91"/>
  <c r="L14" i="91"/>
  <c r="J14" i="91"/>
  <c r="H14" i="91"/>
  <c r="D14" i="91"/>
  <c r="T12" i="91"/>
  <c r="P12" i="91"/>
  <c r="N12" i="91"/>
  <c r="H12" i="91"/>
  <c r="J48" i="91" s="1"/>
  <c r="D12" i="91"/>
  <c r="F30" i="91" s="1"/>
  <c r="D6" i="91"/>
  <c r="D4" i="91"/>
  <c r="J54" i="90"/>
  <c r="Z49" i="90"/>
  <c r="X49" i="90"/>
  <c r="N49" i="90"/>
  <c r="L49" i="90"/>
  <c r="J47" i="90"/>
  <c r="Z45" i="90"/>
  <c r="T45" i="90"/>
  <c r="P45" i="90"/>
  <c r="X45" i="90" s="1"/>
  <c r="H45" i="90"/>
  <c r="N45" i="90" s="1"/>
  <c r="D45" i="90"/>
  <c r="X43" i="90"/>
  <c r="Z43" i="90" s="1"/>
  <c r="N43" i="90"/>
  <c r="L43" i="90"/>
  <c r="B43" i="90"/>
  <c r="Z42" i="90"/>
  <c r="X42" i="90"/>
  <c r="T42" i="90"/>
  <c r="P42" i="90"/>
  <c r="L42" i="90"/>
  <c r="J42" i="90"/>
  <c r="H42" i="90"/>
  <c r="N42" i="90" s="1"/>
  <c r="D42" i="90"/>
  <c r="B42" i="90"/>
  <c r="Z41" i="90"/>
  <c r="X41" i="90"/>
  <c r="N41" i="90"/>
  <c r="L41" i="90"/>
  <c r="B41" i="90"/>
  <c r="X40" i="90"/>
  <c r="T40" i="90"/>
  <c r="Z40" i="90" s="1"/>
  <c r="P40" i="90"/>
  <c r="H40" i="90"/>
  <c r="N40" i="90" s="1"/>
  <c r="F40" i="90"/>
  <c r="D40" i="90"/>
  <c r="B40" i="90"/>
  <c r="Z39" i="90"/>
  <c r="X39" i="90"/>
  <c r="N39" i="90"/>
  <c r="L39" i="90"/>
  <c r="B39" i="90"/>
  <c r="T38" i="90"/>
  <c r="Z38" i="90" s="1"/>
  <c r="P38" i="90"/>
  <c r="N38" i="90"/>
  <c r="H38" i="90"/>
  <c r="D38" i="90"/>
  <c r="L38" i="90" s="1"/>
  <c r="B38" i="90"/>
  <c r="X37" i="90"/>
  <c r="Z37" i="90" s="1"/>
  <c r="N37" i="90"/>
  <c r="L37" i="90"/>
  <c r="J37" i="90"/>
  <c r="F37" i="90"/>
  <c r="B37" i="90"/>
  <c r="Z36" i="90"/>
  <c r="X36" i="90"/>
  <c r="N36" i="90"/>
  <c r="L36" i="90"/>
  <c r="J36" i="90"/>
  <c r="B36" i="90"/>
  <c r="T35" i="90"/>
  <c r="R35" i="90"/>
  <c r="P35" i="90"/>
  <c r="X35" i="90" s="1"/>
  <c r="Z35" i="90" s="1"/>
  <c r="H35" i="90"/>
  <c r="N35" i="90" s="1"/>
  <c r="D35" i="90"/>
  <c r="B35" i="90"/>
  <c r="Z34" i="90"/>
  <c r="X34" i="90"/>
  <c r="N34" i="90"/>
  <c r="L34" i="90"/>
  <c r="F34" i="90"/>
  <c r="B34" i="90"/>
  <c r="T33" i="90"/>
  <c r="P33" i="90"/>
  <c r="N33" i="90"/>
  <c r="L33" i="90"/>
  <c r="H33" i="90"/>
  <c r="D33" i="90"/>
  <c r="B33" i="90"/>
  <c r="X32" i="90"/>
  <c r="Z32" i="90" s="1"/>
  <c r="N32" i="90"/>
  <c r="L32" i="90"/>
  <c r="B32" i="90"/>
  <c r="X31" i="90"/>
  <c r="Z31" i="90" s="1"/>
  <c r="T31" i="90"/>
  <c r="P31" i="90"/>
  <c r="J31" i="90"/>
  <c r="H31" i="90"/>
  <c r="D31" i="90"/>
  <c r="B31" i="90"/>
  <c r="Z30" i="90"/>
  <c r="X30" i="90"/>
  <c r="N30" i="90"/>
  <c r="L30" i="90"/>
  <c r="B30" i="90"/>
  <c r="T29" i="90"/>
  <c r="Z29" i="90" s="1"/>
  <c r="P29" i="90"/>
  <c r="X29" i="90" s="1"/>
  <c r="H29" i="90"/>
  <c r="N29" i="90" s="1"/>
  <c r="F29" i="90"/>
  <c r="D29" i="90"/>
  <c r="L29" i="90" s="1"/>
  <c r="B29" i="90"/>
  <c r="Z28" i="90"/>
  <c r="X28" i="90"/>
  <c r="N28" i="90"/>
  <c r="L28" i="90"/>
  <c r="J28" i="90"/>
  <c r="B28" i="90"/>
  <c r="T27" i="90"/>
  <c r="P27" i="90"/>
  <c r="X27" i="90" s="1"/>
  <c r="H27" i="90"/>
  <c r="N27" i="90" s="1"/>
  <c r="D27" i="90"/>
  <c r="B27" i="90"/>
  <c r="Z26" i="90"/>
  <c r="X26" i="90"/>
  <c r="N26" i="90"/>
  <c r="L26" i="90"/>
  <c r="F26" i="90"/>
  <c r="B26" i="90"/>
  <c r="X25" i="90"/>
  <c r="Z25" i="90" s="1"/>
  <c r="N25" i="90"/>
  <c r="L25" i="90"/>
  <c r="J25" i="90"/>
  <c r="B25" i="90"/>
  <c r="Z24" i="90"/>
  <c r="X24" i="90"/>
  <c r="N24" i="90"/>
  <c r="L24" i="90"/>
  <c r="J24" i="90"/>
  <c r="B24" i="90"/>
  <c r="X23" i="90"/>
  <c r="Z23" i="90" s="1"/>
  <c r="N23" i="90"/>
  <c r="L23" i="90"/>
  <c r="B23" i="90"/>
  <c r="Z22" i="90"/>
  <c r="X22" i="90"/>
  <c r="R22" i="90"/>
  <c r="N22" i="90"/>
  <c r="L22" i="90"/>
  <c r="B22" i="90"/>
  <c r="T21" i="90"/>
  <c r="P21" i="90"/>
  <c r="X21" i="90" s="1"/>
  <c r="H21" i="90"/>
  <c r="N21" i="90" s="1"/>
  <c r="F21" i="90"/>
  <c r="D21" i="90"/>
  <c r="L21" i="90" s="1"/>
  <c r="B21" i="90"/>
  <c r="T20" i="90" a="1"/>
  <c r="T20" i="90" s="1"/>
  <c r="P20" i="90" a="1"/>
  <c r="P20" i="90" s="1"/>
  <c r="H20" i="90" a="1"/>
  <c r="H20" i="90" s="1"/>
  <c r="D20" i="90" a="1"/>
  <c r="D20" i="90" s="1"/>
  <c r="X16" i="90"/>
  <c r="Z16" i="90" s="1"/>
  <c r="N16" i="90"/>
  <c r="L16" i="90"/>
  <c r="B16" i="90"/>
  <c r="Z15" i="90"/>
  <c r="X15" i="90"/>
  <c r="T15" i="90"/>
  <c r="P15" i="90"/>
  <c r="J15" i="90"/>
  <c r="H15" i="90"/>
  <c r="D15" i="90"/>
  <c r="X13" i="90"/>
  <c r="T13" i="90"/>
  <c r="Z13" i="90" s="1"/>
  <c r="P13" i="90"/>
  <c r="N13" i="90"/>
  <c r="L13" i="90"/>
  <c r="H13" i="90"/>
  <c r="D13" i="90"/>
  <c r="D12" i="90" s="1"/>
  <c r="F25" i="90" s="1"/>
  <c r="B13" i="90"/>
  <c r="P12" i="90"/>
  <c r="N12" i="90"/>
  <c r="H12" i="90"/>
  <c r="J51" i="90" s="1"/>
  <c r="D6" i="90"/>
  <c r="D4" i="90"/>
  <c r="F37" i="89"/>
  <c r="Z32" i="89"/>
  <c r="X32" i="89"/>
  <c r="V32" i="89"/>
  <c r="N32" i="89"/>
  <c r="L32" i="89"/>
  <c r="V30" i="89"/>
  <c r="F30" i="89"/>
  <c r="Z28" i="89"/>
  <c r="T28" i="89"/>
  <c r="P28" i="89"/>
  <c r="X28" i="89" s="1"/>
  <c r="N28" i="89"/>
  <c r="H28" i="89"/>
  <c r="D28" i="89"/>
  <c r="L28" i="89" s="1"/>
  <c r="X26" i="89"/>
  <c r="Z26" i="89" s="1"/>
  <c r="N26" i="89"/>
  <c r="L26" i="89"/>
  <c r="B26" i="89"/>
  <c r="X25" i="89"/>
  <c r="Z25" i="89" s="1"/>
  <c r="T25" i="89"/>
  <c r="P25" i="89"/>
  <c r="J25" i="89"/>
  <c r="H25" i="89"/>
  <c r="N25" i="89" s="1"/>
  <c r="D25" i="89"/>
  <c r="L25" i="89" s="1"/>
  <c r="B25" i="89"/>
  <c r="Z24" i="89"/>
  <c r="X24" i="89"/>
  <c r="R24" i="89"/>
  <c r="N24" i="89"/>
  <c r="L24" i="89"/>
  <c r="B24" i="89"/>
  <c r="V23" i="89"/>
  <c r="T23" i="89"/>
  <c r="P23" i="89"/>
  <c r="H23" i="89"/>
  <c r="N23" i="89" s="1"/>
  <c r="F23" i="89"/>
  <c r="D23" i="89"/>
  <c r="L23" i="89" s="1"/>
  <c r="B23" i="89"/>
  <c r="Z22" i="89"/>
  <c r="X22" i="89"/>
  <c r="L22" i="89"/>
  <c r="N22" i="89" s="1"/>
  <c r="J22" i="89"/>
  <c r="B22" i="89"/>
  <c r="T21" i="89"/>
  <c r="Z21" i="89" s="1"/>
  <c r="R21" i="89"/>
  <c r="P21" i="89"/>
  <c r="X21" i="89" s="1"/>
  <c r="H21" i="89"/>
  <c r="D21" i="89"/>
  <c r="B21" i="89"/>
  <c r="Z20" i="89"/>
  <c r="X20" i="89"/>
  <c r="N20" i="89"/>
  <c r="L20" i="89"/>
  <c r="F20" i="89"/>
  <c r="B20" i="89"/>
  <c r="T19" i="89"/>
  <c r="P19" i="89"/>
  <c r="L19" i="89"/>
  <c r="N19" i="89" s="1"/>
  <c r="H19" i="89"/>
  <c r="D19" i="89"/>
  <c r="B19" i="89"/>
  <c r="V18" i="89"/>
  <c r="T18" i="89" a="1"/>
  <c r="T18" i="89"/>
  <c r="P18" i="89" a="1"/>
  <c r="P18" i="89" s="1"/>
  <c r="J18" i="89"/>
  <c r="H18" i="89" a="1"/>
  <c r="H18" i="89" s="1"/>
  <c r="L18" i="89" s="1"/>
  <c r="D18" i="89" a="1"/>
  <c r="D18" i="89" s="1"/>
  <c r="R16" i="89"/>
  <c r="H16" i="89"/>
  <c r="F16" i="89"/>
  <c r="Z14" i="89"/>
  <c r="T14" i="89"/>
  <c r="P14" i="89"/>
  <c r="X14" i="89" s="1"/>
  <c r="N14" i="89"/>
  <c r="L14" i="89"/>
  <c r="H14" i="89"/>
  <c r="F14" i="89"/>
  <c r="D14" i="89"/>
  <c r="T12" i="89"/>
  <c r="V37" i="89" s="1"/>
  <c r="P12" i="89"/>
  <c r="R25" i="89" s="1"/>
  <c r="H12" i="89"/>
  <c r="J21" i="89" s="1"/>
  <c r="D12" i="89"/>
  <c r="F24" i="89" s="1"/>
  <c r="D6" i="89"/>
  <c r="D4" i="89"/>
  <c r="J39" i="88"/>
  <c r="R36" i="88"/>
  <c r="Z34" i="88"/>
  <c r="X34" i="88"/>
  <c r="N34" i="88"/>
  <c r="L34" i="88"/>
  <c r="F34" i="88"/>
  <c r="J32" i="88"/>
  <c r="T30" i="88"/>
  <c r="R30" i="88"/>
  <c r="P30" i="88"/>
  <c r="N30" i="88"/>
  <c r="H30" i="88"/>
  <c r="D30" i="88"/>
  <c r="B30" i="88"/>
  <c r="N29" i="88"/>
  <c r="H29" i="88"/>
  <c r="Z27" i="88"/>
  <c r="X27" i="88"/>
  <c r="R27" i="88"/>
  <c r="L27" i="88"/>
  <c r="N27" i="88" s="1"/>
  <c r="B27" i="88"/>
  <c r="X26" i="88"/>
  <c r="T26" i="88"/>
  <c r="P26" i="88"/>
  <c r="H26" i="88"/>
  <c r="F26" i="88"/>
  <c r="D26" i="88"/>
  <c r="L26" i="88" s="1"/>
  <c r="B26" i="88"/>
  <c r="X25" i="88"/>
  <c r="Z25" i="88" s="1"/>
  <c r="N25" i="88"/>
  <c r="L25" i="88"/>
  <c r="B25" i="88"/>
  <c r="T24" i="88"/>
  <c r="R24" i="88"/>
  <c r="P24" i="88"/>
  <c r="X24" i="88" s="1"/>
  <c r="N24" i="88"/>
  <c r="H24" i="88"/>
  <c r="D24" i="88"/>
  <c r="L24" i="88" s="1"/>
  <c r="B24" i="88"/>
  <c r="Z23" i="88"/>
  <c r="X23" i="88"/>
  <c r="N23" i="88"/>
  <c r="L23" i="88"/>
  <c r="J23" i="88"/>
  <c r="F23" i="88"/>
  <c r="B23" i="88"/>
  <c r="Z22" i="88"/>
  <c r="T22" i="88"/>
  <c r="P22" i="88"/>
  <c r="X22" i="88" s="1"/>
  <c r="N22" i="88"/>
  <c r="H22" i="88"/>
  <c r="F22" i="88"/>
  <c r="D22" i="88"/>
  <c r="L22" i="88" s="1"/>
  <c r="B22" i="88"/>
  <c r="Z21" i="88"/>
  <c r="X21" i="88"/>
  <c r="N21" i="88"/>
  <c r="L21" i="88"/>
  <c r="B21" i="88"/>
  <c r="Z20" i="88"/>
  <c r="X20" i="88"/>
  <c r="N20" i="88"/>
  <c r="L20" i="88"/>
  <c r="F20" i="88"/>
  <c r="B20" i="88"/>
  <c r="T19" i="88"/>
  <c r="P19" i="88"/>
  <c r="N19" i="88"/>
  <c r="L19" i="88"/>
  <c r="H19" i="88"/>
  <c r="D19" i="88"/>
  <c r="B19" i="88"/>
  <c r="T18" i="88" a="1"/>
  <c r="T18" i="88" s="1"/>
  <c r="P18" i="88" a="1"/>
  <c r="P18" i="88" s="1"/>
  <c r="L18" i="88"/>
  <c r="J18" i="88"/>
  <c r="H18" i="88" a="1"/>
  <c r="H18" i="88" s="1"/>
  <c r="D18" i="88" a="1"/>
  <c r="D18" i="88" s="1"/>
  <c r="H16" i="88"/>
  <c r="F16" i="88"/>
  <c r="D16" i="88"/>
  <c r="T14" i="88"/>
  <c r="Z14" i="88" s="1"/>
  <c r="P14" i="88"/>
  <c r="X14" i="88" s="1"/>
  <c r="N14" i="88"/>
  <c r="L14" i="88"/>
  <c r="H14" i="88"/>
  <c r="F14" i="88"/>
  <c r="D14" i="88"/>
  <c r="T12" i="88"/>
  <c r="P12" i="88"/>
  <c r="R34" i="88" s="1"/>
  <c r="H12" i="88"/>
  <c r="J27" i="88" s="1"/>
  <c r="D12" i="88"/>
  <c r="F29" i="88" s="1"/>
  <c r="D6" i="88"/>
  <c r="D4" i="88"/>
  <c r="Z29" i="87"/>
  <c r="X29" i="87"/>
  <c r="N29" i="87"/>
  <c r="L29" i="87"/>
  <c r="Z25" i="87"/>
  <c r="T25" i="87"/>
  <c r="P25" i="87"/>
  <c r="X25" i="87" s="1"/>
  <c r="H25" i="87"/>
  <c r="N25" i="87" s="1"/>
  <c r="D25" i="87"/>
  <c r="L25" i="87" s="1"/>
  <c r="Z23" i="87"/>
  <c r="X23" i="87"/>
  <c r="N23" i="87"/>
  <c r="L23" i="87"/>
  <c r="B23" i="87"/>
  <c r="T22" i="87"/>
  <c r="P22" i="87"/>
  <c r="H22" i="87"/>
  <c r="D22" i="87"/>
  <c r="L22" i="87" s="1"/>
  <c r="N22" i="87" s="1"/>
  <c r="B22" i="87"/>
  <c r="X21" i="87"/>
  <c r="Z21" i="87" s="1"/>
  <c r="N21" i="87"/>
  <c r="L21" i="87"/>
  <c r="B21" i="87"/>
  <c r="Z20" i="87"/>
  <c r="X20" i="87"/>
  <c r="T20" i="87"/>
  <c r="P20" i="87"/>
  <c r="H20" i="87"/>
  <c r="N20" i="87" s="1"/>
  <c r="D20" i="87"/>
  <c r="B20" i="87"/>
  <c r="T19" i="87" a="1"/>
  <c r="T19" i="87" s="1"/>
  <c r="P19" i="87" a="1"/>
  <c r="P19" i="87" s="1"/>
  <c r="H19" i="87" a="1"/>
  <c r="H19" i="87" s="1"/>
  <c r="D19" i="87" a="1"/>
  <c r="D19" i="87" s="1"/>
  <c r="T17" i="87"/>
  <c r="Z15" i="87"/>
  <c r="X15" i="87"/>
  <c r="T15" i="87"/>
  <c r="P15" i="87"/>
  <c r="L15" i="87"/>
  <c r="H15" i="87"/>
  <c r="N15" i="87" s="1"/>
  <c r="D15" i="87"/>
  <c r="T13" i="87"/>
  <c r="P13" i="87"/>
  <c r="H13" i="87"/>
  <c r="D13" i="87"/>
  <c r="B13" i="87"/>
  <c r="T12" i="87"/>
  <c r="V21" i="87" s="1"/>
  <c r="D12" i="87"/>
  <c r="D6" i="87"/>
  <c r="D4" i="87"/>
  <c r="Z71" i="86"/>
  <c r="X71" i="86"/>
  <c r="R71" i="86"/>
  <c r="N71" i="86"/>
  <c r="L71" i="86"/>
  <c r="J69" i="86"/>
  <c r="T67" i="86"/>
  <c r="P67" i="86"/>
  <c r="P66" i="86" s="1"/>
  <c r="X66" i="86" s="1"/>
  <c r="Z66" i="86" s="1"/>
  <c r="H67" i="86"/>
  <c r="D67" i="86"/>
  <c r="B67" i="86"/>
  <c r="T66" i="86"/>
  <c r="J66" i="86"/>
  <c r="F66" i="86"/>
  <c r="D66" i="86"/>
  <c r="Z64" i="86"/>
  <c r="X64" i="86"/>
  <c r="N64" i="86"/>
  <c r="L64" i="86"/>
  <c r="J64" i="86"/>
  <c r="F64" i="86"/>
  <c r="B64" i="86"/>
  <c r="T63" i="86"/>
  <c r="Z63" i="86" s="1"/>
  <c r="P63" i="86"/>
  <c r="N63" i="86"/>
  <c r="L63" i="86"/>
  <c r="H63" i="86"/>
  <c r="D63" i="86"/>
  <c r="B63" i="86"/>
  <c r="X62" i="86"/>
  <c r="Z62" i="86" s="1"/>
  <c r="N62" i="86"/>
  <c r="L62" i="86"/>
  <c r="B62" i="86"/>
  <c r="X61" i="86"/>
  <c r="Z61" i="86" s="1"/>
  <c r="T61" i="86"/>
  <c r="P61" i="86"/>
  <c r="J61" i="86"/>
  <c r="H61" i="86"/>
  <c r="D61" i="86"/>
  <c r="B61" i="86"/>
  <c r="Z60" i="86"/>
  <c r="X60" i="86"/>
  <c r="R60" i="86"/>
  <c r="N60" i="86"/>
  <c r="L60" i="86"/>
  <c r="B60" i="86"/>
  <c r="Z59" i="86"/>
  <c r="X59" i="86"/>
  <c r="R59" i="86"/>
  <c r="N59" i="86"/>
  <c r="L59" i="86"/>
  <c r="B59" i="86"/>
  <c r="Z58" i="86"/>
  <c r="X58" i="86"/>
  <c r="N58" i="86"/>
  <c r="L58" i="86"/>
  <c r="B58" i="86"/>
  <c r="Z57" i="86"/>
  <c r="X57" i="86"/>
  <c r="N57" i="86"/>
  <c r="L57" i="86"/>
  <c r="B57" i="86"/>
  <c r="Z56" i="86"/>
  <c r="X56" i="86"/>
  <c r="N56" i="86"/>
  <c r="L56" i="86"/>
  <c r="F56" i="86"/>
  <c r="B56" i="86"/>
  <c r="Z55" i="86"/>
  <c r="X55" i="86"/>
  <c r="N55" i="86"/>
  <c r="L55" i="86"/>
  <c r="J55" i="86"/>
  <c r="F55" i="86"/>
  <c r="B55" i="86"/>
  <c r="T54" i="86"/>
  <c r="Z54" i="86" s="1"/>
  <c r="P54" i="86"/>
  <c r="X54" i="86" s="1"/>
  <c r="N54" i="86"/>
  <c r="L54" i="86"/>
  <c r="H54" i="86"/>
  <c r="D54" i="86"/>
  <c r="B54" i="86"/>
  <c r="Z53" i="86"/>
  <c r="X53" i="86"/>
  <c r="N53" i="86"/>
  <c r="L53" i="86"/>
  <c r="B53" i="86"/>
  <c r="Z52" i="86"/>
  <c r="X52" i="86"/>
  <c r="T52" i="86"/>
  <c r="P52" i="86"/>
  <c r="L52" i="86"/>
  <c r="J52" i="86"/>
  <c r="H52" i="86"/>
  <c r="N52" i="86" s="1"/>
  <c r="D52" i="86"/>
  <c r="B52" i="86"/>
  <c r="Z51" i="86"/>
  <c r="X51" i="86"/>
  <c r="R51" i="86"/>
  <c r="N51" i="86"/>
  <c r="L51" i="86"/>
  <c r="B51" i="86"/>
  <c r="X50" i="86"/>
  <c r="V50" i="86"/>
  <c r="T50" i="86"/>
  <c r="Z50" i="86" s="1"/>
  <c r="P50" i="86"/>
  <c r="H50" i="86"/>
  <c r="N50" i="86" s="1"/>
  <c r="F50" i="86"/>
  <c r="D50" i="86"/>
  <c r="B50" i="86"/>
  <c r="Z49" i="86"/>
  <c r="X49" i="86"/>
  <c r="N49" i="86"/>
  <c r="L49" i="86"/>
  <c r="B49" i="86"/>
  <c r="Z48" i="86"/>
  <c r="X48" i="86"/>
  <c r="R48" i="86"/>
  <c r="N48" i="86"/>
  <c r="L48" i="86"/>
  <c r="B48" i="86"/>
  <c r="T47" i="86"/>
  <c r="P47" i="86"/>
  <c r="H47" i="86"/>
  <c r="F47" i="86"/>
  <c r="D47" i="86"/>
  <c r="L47" i="86" s="1"/>
  <c r="N47" i="86" s="1"/>
  <c r="B47" i="86"/>
  <c r="X46" i="86"/>
  <c r="Z46" i="86" s="1"/>
  <c r="N46" i="86"/>
  <c r="L46" i="86"/>
  <c r="J46" i="86"/>
  <c r="B46" i="86"/>
  <c r="T45" i="86"/>
  <c r="R45" i="86"/>
  <c r="P45" i="86"/>
  <c r="X45" i="86" s="1"/>
  <c r="Z45" i="86" s="1"/>
  <c r="H45" i="86"/>
  <c r="N45" i="86" s="1"/>
  <c r="D45" i="86"/>
  <c r="L45" i="86" s="1"/>
  <c r="B45" i="86"/>
  <c r="Z44" i="86"/>
  <c r="X44" i="86"/>
  <c r="N44" i="86"/>
  <c r="L44" i="86"/>
  <c r="F44" i="86"/>
  <c r="B44" i="86"/>
  <c r="T43" i="86"/>
  <c r="P43" i="86"/>
  <c r="X43" i="86" s="1"/>
  <c r="N43" i="86"/>
  <c r="L43" i="86"/>
  <c r="H43" i="86"/>
  <c r="D43" i="86"/>
  <c r="B43" i="86"/>
  <c r="Z42" i="86"/>
  <c r="X42" i="86"/>
  <c r="N42" i="86"/>
  <c r="L42" i="86"/>
  <c r="B42" i="86"/>
  <c r="Z41" i="86"/>
  <c r="X41" i="86"/>
  <c r="T41" i="86"/>
  <c r="P41" i="86"/>
  <c r="J41" i="86"/>
  <c r="H41" i="86"/>
  <c r="D41" i="86"/>
  <c r="B41" i="86"/>
  <c r="Z40" i="86"/>
  <c r="X40" i="86"/>
  <c r="R40" i="86"/>
  <c r="N40" i="86"/>
  <c r="L40" i="86"/>
  <c r="B40" i="86"/>
  <c r="Z39" i="86"/>
  <c r="X39" i="86"/>
  <c r="V39" i="86"/>
  <c r="R39" i="86"/>
  <c r="N39" i="86"/>
  <c r="L39" i="86"/>
  <c r="B39" i="86"/>
  <c r="X38" i="86"/>
  <c r="T38" i="86"/>
  <c r="Z38" i="86" s="1"/>
  <c r="P38" i="86"/>
  <c r="H38" i="86"/>
  <c r="F38" i="86"/>
  <c r="D38" i="86"/>
  <c r="B38" i="86"/>
  <c r="Z37" i="86"/>
  <c r="X37" i="86"/>
  <c r="N37" i="86"/>
  <c r="L37" i="86"/>
  <c r="B37" i="86"/>
  <c r="T36" i="86"/>
  <c r="Z36" i="86" s="1"/>
  <c r="R36" i="86"/>
  <c r="P36" i="86"/>
  <c r="H36" i="86"/>
  <c r="N36" i="86" s="1"/>
  <c r="D36" i="86"/>
  <c r="L36" i="86" s="1"/>
  <c r="B36" i="86"/>
  <c r="Z35" i="86"/>
  <c r="X35" i="86"/>
  <c r="N35" i="86"/>
  <c r="L35" i="86"/>
  <c r="J35" i="86"/>
  <c r="F35" i="86"/>
  <c r="B35" i="86"/>
  <c r="T34" i="86"/>
  <c r="Z34" i="86" s="1"/>
  <c r="P34" i="86"/>
  <c r="X34" i="86" s="1"/>
  <c r="N34" i="86"/>
  <c r="L34" i="86"/>
  <c r="H34" i="86"/>
  <c r="F34" i="86"/>
  <c r="D34" i="86"/>
  <c r="B34" i="86"/>
  <c r="Z33" i="86"/>
  <c r="X33" i="86"/>
  <c r="N33" i="86"/>
  <c r="L33" i="86"/>
  <c r="B33" i="86"/>
  <c r="Z32" i="86"/>
  <c r="X32" i="86"/>
  <c r="N32" i="86"/>
  <c r="L32" i="86"/>
  <c r="F32" i="86"/>
  <c r="B32" i="86"/>
  <c r="Z31" i="86"/>
  <c r="X31" i="86"/>
  <c r="N31" i="86"/>
  <c r="L31" i="86"/>
  <c r="J31" i="86"/>
  <c r="F31" i="86"/>
  <c r="B31" i="86"/>
  <c r="X30" i="86"/>
  <c r="Z30" i="86" s="1"/>
  <c r="N30" i="86"/>
  <c r="L30" i="86"/>
  <c r="J30" i="86"/>
  <c r="F30" i="86"/>
  <c r="B30" i="86"/>
  <c r="T29" i="86"/>
  <c r="R29" i="86"/>
  <c r="P29" i="86"/>
  <c r="X29" i="86" s="1"/>
  <c r="H29" i="86"/>
  <c r="N29" i="86" s="1"/>
  <c r="D29" i="86"/>
  <c r="L29" i="86" s="1"/>
  <c r="B29" i="86"/>
  <c r="Z28" i="86"/>
  <c r="X28" i="86"/>
  <c r="N28" i="86"/>
  <c r="L28" i="86"/>
  <c r="F28" i="86"/>
  <c r="B28" i="86"/>
  <c r="Z27" i="86"/>
  <c r="X27" i="86"/>
  <c r="N27" i="86"/>
  <c r="L27" i="86"/>
  <c r="J27" i="86"/>
  <c r="F27" i="86"/>
  <c r="B27" i="86"/>
  <c r="Z26" i="86"/>
  <c r="X26" i="86"/>
  <c r="N26" i="86"/>
  <c r="L26" i="86"/>
  <c r="J26" i="86"/>
  <c r="F26" i="86"/>
  <c r="B26" i="86"/>
  <c r="X25" i="86"/>
  <c r="Z25" i="86" s="1"/>
  <c r="N25" i="86"/>
  <c r="L25" i="86"/>
  <c r="B25" i="86"/>
  <c r="Z24" i="86"/>
  <c r="X24" i="86"/>
  <c r="R24" i="86"/>
  <c r="N24" i="86"/>
  <c r="L24" i="86"/>
  <c r="B24" i="86"/>
  <c r="Z23" i="86"/>
  <c r="X23" i="86"/>
  <c r="R23" i="86"/>
  <c r="N23" i="86"/>
  <c r="L23" i="86"/>
  <c r="F23" i="86"/>
  <c r="B23" i="86"/>
  <c r="Z22" i="86"/>
  <c r="X22" i="86"/>
  <c r="N22" i="86"/>
  <c r="L22" i="86"/>
  <c r="B22" i="86"/>
  <c r="Z21" i="86"/>
  <c r="X21" i="86"/>
  <c r="N21" i="86"/>
  <c r="L21" i="86"/>
  <c r="B21" i="86"/>
  <c r="Z20" i="86"/>
  <c r="X20" i="86"/>
  <c r="T20" i="86"/>
  <c r="R20" i="86"/>
  <c r="P20" i="86"/>
  <c r="L20" i="86"/>
  <c r="J20" i="86"/>
  <c r="H20" i="86"/>
  <c r="N20" i="86" s="1"/>
  <c r="D20" i="86"/>
  <c r="B20" i="86"/>
  <c r="V19" i="86"/>
  <c r="T19" i="86" a="1"/>
  <c r="T19" i="86" s="1"/>
  <c r="P19" i="86" a="1"/>
  <c r="P19" i="86" s="1"/>
  <c r="J19" i="86"/>
  <c r="H19" i="86" a="1"/>
  <c r="H19" i="86" s="1"/>
  <c r="D19" i="86" a="1"/>
  <c r="D19" i="86"/>
  <c r="V17" i="86"/>
  <c r="T17" i="86"/>
  <c r="F17" i="86"/>
  <c r="D17" i="86"/>
  <c r="Z15" i="86"/>
  <c r="X15" i="86"/>
  <c r="R15" i="86"/>
  <c r="N15" i="86"/>
  <c r="L15" i="86"/>
  <c r="J15" i="86"/>
  <c r="F15" i="86"/>
  <c r="B15" i="86"/>
  <c r="T14" i="86"/>
  <c r="P14" i="86"/>
  <c r="X14" i="86" s="1"/>
  <c r="N14" i="86"/>
  <c r="L14" i="86"/>
  <c r="H14" i="86"/>
  <c r="F14" i="86"/>
  <c r="D14" i="86"/>
  <c r="T12" i="86"/>
  <c r="V23" i="86" s="1"/>
  <c r="P12" i="86"/>
  <c r="R73" i="86" s="1"/>
  <c r="H12" i="86"/>
  <c r="J57" i="86" s="1"/>
  <c r="D12" i="86"/>
  <c r="F57" i="86" s="1"/>
  <c r="D6" i="86"/>
  <c r="D4" i="86"/>
  <c r="Z87" i="85"/>
  <c r="X87" i="85"/>
  <c r="N87" i="85"/>
  <c r="L87" i="85"/>
  <c r="T83" i="85"/>
  <c r="P83" i="85"/>
  <c r="H83" i="85"/>
  <c r="N83" i="85" s="1"/>
  <c r="D83" i="85"/>
  <c r="B83" i="85"/>
  <c r="Z80" i="85"/>
  <c r="X80" i="85"/>
  <c r="V80" i="85"/>
  <c r="N80" i="85"/>
  <c r="L80" i="85"/>
  <c r="B80" i="85"/>
  <c r="X79" i="85"/>
  <c r="V79" i="85"/>
  <c r="T79" i="85"/>
  <c r="Z79" i="85" s="1"/>
  <c r="P79" i="85"/>
  <c r="H79" i="85"/>
  <c r="D79" i="85"/>
  <c r="L79" i="85" s="1"/>
  <c r="B79" i="85"/>
  <c r="X78" i="85"/>
  <c r="Z78" i="85" s="1"/>
  <c r="N78" i="85"/>
  <c r="L78" i="85"/>
  <c r="B78" i="85"/>
  <c r="T77" i="85"/>
  <c r="P77" i="85"/>
  <c r="X77" i="85" s="1"/>
  <c r="H77" i="85"/>
  <c r="N77" i="85" s="1"/>
  <c r="D77" i="85"/>
  <c r="L77" i="85" s="1"/>
  <c r="B77" i="85"/>
  <c r="Z76" i="85"/>
  <c r="X76" i="85"/>
  <c r="N76" i="85"/>
  <c r="L76" i="85"/>
  <c r="B76" i="85"/>
  <c r="T75" i="85"/>
  <c r="P75" i="85"/>
  <c r="X75" i="85" s="1"/>
  <c r="N75" i="85"/>
  <c r="L75" i="85"/>
  <c r="H75" i="85"/>
  <c r="D75" i="85"/>
  <c r="B75" i="85"/>
  <c r="X74" i="85"/>
  <c r="Z74" i="85" s="1"/>
  <c r="L74" i="85"/>
  <c r="N74" i="85" s="1"/>
  <c r="B74" i="85"/>
  <c r="Z73" i="85"/>
  <c r="X73" i="85"/>
  <c r="N73" i="85"/>
  <c r="L73" i="85"/>
  <c r="B73" i="85"/>
  <c r="Z72" i="85"/>
  <c r="X72" i="85"/>
  <c r="N72" i="85"/>
  <c r="L72" i="85"/>
  <c r="B72" i="85"/>
  <c r="X71" i="85"/>
  <c r="Z71" i="85" s="1"/>
  <c r="N71" i="85"/>
  <c r="L71" i="85"/>
  <c r="B71" i="85"/>
  <c r="X70" i="85"/>
  <c r="Z70" i="85" s="1"/>
  <c r="N70" i="85"/>
  <c r="L70" i="85"/>
  <c r="B70" i="85"/>
  <c r="Z69" i="85"/>
  <c r="X69" i="85"/>
  <c r="N69" i="85"/>
  <c r="L69" i="85"/>
  <c r="B69" i="85"/>
  <c r="T68" i="85"/>
  <c r="P68" i="85"/>
  <c r="X68" i="85" s="1"/>
  <c r="H68" i="85"/>
  <c r="D68" i="85"/>
  <c r="L68" i="85" s="1"/>
  <c r="N68" i="85" s="1"/>
  <c r="B68" i="85"/>
  <c r="X67" i="85"/>
  <c r="Z67" i="85" s="1"/>
  <c r="N67" i="85"/>
  <c r="L67" i="85"/>
  <c r="B67" i="85"/>
  <c r="T66" i="85"/>
  <c r="P66" i="85"/>
  <c r="X66" i="85" s="1"/>
  <c r="Z66" i="85" s="1"/>
  <c r="H66" i="85"/>
  <c r="N66" i="85" s="1"/>
  <c r="D66" i="85"/>
  <c r="L66" i="85" s="1"/>
  <c r="B66" i="85"/>
  <c r="Z65" i="85"/>
  <c r="X65" i="85"/>
  <c r="N65" i="85"/>
  <c r="L65" i="85"/>
  <c r="B65" i="85"/>
  <c r="Z64" i="85"/>
  <c r="X64" i="85"/>
  <c r="N64" i="85"/>
  <c r="L64" i="85"/>
  <c r="B64" i="85"/>
  <c r="X63" i="85"/>
  <c r="Z63" i="85" s="1"/>
  <c r="L63" i="85"/>
  <c r="N63" i="85" s="1"/>
  <c r="B63" i="85"/>
  <c r="X62" i="85"/>
  <c r="Z62" i="85" s="1"/>
  <c r="L62" i="85"/>
  <c r="N62" i="85" s="1"/>
  <c r="B62" i="85"/>
  <c r="T61" i="85"/>
  <c r="P61" i="85"/>
  <c r="X61" i="85" s="1"/>
  <c r="H61" i="85"/>
  <c r="D61" i="85"/>
  <c r="L61" i="85" s="1"/>
  <c r="N61" i="85" s="1"/>
  <c r="B61" i="85"/>
  <c r="Z60" i="85"/>
  <c r="X60" i="85"/>
  <c r="N60" i="85"/>
  <c r="L60" i="85"/>
  <c r="B60" i="85"/>
  <c r="X59" i="85"/>
  <c r="Z59" i="85" s="1"/>
  <c r="L59" i="85"/>
  <c r="N59" i="85" s="1"/>
  <c r="B59" i="85"/>
  <c r="T58" i="85"/>
  <c r="P58" i="85"/>
  <c r="X58" i="85" s="1"/>
  <c r="Z58" i="85" s="1"/>
  <c r="H58" i="85"/>
  <c r="D58" i="85"/>
  <c r="B58" i="85"/>
  <c r="Z57" i="85"/>
  <c r="X57" i="85"/>
  <c r="N57" i="85"/>
  <c r="L57" i="85"/>
  <c r="B57" i="85"/>
  <c r="T56" i="85"/>
  <c r="P56" i="85"/>
  <c r="N56" i="85"/>
  <c r="L56" i="85"/>
  <c r="H56" i="85"/>
  <c r="D56" i="85"/>
  <c r="B56" i="85"/>
  <c r="X55" i="85"/>
  <c r="Z55" i="85" s="1"/>
  <c r="V55" i="85"/>
  <c r="L55" i="85"/>
  <c r="N55" i="85" s="1"/>
  <c r="B55" i="85"/>
  <c r="X54" i="85"/>
  <c r="Z54" i="85" s="1"/>
  <c r="T54" i="85"/>
  <c r="P54" i="85"/>
  <c r="H54" i="85"/>
  <c r="D54" i="85"/>
  <c r="L54" i="85" s="1"/>
  <c r="B54" i="85"/>
  <c r="Z53" i="85"/>
  <c r="X53" i="85"/>
  <c r="N53" i="85"/>
  <c r="L53" i="85"/>
  <c r="B53" i="85"/>
  <c r="T52" i="85"/>
  <c r="P52" i="85"/>
  <c r="N52" i="85"/>
  <c r="H52" i="85"/>
  <c r="D52" i="85"/>
  <c r="L52" i="85" s="1"/>
  <c r="B52" i="85"/>
  <c r="X51" i="85"/>
  <c r="Z51" i="85" s="1"/>
  <c r="L51" i="85"/>
  <c r="N51" i="85" s="1"/>
  <c r="B51" i="85"/>
  <c r="T50" i="85"/>
  <c r="P50" i="85"/>
  <c r="X50" i="85" s="1"/>
  <c r="Z50" i="85" s="1"/>
  <c r="H50" i="85"/>
  <c r="D50" i="85"/>
  <c r="B50" i="85"/>
  <c r="Z49" i="85"/>
  <c r="X49" i="85"/>
  <c r="N49" i="85"/>
  <c r="L49" i="85"/>
  <c r="B49" i="85"/>
  <c r="T48" i="85"/>
  <c r="P48" i="85"/>
  <c r="N48" i="85"/>
  <c r="L48" i="85"/>
  <c r="H48" i="85"/>
  <c r="D48" i="85"/>
  <c r="B48" i="85"/>
  <c r="X47" i="85"/>
  <c r="Z47" i="85" s="1"/>
  <c r="V47" i="85"/>
  <c r="L47" i="85"/>
  <c r="N47" i="85" s="1"/>
  <c r="B47" i="85"/>
  <c r="X46" i="85"/>
  <c r="Z46" i="85" s="1"/>
  <c r="L46" i="85"/>
  <c r="N46" i="85" s="1"/>
  <c r="B46" i="85"/>
  <c r="Z45" i="85"/>
  <c r="X45" i="85"/>
  <c r="T45" i="85"/>
  <c r="P45" i="85"/>
  <c r="L45" i="85"/>
  <c r="H45" i="85"/>
  <c r="N45" i="85" s="1"/>
  <c r="D45" i="85"/>
  <c r="B45" i="85"/>
  <c r="X44" i="85"/>
  <c r="Z44" i="85" s="1"/>
  <c r="V44" i="85"/>
  <c r="N44" i="85"/>
  <c r="L44" i="85"/>
  <c r="B44" i="85"/>
  <c r="X43" i="85"/>
  <c r="V43" i="85"/>
  <c r="T43" i="85"/>
  <c r="P43" i="85"/>
  <c r="H43" i="85"/>
  <c r="D43" i="85"/>
  <c r="L43" i="85" s="1"/>
  <c r="B43" i="85"/>
  <c r="X42" i="85"/>
  <c r="Z42" i="85" s="1"/>
  <c r="L42" i="85"/>
  <c r="N42" i="85" s="1"/>
  <c r="B42" i="85"/>
  <c r="T41" i="85"/>
  <c r="P41" i="85"/>
  <c r="X41" i="85" s="1"/>
  <c r="H41" i="85"/>
  <c r="N41" i="85" s="1"/>
  <c r="D41" i="85"/>
  <c r="L41" i="85" s="1"/>
  <c r="B41" i="85"/>
  <c r="Z40" i="85"/>
  <c r="X40" i="85"/>
  <c r="N40" i="85"/>
  <c r="L40" i="85"/>
  <c r="B40" i="85"/>
  <c r="T39" i="85"/>
  <c r="P39" i="85"/>
  <c r="X39" i="85" s="1"/>
  <c r="N39" i="85"/>
  <c r="L39" i="85"/>
  <c r="H39" i="85"/>
  <c r="D39" i="85"/>
  <c r="B39" i="85"/>
  <c r="Z38" i="85"/>
  <c r="X38" i="85"/>
  <c r="N38" i="85"/>
  <c r="L38" i="85"/>
  <c r="B38" i="85"/>
  <c r="Z37" i="85"/>
  <c r="X37" i="85"/>
  <c r="N37" i="85"/>
  <c r="L37" i="85"/>
  <c r="B37" i="85"/>
  <c r="Z36" i="85"/>
  <c r="X36" i="85"/>
  <c r="N36" i="85"/>
  <c r="L36" i="85"/>
  <c r="B36" i="85"/>
  <c r="X35" i="85"/>
  <c r="Z35" i="85" s="1"/>
  <c r="L35" i="85"/>
  <c r="N35" i="85" s="1"/>
  <c r="B35" i="85"/>
  <c r="X34" i="85"/>
  <c r="Z34" i="85" s="1"/>
  <c r="N34" i="85"/>
  <c r="L34" i="85"/>
  <c r="B34" i="85"/>
  <c r="T33" i="85"/>
  <c r="P33" i="85"/>
  <c r="H33" i="85"/>
  <c r="D33" i="85"/>
  <c r="L33" i="85" s="1"/>
  <c r="B33" i="85"/>
  <c r="Z32" i="85"/>
  <c r="X32" i="85"/>
  <c r="N32" i="85"/>
  <c r="L32" i="85"/>
  <c r="B32" i="85"/>
  <c r="X31" i="85"/>
  <c r="Z31" i="85" s="1"/>
  <c r="L31" i="85"/>
  <c r="N31" i="85" s="1"/>
  <c r="B31" i="85"/>
  <c r="X30" i="85"/>
  <c r="Z30" i="85" s="1"/>
  <c r="L30" i="85"/>
  <c r="N30" i="85" s="1"/>
  <c r="B30" i="85"/>
  <c r="Z29" i="85"/>
  <c r="X29" i="85"/>
  <c r="N29" i="85"/>
  <c r="L29" i="85"/>
  <c r="B29" i="85"/>
  <c r="Z28" i="85"/>
  <c r="X28" i="85"/>
  <c r="V28" i="85"/>
  <c r="N28" i="85"/>
  <c r="L28" i="85"/>
  <c r="B28" i="85"/>
  <c r="X27" i="85"/>
  <c r="Z27" i="85" s="1"/>
  <c r="V27" i="85"/>
  <c r="L27" i="85"/>
  <c r="N27" i="85" s="1"/>
  <c r="B27" i="85"/>
  <c r="Z26" i="85"/>
  <c r="X26" i="85"/>
  <c r="L26" i="85"/>
  <c r="N26" i="85" s="1"/>
  <c r="B26" i="85"/>
  <c r="Z25" i="85"/>
  <c r="X25" i="85"/>
  <c r="N25" i="85"/>
  <c r="L25" i="85"/>
  <c r="B25" i="85"/>
  <c r="Z24" i="85"/>
  <c r="X24" i="85"/>
  <c r="L24" i="85"/>
  <c r="N24" i="85" s="1"/>
  <c r="B24" i="85"/>
  <c r="T23" i="85"/>
  <c r="Z23" i="85" s="1"/>
  <c r="P23" i="85"/>
  <c r="X23" i="85" s="1"/>
  <c r="N23" i="85"/>
  <c r="L23" i="85"/>
  <c r="H23" i="85"/>
  <c r="D23" i="85"/>
  <c r="B23" i="85"/>
  <c r="T22" i="85" a="1"/>
  <c r="T22" i="85" s="1"/>
  <c r="P22" i="85" a="1"/>
  <c r="P22" i="85" s="1"/>
  <c r="H22" i="85" a="1"/>
  <c r="H22" i="85" s="1"/>
  <c r="D22" i="85" a="1"/>
  <c r="D22" i="85" s="1"/>
  <c r="L22" i="85" s="1"/>
  <c r="N22" i="85" s="1"/>
  <c r="X18" i="85"/>
  <c r="Z18" i="85" s="1"/>
  <c r="L18" i="85"/>
  <c r="N18" i="85" s="1"/>
  <c r="B18" i="85"/>
  <c r="X17" i="85"/>
  <c r="Z17" i="85" s="1"/>
  <c r="N17" i="85"/>
  <c r="L17" i="85"/>
  <c r="B17" i="85"/>
  <c r="T16" i="85"/>
  <c r="P16" i="85"/>
  <c r="X16" i="85" s="1"/>
  <c r="H16" i="85"/>
  <c r="D16" i="85"/>
  <c r="L16" i="85" s="1"/>
  <c r="N16" i="85" s="1"/>
  <c r="X14" i="85"/>
  <c r="Z14" i="85" s="1"/>
  <c r="T14" i="85"/>
  <c r="P14" i="85"/>
  <c r="H14" i="85"/>
  <c r="D14" i="85"/>
  <c r="B14" i="85"/>
  <c r="T13" i="85"/>
  <c r="P13" i="85"/>
  <c r="X13" i="85" s="1"/>
  <c r="Z13" i="85" s="1"/>
  <c r="L13" i="85"/>
  <c r="H13" i="85"/>
  <c r="D13" i="85"/>
  <c r="B13" i="85"/>
  <c r="T12" i="85"/>
  <c r="D6" i="85"/>
  <c r="D4" i="85"/>
  <c r="Z39" i="84"/>
  <c r="X39" i="84"/>
  <c r="L39" i="84"/>
  <c r="N39" i="84" s="1"/>
  <c r="X35" i="84"/>
  <c r="T35" i="84"/>
  <c r="Z35" i="84" s="1"/>
  <c r="P35" i="84"/>
  <c r="N35" i="84"/>
  <c r="L35" i="84"/>
  <c r="H35" i="84"/>
  <c r="D35" i="84"/>
  <c r="Z33" i="84"/>
  <c r="X33" i="84"/>
  <c r="N33" i="84"/>
  <c r="L33" i="84"/>
  <c r="B33" i="84"/>
  <c r="X32" i="84"/>
  <c r="Z32" i="84" s="1"/>
  <c r="N32" i="84"/>
  <c r="L32" i="84"/>
  <c r="B32" i="84"/>
  <c r="X31" i="84"/>
  <c r="Z31" i="84" s="1"/>
  <c r="T31" i="84"/>
  <c r="P31" i="84"/>
  <c r="J31" i="84"/>
  <c r="H31" i="84"/>
  <c r="D31" i="84"/>
  <c r="L31" i="84" s="1"/>
  <c r="B31" i="84"/>
  <c r="X30" i="84"/>
  <c r="Z30" i="84" s="1"/>
  <c r="R30" i="84"/>
  <c r="N30" i="84"/>
  <c r="L30" i="84"/>
  <c r="B30" i="84"/>
  <c r="T29" i="84"/>
  <c r="P29" i="84"/>
  <c r="H29" i="84"/>
  <c r="N29" i="84" s="1"/>
  <c r="D29" i="84"/>
  <c r="L29" i="84" s="1"/>
  <c r="B29" i="84"/>
  <c r="Z28" i="84"/>
  <c r="X28" i="84"/>
  <c r="N28" i="84"/>
  <c r="L28" i="84"/>
  <c r="J28" i="84"/>
  <c r="B28" i="84"/>
  <c r="T27" i="84"/>
  <c r="Z27" i="84" s="1"/>
  <c r="P27" i="84"/>
  <c r="X27" i="84" s="1"/>
  <c r="L27" i="84"/>
  <c r="H27" i="84"/>
  <c r="N27" i="84" s="1"/>
  <c r="D27" i="84"/>
  <c r="B27" i="84"/>
  <c r="Z26" i="84"/>
  <c r="X26" i="84"/>
  <c r="N26" i="84"/>
  <c r="L26" i="84"/>
  <c r="B26" i="84"/>
  <c r="T25" i="84"/>
  <c r="P25" i="84"/>
  <c r="L25" i="84"/>
  <c r="N25" i="84" s="1"/>
  <c r="H25" i="84"/>
  <c r="D25" i="84"/>
  <c r="B25" i="84"/>
  <c r="X24" i="84"/>
  <c r="Z24" i="84" s="1"/>
  <c r="N24" i="84"/>
  <c r="L24" i="84"/>
  <c r="B24" i="84"/>
  <c r="Z23" i="84"/>
  <c r="X23" i="84"/>
  <c r="T23" i="84"/>
  <c r="P23" i="84"/>
  <c r="J23" i="84"/>
  <c r="H23" i="84"/>
  <c r="N23" i="84" s="1"/>
  <c r="D23" i="84"/>
  <c r="L23" i="84" s="1"/>
  <c r="B23" i="84"/>
  <c r="Z22" i="84"/>
  <c r="X22" i="84"/>
  <c r="N22" i="84"/>
  <c r="L22" i="84"/>
  <c r="B22" i="84"/>
  <c r="T21" i="84"/>
  <c r="P21" i="84"/>
  <c r="H21" i="84"/>
  <c r="N21" i="84" s="1"/>
  <c r="D21" i="84"/>
  <c r="L21" i="84" s="1"/>
  <c r="B21" i="84"/>
  <c r="T20" i="84" a="1"/>
  <c r="T20" i="84" s="1"/>
  <c r="R20" i="84"/>
  <c r="P20" i="84" a="1"/>
  <c r="P20" i="84" s="1"/>
  <c r="X20" i="84" s="1"/>
  <c r="H20" i="84" a="1"/>
  <c r="H20" i="84" s="1"/>
  <c r="D20" i="84" a="1"/>
  <c r="D20" i="84" s="1"/>
  <c r="L20" i="84" s="1"/>
  <c r="P18" i="84"/>
  <c r="X16" i="84"/>
  <c r="Z16" i="84" s="1"/>
  <c r="N16" i="84"/>
  <c r="L16" i="84"/>
  <c r="B16" i="84"/>
  <c r="Z15" i="84"/>
  <c r="X15" i="84"/>
  <c r="T15" i="84"/>
  <c r="P15" i="84"/>
  <c r="J15" i="84"/>
  <c r="H15" i="84"/>
  <c r="N15" i="84" s="1"/>
  <c r="D15" i="84"/>
  <c r="T13" i="84"/>
  <c r="P13" i="84"/>
  <c r="N13" i="84"/>
  <c r="L13" i="84"/>
  <c r="H13" i="84"/>
  <c r="D13" i="84"/>
  <c r="D12" i="84" s="1"/>
  <c r="B13" i="84"/>
  <c r="P12" i="84"/>
  <c r="R22" i="84" s="1"/>
  <c r="N12" i="84"/>
  <c r="H12" i="84"/>
  <c r="J39" i="84" s="1"/>
  <c r="D6" i="84"/>
  <c r="D4" i="84"/>
  <c r="V45" i="83"/>
  <c r="Z40" i="83"/>
  <c r="X40" i="83"/>
  <c r="N40" i="83"/>
  <c r="L40" i="83"/>
  <c r="T36" i="83"/>
  <c r="Z36" i="83" s="1"/>
  <c r="P36" i="83"/>
  <c r="X36" i="83" s="1"/>
  <c r="N36" i="83"/>
  <c r="H36" i="83"/>
  <c r="D36" i="83"/>
  <c r="L36" i="83" s="1"/>
  <c r="X34" i="83"/>
  <c r="Z34" i="83" s="1"/>
  <c r="N34" i="83"/>
  <c r="L34" i="83"/>
  <c r="B34" i="83"/>
  <c r="X33" i="83"/>
  <c r="Z33" i="83" s="1"/>
  <c r="T33" i="83"/>
  <c r="P33" i="83"/>
  <c r="H33" i="83"/>
  <c r="N33" i="83" s="1"/>
  <c r="D33" i="83"/>
  <c r="B33" i="83"/>
  <c r="X32" i="83"/>
  <c r="Z32" i="83" s="1"/>
  <c r="R32" i="83"/>
  <c r="N32" i="83"/>
  <c r="L32" i="83"/>
  <c r="B32" i="83"/>
  <c r="T31" i="83"/>
  <c r="P31" i="83"/>
  <c r="X31" i="83" s="1"/>
  <c r="H31" i="83"/>
  <c r="N31" i="83" s="1"/>
  <c r="F31" i="83"/>
  <c r="D31" i="83"/>
  <c r="L31" i="83" s="1"/>
  <c r="B31" i="83"/>
  <c r="Z30" i="83"/>
  <c r="X30" i="83"/>
  <c r="L30" i="83"/>
  <c r="N30" i="83" s="1"/>
  <c r="B30" i="83"/>
  <c r="T29" i="83"/>
  <c r="Z29" i="83" s="1"/>
  <c r="P29" i="83"/>
  <c r="X29" i="83" s="1"/>
  <c r="H29" i="83"/>
  <c r="D29" i="83"/>
  <c r="B29" i="83"/>
  <c r="Z28" i="83"/>
  <c r="X28" i="83"/>
  <c r="L28" i="83"/>
  <c r="N28" i="83" s="1"/>
  <c r="B28" i="83"/>
  <c r="T27" i="83"/>
  <c r="R27" i="83"/>
  <c r="P27" i="83"/>
  <c r="L27" i="83"/>
  <c r="H27" i="83"/>
  <c r="N27" i="83" s="1"/>
  <c r="D27" i="83"/>
  <c r="B27" i="83"/>
  <c r="X26" i="83"/>
  <c r="Z26" i="83" s="1"/>
  <c r="V26" i="83"/>
  <c r="N26" i="83"/>
  <c r="L26" i="83"/>
  <c r="B26" i="83"/>
  <c r="T25" i="83"/>
  <c r="P25" i="83"/>
  <c r="N25" i="83"/>
  <c r="L25" i="83"/>
  <c r="H25" i="83"/>
  <c r="D25" i="83"/>
  <c r="B25" i="83"/>
  <c r="Z24" i="83"/>
  <c r="X24" i="83"/>
  <c r="N24" i="83"/>
  <c r="L24" i="83"/>
  <c r="B24" i="83"/>
  <c r="Z23" i="83"/>
  <c r="X23" i="83"/>
  <c r="N23" i="83"/>
  <c r="L23" i="83"/>
  <c r="B23" i="83"/>
  <c r="Z22" i="83"/>
  <c r="X22" i="83"/>
  <c r="N22" i="83"/>
  <c r="L22" i="83"/>
  <c r="B22" i="83"/>
  <c r="Z21" i="83"/>
  <c r="X21" i="83"/>
  <c r="N21" i="83"/>
  <c r="L21" i="83"/>
  <c r="J21" i="83"/>
  <c r="F21" i="83"/>
  <c r="B21" i="83"/>
  <c r="X20" i="83"/>
  <c r="Z20" i="83" s="1"/>
  <c r="N20" i="83"/>
  <c r="L20" i="83"/>
  <c r="J20" i="83"/>
  <c r="B20" i="83"/>
  <c r="T19" i="83"/>
  <c r="R19" i="83"/>
  <c r="P19" i="83"/>
  <c r="X19" i="83" s="1"/>
  <c r="Z19" i="83" s="1"/>
  <c r="N19" i="83"/>
  <c r="L19" i="83"/>
  <c r="J19" i="83"/>
  <c r="H19" i="83"/>
  <c r="D19" i="83"/>
  <c r="B19" i="83"/>
  <c r="T18" i="83" a="1"/>
  <c r="T18" i="83" s="1"/>
  <c r="P18" i="83" a="1"/>
  <c r="P18" i="83" s="1"/>
  <c r="J18" i="83"/>
  <c r="H18" i="83" a="1"/>
  <c r="H18" i="83" s="1"/>
  <c r="D18" i="83" a="1"/>
  <c r="D18" i="83" s="1"/>
  <c r="Z16" i="83"/>
  <c r="J16" i="83"/>
  <c r="H16" i="83"/>
  <c r="T14" i="83"/>
  <c r="T16" i="83" s="1"/>
  <c r="R14" i="83"/>
  <c r="P14" i="83"/>
  <c r="X14" i="83" s="1"/>
  <c r="N14" i="83"/>
  <c r="J14" i="83"/>
  <c r="H14" i="83"/>
  <c r="D14" i="83"/>
  <c r="L14" i="83" s="1"/>
  <c r="Z12" i="83"/>
  <c r="T12" i="83"/>
  <c r="V34" i="83" s="1"/>
  <c r="P12" i="83"/>
  <c r="R21" i="83" s="1"/>
  <c r="N12" i="83"/>
  <c r="H12" i="83"/>
  <c r="D12" i="83"/>
  <c r="D6" i="83"/>
  <c r="D4" i="83"/>
  <c r="V37" i="82"/>
  <c r="Z35" i="82"/>
  <c r="X35" i="82"/>
  <c r="N35" i="82"/>
  <c r="L35" i="82"/>
  <c r="J35" i="82"/>
  <c r="X31" i="82"/>
  <c r="V31" i="82"/>
  <c r="T31" i="82"/>
  <c r="Z31" i="82" s="1"/>
  <c r="P31" i="82"/>
  <c r="H31" i="82"/>
  <c r="N31" i="82" s="1"/>
  <c r="D31" i="82"/>
  <c r="L31" i="82" s="1"/>
  <c r="X29" i="82"/>
  <c r="Z29" i="82" s="1"/>
  <c r="L29" i="82"/>
  <c r="N29" i="82" s="1"/>
  <c r="B29" i="82"/>
  <c r="T28" i="82"/>
  <c r="R28" i="82"/>
  <c r="P28" i="82"/>
  <c r="X28" i="82" s="1"/>
  <c r="Z28" i="82" s="1"/>
  <c r="N28" i="82"/>
  <c r="L28" i="82"/>
  <c r="H28" i="82"/>
  <c r="D28" i="82"/>
  <c r="B28" i="82"/>
  <c r="Z27" i="82"/>
  <c r="X27" i="82"/>
  <c r="N27" i="82"/>
  <c r="L27" i="82"/>
  <c r="B27" i="82"/>
  <c r="Z26" i="82"/>
  <c r="X26" i="82"/>
  <c r="T26" i="82"/>
  <c r="P26" i="82"/>
  <c r="N26" i="82"/>
  <c r="L26" i="82"/>
  <c r="H26" i="82"/>
  <c r="D26" i="82"/>
  <c r="B26" i="82"/>
  <c r="X25" i="82"/>
  <c r="Z25" i="82" s="1"/>
  <c r="V25" i="82"/>
  <c r="N25" i="82"/>
  <c r="L25" i="82"/>
  <c r="B25" i="82"/>
  <c r="Z24" i="82"/>
  <c r="X24" i="82"/>
  <c r="N24" i="82"/>
  <c r="L24" i="82"/>
  <c r="B24" i="82"/>
  <c r="T23" i="82"/>
  <c r="X23" i="82" s="1"/>
  <c r="Z23" i="82" s="1"/>
  <c r="P23" i="82"/>
  <c r="L23" i="82"/>
  <c r="H23" i="82"/>
  <c r="D23" i="82"/>
  <c r="B23" i="82"/>
  <c r="X22" i="82"/>
  <c r="Z22" i="82" s="1"/>
  <c r="V22" i="82"/>
  <c r="R22" i="82"/>
  <c r="N22" i="82"/>
  <c r="L22" i="82"/>
  <c r="B22" i="82"/>
  <c r="X21" i="82"/>
  <c r="V21" i="82"/>
  <c r="T21" i="82"/>
  <c r="P21" i="82"/>
  <c r="H21" i="82"/>
  <c r="N21" i="82" s="1"/>
  <c r="F21" i="82"/>
  <c r="D21" i="82"/>
  <c r="B21" i="82"/>
  <c r="Z20" i="82"/>
  <c r="X20" i="82"/>
  <c r="N20" i="82"/>
  <c r="L20" i="82"/>
  <c r="B20" i="82"/>
  <c r="T19" i="82"/>
  <c r="R19" i="82"/>
  <c r="P19" i="82"/>
  <c r="H19" i="82"/>
  <c r="D19" i="82"/>
  <c r="L19" i="82" s="1"/>
  <c r="N19" i="82" s="1"/>
  <c r="B19" i="82"/>
  <c r="T18" i="82" a="1"/>
  <c r="T18" i="82" s="1"/>
  <c r="P18" i="82" a="1"/>
  <c r="P18" i="82"/>
  <c r="X18" i="82" s="1"/>
  <c r="H18" i="82" a="1"/>
  <c r="H18" i="82" s="1"/>
  <c r="D18" i="82" a="1"/>
  <c r="D18" i="82"/>
  <c r="L18" i="82" s="1"/>
  <c r="V14" i="82"/>
  <c r="T14" i="82"/>
  <c r="Z14" i="82" s="1"/>
  <c r="P14" i="82"/>
  <c r="X14" i="82" s="1"/>
  <c r="N14" i="82"/>
  <c r="H14" i="82"/>
  <c r="D14" i="82"/>
  <c r="L14" i="82" s="1"/>
  <c r="T12" i="82"/>
  <c r="V24" i="82" s="1"/>
  <c r="P12" i="82"/>
  <c r="R25" i="82" s="1"/>
  <c r="H12" i="82"/>
  <c r="J23" i="82" s="1"/>
  <c r="D12" i="82"/>
  <c r="D6" i="82"/>
  <c r="D4" i="82"/>
  <c r="Z77" i="81"/>
  <c r="X77" i="81"/>
  <c r="N77" i="81"/>
  <c r="L77" i="81"/>
  <c r="X73" i="81"/>
  <c r="Z73" i="81" s="1"/>
  <c r="T73" i="81"/>
  <c r="P73" i="81"/>
  <c r="H73" i="81"/>
  <c r="D73" i="81"/>
  <c r="B73" i="81"/>
  <c r="T72" i="81"/>
  <c r="R72" i="81"/>
  <c r="P72" i="81"/>
  <c r="H72" i="81"/>
  <c r="D72" i="81"/>
  <c r="B72" i="81"/>
  <c r="X69" i="81"/>
  <c r="Z69" i="81" s="1"/>
  <c r="V69" i="81"/>
  <c r="N69" i="81"/>
  <c r="L69" i="81"/>
  <c r="B69" i="81"/>
  <c r="X68" i="81"/>
  <c r="T68" i="81"/>
  <c r="Z68" i="81" s="1"/>
  <c r="P68" i="81"/>
  <c r="H68" i="81"/>
  <c r="D68" i="81"/>
  <c r="L68" i="81" s="1"/>
  <c r="B68" i="81"/>
  <c r="Z67" i="81"/>
  <c r="X67" i="81"/>
  <c r="N67" i="81"/>
  <c r="L67" i="81"/>
  <c r="B67" i="81"/>
  <c r="Z66" i="81"/>
  <c r="X66" i="81"/>
  <c r="R66" i="81"/>
  <c r="N66" i="81"/>
  <c r="L66" i="81"/>
  <c r="B66" i="81"/>
  <c r="V65" i="81"/>
  <c r="T65" i="81"/>
  <c r="P65" i="81"/>
  <c r="N65" i="81"/>
  <c r="H65" i="81"/>
  <c r="D65" i="81"/>
  <c r="L65" i="81" s="1"/>
  <c r="B65" i="81"/>
  <c r="X64" i="81"/>
  <c r="Z64" i="81" s="1"/>
  <c r="L64" i="81"/>
  <c r="N64" i="81" s="1"/>
  <c r="B64" i="81"/>
  <c r="T63" i="81"/>
  <c r="P63" i="81"/>
  <c r="X63" i="81" s="1"/>
  <c r="Z63" i="81" s="1"/>
  <c r="N63" i="81"/>
  <c r="L63" i="81"/>
  <c r="H63" i="81"/>
  <c r="D63" i="81"/>
  <c r="B63" i="81"/>
  <c r="Z62" i="81"/>
  <c r="X62" i="81"/>
  <c r="N62" i="81"/>
  <c r="L62" i="81"/>
  <c r="B62" i="81"/>
  <c r="Z61" i="81"/>
  <c r="X61" i="81"/>
  <c r="N61" i="81"/>
  <c r="L61" i="81"/>
  <c r="B61" i="81"/>
  <c r="Z60" i="81"/>
  <c r="T60" i="81"/>
  <c r="P60" i="81"/>
  <c r="X60" i="81" s="1"/>
  <c r="N60" i="81"/>
  <c r="H60" i="81"/>
  <c r="L60" i="81" s="1"/>
  <c r="D60" i="81"/>
  <c r="B60" i="81"/>
  <c r="X59" i="81"/>
  <c r="Z59" i="81" s="1"/>
  <c r="V59" i="81"/>
  <c r="L59" i="81"/>
  <c r="N59" i="81" s="1"/>
  <c r="B59" i="81"/>
  <c r="T58" i="81"/>
  <c r="P58" i="81"/>
  <c r="J58" i="81"/>
  <c r="H58" i="81"/>
  <c r="D58" i="81"/>
  <c r="L58" i="81" s="1"/>
  <c r="B58" i="81"/>
  <c r="Z57" i="81"/>
  <c r="X57" i="81"/>
  <c r="R57" i="81"/>
  <c r="N57" i="81"/>
  <c r="L57" i="81"/>
  <c r="F57" i="81"/>
  <c r="B57" i="81"/>
  <c r="X56" i="81"/>
  <c r="Z56" i="81" s="1"/>
  <c r="R56" i="81"/>
  <c r="N56" i="81"/>
  <c r="L56" i="81"/>
  <c r="B56" i="81"/>
  <c r="Z55" i="81"/>
  <c r="X55" i="81"/>
  <c r="R55" i="81"/>
  <c r="N55" i="81"/>
  <c r="L55" i="81"/>
  <c r="B55" i="81"/>
  <c r="T54" i="81"/>
  <c r="X54" i="81" s="1"/>
  <c r="Z54" i="81" s="1"/>
  <c r="R54" i="81"/>
  <c r="P54" i="81"/>
  <c r="H54" i="81"/>
  <c r="D54" i="81"/>
  <c r="B54" i="81"/>
  <c r="Z53" i="81"/>
  <c r="X53" i="81"/>
  <c r="N53" i="81"/>
  <c r="L53" i="81"/>
  <c r="B53" i="81"/>
  <c r="Z52" i="81"/>
  <c r="X52" i="81"/>
  <c r="R52" i="81"/>
  <c r="N52" i="81"/>
  <c r="L52" i="81"/>
  <c r="F52" i="81"/>
  <c r="B52" i="81"/>
  <c r="X51" i="81"/>
  <c r="Z51" i="81" s="1"/>
  <c r="V51" i="81"/>
  <c r="L51" i="81"/>
  <c r="N51" i="81" s="1"/>
  <c r="J51" i="81"/>
  <c r="B51" i="81"/>
  <c r="X50" i="81"/>
  <c r="Z50" i="81" s="1"/>
  <c r="N50" i="81"/>
  <c r="L50" i="81"/>
  <c r="B50" i="81"/>
  <c r="Z49" i="81"/>
  <c r="T49" i="81"/>
  <c r="R49" i="81"/>
  <c r="P49" i="81"/>
  <c r="X49" i="81" s="1"/>
  <c r="L49" i="81"/>
  <c r="N49" i="81" s="1"/>
  <c r="J49" i="81"/>
  <c r="H49" i="81"/>
  <c r="D49" i="81"/>
  <c r="B49" i="81"/>
  <c r="X48" i="81"/>
  <c r="Z48" i="81" s="1"/>
  <c r="R48" i="81"/>
  <c r="N48" i="81"/>
  <c r="L48" i="81"/>
  <c r="F48" i="81"/>
  <c r="B48" i="81"/>
  <c r="X47" i="81"/>
  <c r="Z47" i="81" s="1"/>
  <c r="V47" i="81"/>
  <c r="T47" i="81"/>
  <c r="P47" i="81"/>
  <c r="H47" i="81"/>
  <c r="L47" i="81" s="1"/>
  <c r="N47" i="81" s="1"/>
  <c r="F47" i="81"/>
  <c r="D47" i="81"/>
  <c r="B47" i="81"/>
  <c r="X46" i="81"/>
  <c r="Z46" i="81" s="1"/>
  <c r="N46" i="81"/>
  <c r="L46" i="81"/>
  <c r="B46" i="81"/>
  <c r="Z45" i="81"/>
  <c r="T45" i="81"/>
  <c r="X45" i="81" s="1"/>
  <c r="R45" i="81"/>
  <c r="P45" i="81"/>
  <c r="J45" i="81"/>
  <c r="H45" i="81"/>
  <c r="N45" i="81" s="1"/>
  <c r="D45" i="81"/>
  <c r="L45" i="81" s="1"/>
  <c r="B45" i="81"/>
  <c r="Z44" i="81"/>
  <c r="X44" i="81"/>
  <c r="R44" i="81"/>
  <c r="N44" i="81"/>
  <c r="L44" i="81"/>
  <c r="F44" i="81"/>
  <c r="B44" i="81"/>
  <c r="V43" i="81"/>
  <c r="T43" i="81"/>
  <c r="Z43" i="81" s="1"/>
  <c r="P43" i="81"/>
  <c r="X43" i="81" s="1"/>
  <c r="N43" i="81"/>
  <c r="H43" i="81"/>
  <c r="F43" i="81"/>
  <c r="D43" i="81"/>
  <c r="L43" i="81" s="1"/>
  <c r="B43" i="81"/>
  <c r="X42" i="81"/>
  <c r="Z42" i="81" s="1"/>
  <c r="L42" i="81"/>
  <c r="N42" i="81" s="1"/>
  <c r="B42" i="81"/>
  <c r="Z41" i="81"/>
  <c r="T41" i="81"/>
  <c r="R41" i="81"/>
  <c r="P41" i="81"/>
  <c r="X41" i="81" s="1"/>
  <c r="L41" i="81"/>
  <c r="J41" i="81"/>
  <c r="H41" i="81"/>
  <c r="N41" i="81" s="1"/>
  <c r="D41" i="81"/>
  <c r="B41" i="81"/>
  <c r="Z40" i="81"/>
  <c r="X40" i="81"/>
  <c r="R40" i="81"/>
  <c r="N40" i="81"/>
  <c r="L40" i="81"/>
  <c r="F40" i="81"/>
  <c r="B40" i="81"/>
  <c r="X39" i="81"/>
  <c r="V39" i="81"/>
  <c r="T39" i="81"/>
  <c r="Z39" i="81" s="1"/>
  <c r="P39" i="81"/>
  <c r="N39" i="81"/>
  <c r="H39" i="81"/>
  <c r="L39" i="81" s="1"/>
  <c r="F39" i="81"/>
  <c r="D39" i="81"/>
  <c r="B39" i="81"/>
  <c r="X38" i="81"/>
  <c r="Z38" i="81" s="1"/>
  <c r="L38" i="81"/>
  <c r="N38" i="81" s="1"/>
  <c r="B38" i="81"/>
  <c r="Z37" i="81"/>
  <c r="X37" i="81"/>
  <c r="N37" i="81"/>
  <c r="L37" i="81"/>
  <c r="B37" i="81"/>
  <c r="V36" i="81"/>
  <c r="T36" i="81"/>
  <c r="P36" i="81"/>
  <c r="H36" i="81"/>
  <c r="F36" i="81"/>
  <c r="D36" i="81"/>
  <c r="L36" i="81" s="1"/>
  <c r="N36" i="81" s="1"/>
  <c r="B36" i="81"/>
  <c r="X35" i="81"/>
  <c r="Z35" i="81" s="1"/>
  <c r="V35" i="81"/>
  <c r="L35" i="81"/>
  <c r="N35" i="81" s="1"/>
  <c r="J35" i="81"/>
  <c r="B35" i="81"/>
  <c r="X34" i="81"/>
  <c r="Z34" i="81" s="1"/>
  <c r="T34" i="81"/>
  <c r="P34" i="81"/>
  <c r="H34" i="81"/>
  <c r="D34" i="81"/>
  <c r="B34" i="81"/>
  <c r="Z33" i="81"/>
  <c r="X33" i="81"/>
  <c r="N33" i="81"/>
  <c r="L33" i="81"/>
  <c r="F33" i="81"/>
  <c r="B33" i="81"/>
  <c r="Z32" i="81"/>
  <c r="X32" i="81"/>
  <c r="R32" i="81"/>
  <c r="N32" i="81"/>
  <c r="L32" i="81"/>
  <c r="F32" i="81"/>
  <c r="B32" i="81"/>
  <c r="Z31" i="81"/>
  <c r="X31" i="81"/>
  <c r="V31" i="81"/>
  <c r="N31" i="81"/>
  <c r="L31" i="81"/>
  <c r="J31" i="81"/>
  <c r="B31" i="81"/>
  <c r="X30" i="81"/>
  <c r="Z30" i="81" s="1"/>
  <c r="N30" i="81"/>
  <c r="L30" i="81"/>
  <c r="B30" i="81"/>
  <c r="Z29" i="81"/>
  <c r="X29" i="81"/>
  <c r="N29" i="81"/>
  <c r="L29" i="81"/>
  <c r="B29" i="81"/>
  <c r="V28" i="81"/>
  <c r="T28" i="81"/>
  <c r="P28" i="81"/>
  <c r="H28" i="81"/>
  <c r="F28" i="81"/>
  <c r="D28" i="81"/>
  <c r="L28" i="81" s="1"/>
  <c r="N28" i="81" s="1"/>
  <c r="B28" i="81"/>
  <c r="X27" i="81"/>
  <c r="Z27" i="81" s="1"/>
  <c r="V27" i="81"/>
  <c r="L27" i="81"/>
  <c r="N27" i="81" s="1"/>
  <c r="J27" i="81"/>
  <c r="B27" i="81"/>
  <c r="X26" i="81"/>
  <c r="Z26" i="81" s="1"/>
  <c r="L26" i="81"/>
  <c r="N26" i="81" s="1"/>
  <c r="B26" i="81"/>
  <c r="Z25" i="81"/>
  <c r="X25" i="81"/>
  <c r="N25" i="81"/>
  <c r="L25" i="81"/>
  <c r="F25" i="81"/>
  <c r="B25" i="81"/>
  <c r="X24" i="81"/>
  <c r="Z24" i="81" s="1"/>
  <c r="V24" i="81"/>
  <c r="R24" i="81"/>
  <c r="L24" i="81"/>
  <c r="N24" i="81" s="1"/>
  <c r="F24" i="81"/>
  <c r="B24" i="81"/>
  <c r="X23" i="81"/>
  <c r="Z23" i="81" s="1"/>
  <c r="V23" i="81"/>
  <c r="L23" i="81"/>
  <c r="N23" i="81" s="1"/>
  <c r="J23" i="81"/>
  <c r="B23" i="81"/>
  <c r="X22" i="81"/>
  <c r="Z22" i="81" s="1"/>
  <c r="L22" i="81"/>
  <c r="N22" i="81" s="1"/>
  <c r="B22" i="81"/>
  <c r="Z21" i="81"/>
  <c r="X21" i="81"/>
  <c r="N21" i="81"/>
  <c r="L21" i="81"/>
  <c r="F21" i="81"/>
  <c r="B21" i="81"/>
  <c r="X20" i="81"/>
  <c r="Z20" i="81" s="1"/>
  <c r="V20" i="81"/>
  <c r="R20" i="81"/>
  <c r="L20" i="81"/>
  <c r="N20" i="81" s="1"/>
  <c r="F20" i="81"/>
  <c r="B20" i="81"/>
  <c r="V19" i="81"/>
  <c r="T19" i="81"/>
  <c r="P19" i="81"/>
  <c r="X19" i="81" s="1"/>
  <c r="Z19" i="81" s="1"/>
  <c r="N19" i="81"/>
  <c r="H19" i="81"/>
  <c r="L19" i="81" s="1"/>
  <c r="F19" i="81"/>
  <c r="D19" i="81"/>
  <c r="B19" i="81"/>
  <c r="X18" i="81"/>
  <c r="Z18" i="81" s="1"/>
  <c r="T18" i="81" a="1"/>
  <c r="T18" i="81" s="1"/>
  <c r="R18" i="81"/>
  <c r="P18" i="81" a="1"/>
  <c r="P18" i="81" s="1"/>
  <c r="H18" i="81" a="1"/>
  <c r="H18" i="81" s="1"/>
  <c r="F18" i="81"/>
  <c r="D18" i="81" a="1"/>
  <c r="D18" i="81" s="1"/>
  <c r="Z16" i="81"/>
  <c r="T16" i="81"/>
  <c r="J16" i="81"/>
  <c r="D16" i="81"/>
  <c r="Z14" i="81"/>
  <c r="V14" i="81"/>
  <c r="T14" i="81"/>
  <c r="R14" i="81"/>
  <c r="P14" i="81"/>
  <c r="H14" i="81"/>
  <c r="H16" i="81" s="1"/>
  <c r="F14" i="81"/>
  <c r="D14" i="81"/>
  <c r="Z12" i="81"/>
  <c r="X12" i="81"/>
  <c r="T12" i="81"/>
  <c r="V54" i="81" s="1"/>
  <c r="P12" i="81"/>
  <c r="R82" i="81" s="1"/>
  <c r="L12" i="81"/>
  <c r="H12" i="81"/>
  <c r="J47" i="81" s="1"/>
  <c r="D12" i="81"/>
  <c r="F54" i="81" s="1"/>
  <c r="D6" i="81"/>
  <c r="D4" i="81"/>
  <c r="T36" i="80"/>
  <c r="Z34" i="80"/>
  <c r="X34" i="80"/>
  <c r="R34" i="80"/>
  <c r="N34" i="80"/>
  <c r="L34" i="80"/>
  <c r="F34" i="80"/>
  <c r="T32" i="80"/>
  <c r="T30" i="80"/>
  <c r="Z30" i="80" s="1"/>
  <c r="P30" i="80"/>
  <c r="N30" i="80"/>
  <c r="H30" i="80"/>
  <c r="D30" i="80"/>
  <c r="X28" i="80"/>
  <c r="Z28" i="80" s="1"/>
  <c r="R28" i="80"/>
  <c r="N28" i="80"/>
  <c r="L28" i="80"/>
  <c r="F28" i="80"/>
  <c r="B28" i="80"/>
  <c r="V27" i="80"/>
  <c r="T27" i="80"/>
  <c r="P27" i="80"/>
  <c r="X27" i="80" s="1"/>
  <c r="Z27" i="80" s="1"/>
  <c r="N27" i="80"/>
  <c r="H27" i="80"/>
  <c r="F27" i="80"/>
  <c r="D27" i="80"/>
  <c r="L27" i="80" s="1"/>
  <c r="B27" i="80"/>
  <c r="X26" i="80"/>
  <c r="Z26" i="80" s="1"/>
  <c r="L26" i="80"/>
  <c r="N26" i="80" s="1"/>
  <c r="B26" i="80"/>
  <c r="T25" i="80"/>
  <c r="R25" i="80"/>
  <c r="P25" i="80"/>
  <c r="X25" i="80" s="1"/>
  <c r="Z25" i="80" s="1"/>
  <c r="L25" i="80"/>
  <c r="J25" i="80"/>
  <c r="H25" i="80"/>
  <c r="N25" i="80" s="1"/>
  <c r="D25" i="80"/>
  <c r="B25" i="80"/>
  <c r="Z24" i="80"/>
  <c r="X24" i="80"/>
  <c r="R24" i="80"/>
  <c r="N24" i="80"/>
  <c r="L24" i="80"/>
  <c r="F24" i="80"/>
  <c r="B24" i="80"/>
  <c r="X23" i="80"/>
  <c r="V23" i="80"/>
  <c r="T23" i="80"/>
  <c r="Z23" i="80" s="1"/>
  <c r="P23" i="80"/>
  <c r="N23" i="80"/>
  <c r="H23" i="80"/>
  <c r="L23" i="80" s="1"/>
  <c r="F23" i="80"/>
  <c r="D23" i="80"/>
  <c r="B23" i="80"/>
  <c r="X22" i="80"/>
  <c r="Z22" i="80" s="1"/>
  <c r="L22" i="80"/>
  <c r="N22" i="80" s="1"/>
  <c r="B22" i="80"/>
  <c r="T21" i="80"/>
  <c r="X21" i="80" s="1"/>
  <c r="Z21" i="80" s="1"/>
  <c r="R21" i="80"/>
  <c r="P21" i="80"/>
  <c r="J21" i="80"/>
  <c r="H21" i="80"/>
  <c r="N21" i="80" s="1"/>
  <c r="D21" i="80"/>
  <c r="L21" i="80" s="1"/>
  <c r="B21" i="80"/>
  <c r="X20" i="80"/>
  <c r="Z20" i="80" s="1"/>
  <c r="R20" i="80"/>
  <c r="N20" i="80"/>
  <c r="L20" i="80"/>
  <c r="F20" i="80"/>
  <c r="B20" i="80"/>
  <c r="V19" i="80"/>
  <c r="T19" i="80"/>
  <c r="Z19" i="80" s="1"/>
  <c r="P19" i="80"/>
  <c r="X19" i="80" s="1"/>
  <c r="N19" i="80"/>
  <c r="H19" i="80"/>
  <c r="F19" i="80"/>
  <c r="D19" i="80"/>
  <c r="L19" i="80" s="1"/>
  <c r="B19" i="80"/>
  <c r="T18" i="80" a="1"/>
  <c r="T18" i="80" s="1"/>
  <c r="R18" i="80"/>
  <c r="P18" i="80" a="1"/>
  <c r="P18" i="80" s="1"/>
  <c r="X18" i="80" s="1"/>
  <c r="H18" i="80" a="1"/>
  <c r="H18" i="80" s="1"/>
  <c r="F18" i="80"/>
  <c r="D18" i="80" a="1"/>
  <c r="D18" i="80" s="1"/>
  <c r="L18" i="80" s="1"/>
  <c r="T16" i="80"/>
  <c r="Z16" i="80" s="1"/>
  <c r="H16" i="80"/>
  <c r="D16" i="80"/>
  <c r="L16" i="80" s="1"/>
  <c r="Z14" i="80"/>
  <c r="V14" i="80"/>
  <c r="T14" i="80"/>
  <c r="P14" i="80"/>
  <c r="X14" i="80" s="1"/>
  <c r="H14" i="80"/>
  <c r="F14" i="80"/>
  <c r="D14" i="80"/>
  <c r="Z12" i="80"/>
  <c r="X12" i="80"/>
  <c r="T12" i="80"/>
  <c r="V22" i="80" s="1"/>
  <c r="P12" i="80"/>
  <c r="R39" i="80" s="1"/>
  <c r="L12" i="80"/>
  <c r="H12" i="80"/>
  <c r="J36" i="80" s="1"/>
  <c r="D12" i="80"/>
  <c r="F26" i="80" s="1"/>
  <c r="D6" i="80"/>
  <c r="D4" i="80"/>
  <c r="Z86" i="79"/>
  <c r="X86" i="79"/>
  <c r="N86" i="79"/>
  <c r="L86" i="79"/>
  <c r="T82" i="79"/>
  <c r="P82" i="79"/>
  <c r="H82" i="79"/>
  <c r="N82" i="79" s="1"/>
  <c r="D82" i="79"/>
  <c r="D81" i="79" s="1"/>
  <c r="B82" i="79"/>
  <c r="X79" i="79"/>
  <c r="Z79" i="79" s="1"/>
  <c r="N79" i="79"/>
  <c r="L79" i="79"/>
  <c r="B79" i="79"/>
  <c r="X78" i="79"/>
  <c r="T78" i="79"/>
  <c r="P78" i="79"/>
  <c r="H78" i="79"/>
  <c r="D78" i="79"/>
  <c r="B78" i="79"/>
  <c r="Z77" i="79"/>
  <c r="X77" i="79"/>
  <c r="N77" i="79"/>
  <c r="L77" i="79"/>
  <c r="B77" i="79"/>
  <c r="T76" i="79"/>
  <c r="Z76" i="79" s="1"/>
  <c r="P76" i="79"/>
  <c r="H76" i="79"/>
  <c r="N76" i="79" s="1"/>
  <c r="D76" i="79"/>
  <c r="L76" i="79" s="1"/>
  <c r="B76" i="79"/>
  <c r="Z75" i="79"/>
  <c r="X75" i="79"/>
  <c r="N75" i="79"/>
  <c r="L75" i="79"/>
  <c r="B75" i="79"/>
  <c r="X74" i="79"/>
  <c r="T74" i="79"/>
  <c r="P74" i="79"/>
  <c r="H74" i="79"/>
  <c r="D74" i="79"/>
  <c r="B74" i="79"/>
  <c r="Z73" i="79"/>
  <c r="X73" i="79"/>
  <c r="N73" i="79"/>
  <c r="L73" i="79"/>
  <c r="B73" i="79"/>
  <c r="Z72" i="79"/>
  <c r="X72" i="79"/>
  <c r="N72" i="79"/>
  <c r="L72" i="79"/>
  <c r="F72" i="79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B69" i="79"/>
  <c r="Z68" i="79"/>
  <c r="X68" i="79"/>
  <c r="N68" i="79"/>
  <c r="L68" i="79"/>
  <c r="B68" i="79"/>
  <c r="X67" i="79"/>
  <c r="Z67" i="79" s="1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X64" i="79"/>
  <c r="T64" i="79"/>
  <c r="P64" i="79"/>
  <c r="H64" i="79"/>
  <c r="N64" i="79" s="1"/>
  <c r="D64" i="79"/>
  <c r="L64" i="79" s="1"/>
  <c r="B64" i="79"/>
  <c r="Z63" i="79"/>
  <c r="X63" i="79"/>
  <c r="N63" i="79"/>
  <c r="L63" i="79"/>
  <c r="B63" i="79"/>
  <c r="X62" i="79"/>
  <c r="T62" i="79"/>
  <c r="Z62" i="79" s="1"/>
  <c r="P62" i="79"/>
  <c r="H62" i="79"/>
  <c r="N62" i="79" s="1"/>
  <c r="D62" i="79"/>
  <c r="L62" i="79" s="1"/>
  <c r="B62" i="79"/>
  <c r="Z61" i="79"/>
  <c r="X61" i="79"/>
  <c r="N61" i="79"/>
  <c r="L61" i="79"/>
  <c r="B61" i="79"/>
  <c r="Z60" i="79"/>
  <c r="X60" i="79"/>
  <c r="N60" i="79"/>
  <c r="L60" i="79"/>
  <c r="B60" i="79"/>
  <c r="X59" i="79"/>
  <c r="Z59" i="79" s="1"/>
  <c r="L59" i="79"/>
  <c r="N59" i="79" s="1"/>
  <c r="B59" i="79"/>
  <c r="Z58" i="79"/>
  <c r="X58" i="79"/>
  <c r="N58" i="79"/>
  <c r="L58" i="79"/>
  <c r="B58" i="79"/>
  <c r="T57" i="79"/>
  <c r="P57" i="79"/>
  <c r="X57" i="79" s="1"/>
  <c r="H57" i="79"/>
  <c r="D57" i="79"/>
  <c r="L57" i="79" s="1"/>
  <c r="N57" i="79" s="1"/>
  <c r="B57" i="79"/>
  <c r="Z56" i="79"/>
  <c r="X56" i="79"/>
  <c r="N56" i="79"/>
  <c r="L56" i="79"/>
  <c r="B56" i="79"/>
  <c r="Z55" i="79"/>
  <c r="X55" i="79"/>
  <c r="L55" i="79"/>
  <c r="N55" i="79" s="1"/>
  <c r="B55" i="79"/>
  <c r="T54" i="79"/>
  <c r="P54" i="79"/>
  <c r="H54" i="79"/>
  <c r="N54" i="79" s="1"/>
  <c r="D54" i="79"/>
  <c r="L54" i="79" s="1"/>
  <c r="B54" i="79"/>
  <c r="Z53" i="79"/>
  <c r="X53" i="79"/>
  <c r="N53" i="79"/>
  <c r="L53" i="79"/>
  <c r="B53" i="79"/>
  <c r="T52" i="79"/>
  <c r="P52" i="79"/>
  <c r="X52" i="79" s="1"/>
  <c r="N52" i="79"/>
  <c r="L52" i="79"/>
  <c r="H52" i="79"/>
  <c r="D52" i="79"/>
  <c r="B52" i="79"/>
  <c r="Z51" i="79"/>
  <c r="X51" i="79"/>
  <c r="N51" i="79"/>
  <c r="L51" i="79"/>
  <c r="B51" i="79"/>
  <c r="Z50" i="79"/>
  <c r="X50" i="79"/>
  <c r="T50" i="79"/>
  <c r="P50" i="79"/>
  <c r="L50" i="79"/>
  <c r="H50" i="79"/>
  <c r="N50" i="79" s="1"/>
  <c r="D50" i="79"/>
  <c r="B50" i="79"/>
  <c r="Z49" i="79"/>
  <c r="X49" i="79"/>
  <c r="N49" i="79"/>
  <c r="L49" i="79"/>
  <c r="B49" i="79"/>
  <c r="X48" i="79"/>
  <c r="T48" i="79"/>
  <c r="Z48" i="79" s="1"/>
  <c r="P48" i="79"/>
  <c r="H48" i="79"/>
  <c r="N48" i="79" s="1"/>
  <c r="D48" i="79"/>
  <c r="L48" i="79" s="1"/>
  <c r="B48" i="79"/>
  <c r="Z47" i="79"/>
  <c r="X47" i="79"/>
  <c r="N47" i="79"/>
  <c r="L47" i="79"/>
  <c r="B47" i="79"/>
  <c r="T46" i="79"/>
  <c r="Z46" i="79" s="1"/>
  <c r="P46" i="79"/>
  <c r="X46" i="79" s="1"/>
  <c r="H46" i="79"/>
  <c r="N46" i="79" s="1"/>
  <c r="D46" i="79"/>
  <c r="L46" i="79" s="1"/>
  <c r="B46" i="79"/>
  <c r="Z45" i="79"/>
  <c r="X45" i="79"/>
  <c r="N45" i="79"/>
  <c r="L45" i="79"/>
  <c r="B45" i="79"/>
  <c r="Z44" i="79"/>
  <c r="X44" i="79"/>
  <c r="L44" i="79"/>
  <c r="N44" i="79" s="1"/>
  <c r="B44" i="79"/>
  <c r="T43" i="79"/>
  <c r="P43" i="79"/>
  <c r="X43" i="79" s="1"/>
  <c r="Z43" i="79" s="1"/>
  <c r="N43" i="79"/>
  <c r="L43" i="79"/>
  <c r="H43" i="79"/>
  <c r="D43" i="79"/>
  <c r="B43" i="79"/>
  <c r="Z42" i="79"/>
  <c r="X42" i="79"/>
  <c r="N42" i="79"/>
  <c r="L42" i="79"/>
  <c r="B42" i="79"/>
  <c r="Z41" i="79"/>
  <c r="X41" i="79"/>
  <c r="T41" i="79"/>
  <c r="P41" i="79"/>
  <c r="N41" i="79"/>
  <c r="L41" i="79"/>
  <c r="H41" i="79"/>
  <c r="D41" i="79"/>
  <c r="B41" i="79"/>
  <c r="Z40" i="79"/>
  <c r="X40" i="79"/>
  <c r="N40" i="79"/>
  <c r="L40" i="79"/>
  <c r="B40" i="79"/>
  <c r="Z39" i="79"/>
  <c r="X39" i="79"/>
  <c r="T39" i="79"/>
  <c r="P39" i="79"/>
  <c r="H39" i="79"/>
  <c r="N39" i="79" s="1"/>
  <c r="D39" i="79"/>
  <c r="L39" i="79" s="1"/>
  <c r="B39" i="79"/>
  <c r="Z38" i="79"/>
  <c r="X38" i="79"/>
  <c r="N38" i="79"/>
  <c r="L38" i="79"/>
  <c r="B38" i="79"/>
  <c r="T37" i="79"/>
  <c r="Z37" i="79" s="1"/>
  <c r="P37" i="79"/>
  <c r="N37" i="79"/>
  <c r="H37" i="79"/>
  <c r="F37" i="79"/>
  <c r="D37" i="79"/>
  <c r="L37" i="79" s="1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X32" i="79"/>
  <c r="T32" i="79"/>
  <c r="Z32" i="79" s="1"/>
  <c r="P32" i="79"/>
  <c r="H32" i="79"/>
  <c r="N32" i="79" s="1"/>
  <c r="F32" i="79"/>
  <c r="D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F25" i="79"/>
  <c r="B25" i="79"/>
  <c r="Z24" i="79"/>
  <c r="X24" i="79"/>
  <c r="N24" i="79"/>
  <c r="L24" i="79"/>
  <c r="B24" i="79"/>
  <c r="T23" i="79"/>
  <c r="P23" i="79"/>
  <c r="X23" i="79" s="1"/>
  <c r="Z23" i="79" s="1"/>
  <c r="N23" i="79"/>
  <c r="L23" i="79"/>
  <c r="H23" i="79"/>
  <c r="D23" i="79"/>
  <c r="B23" i="79"/>
  <c r="T22" i="79" a="1"/>
  <c r="T22" i="79" s="1"/>
  <c r="P22" i="79" a="1"/>
  <c r="P22" i="79"/>
  <c r="H22" i="79" a="1"/>
  <c r="H22" i="79" s="1"/>
  <c r="D22" i="79" a="1"/>
  <c r="D22" i="79" s="1"/>
  <c r="Z18" i="79"/>
  <c r="X18" i="79"/>
  <c r="N18" i="79"/>
  <c r="L18" i="79"/>
  <c r="B18" i="79"/>
  <c r="Z17" i="79"/>
  <c r="X17" i="79"/>
  <c r="N17" i="79"/>
  <c r="L17" i="79"/>
  <c r="B17" i="79"/>
  <c r="X16" i="79"/>
  <c r="T16" i="79"/>
  <c r="P16" i="79"/>
  <c r="H16" i="79"/>
  <c r="N16" i="79" s="1"/>
  <c r="F16" i="79"/>
  <c r="D16" i="79"/>
  <c r="Z14" i="79"/>
  <c r="T14" i="79"/>
  <c r="P14" i="79"/>
  <c r="X14" i="79" s="1"/>
  <c r="H14" i="79"/>
  <c r="N14" i="79" s="1"/>
  <c r="D14" i="79"/>
  <c r="B14" i="79"/>
  <c r="T13" i="79"/>
  <c r="Z13" i="79" s="1"/>
  <c r="P13" i="79"/>
  <c r="X13" i="79" s="1"/>
  <c r="N13" i="79"/>
  <c r="L13" i="79"/>
  <c r="H13" i="79"/>
  <c r="D13" i="79"/>
  <c r="D12" i="79" s="1"/>
  <c r="B13" i="79"/>
  <c r="P12" i="79"/>
  <c r="D6" i="79"/>
  <c r="D4" i="79"/>
  <c r="X32" i="78"/>
  <c r="Z32" i="78" s="1"/>
  <c r="N32" i="78"/>
  <c r="L32" i="78"/>
  <c r="T28" i="78"/>
  <c r="Z28" i="78" s="1"/>
  <c r="P28" i="78"/>
  <c r="X28" i="78" s="1"/>
  <c r="N28" i="78"/>
  <c r="L28" i="78"/>
  <c r="H28" i="78"/>
  <c r="D28" i="78"/>
  <c r="Z26" i="78"/>
  <c r="X26" i="78"/>
  <c r="N26" i="78"/>
  <c r="L26" i="78"/>
  <c r="B26" i="78"/>
  <c r="Z25" i="78"/>
  <c r="X25" i="78"/>
  <c r="T25" i="78"/>
  <c r="P25" i="78"/>
  <c r="H25" i="78"/>
  <c r="N25" i="78" s="1"/>
  <c r="D25" i="78"/>
  <c r="B25" i="78"/>
  <c r="Z24" i="78"/>
  <c r="X24" i="78"/>
  <c r="N24" i="78"/>
  <c r="L24" i="78"/>
  <c r="B24" i="78"/>
  <c r="T23" i="78"/>
  <c r="Z23" i="78" s="1"/>
  <c r="P23" i="78"/>
  <c r="X23" i="78" s="1"/>
  <c r="N23" i="78"/>
  <c r="H23" i="78"/>
  <c r="D23" i="78"/>
  <c r="L23" i="78" s="1"/>
  <c r="B23" i="78"/>
  <c r="T22" i="78" a="1"/>
  <c r="T22" i="78" s="1"/>
  <c r="Z22" i="78" s="1"/>
  <c r="P22" i="78" a="1"/>
  <c r="P22" i="78" s="1"/>
  <c r="H22" i="78" a="1"/>
  <c r="H22" i="78" s="1"/>
  <c r="N22" i="78" s="1"/>
  <c r="D22" i="78" a="1"/>
  <c r="D22" i="78" s="1"/>
  <c r="F22" i="78" s="1"/>
  <c r="X18" i="78"/>
  <c r="Z18" i="78" s="1"/>
  <c r="L18" i="78"/>
  <c r="N18" i="78" s="1"/>
  <c r="B18" i="78"/>
  <c r="Z17" i="78"/>
  <c r="X17" i="78"/>
  <c r="N17" i="78"/>
  <c r="L17" i="78"/>
  <c r="B17" i="78"/>
  <c r="T16" i="78"/>
  <c r="P16" i="78"/>
  <c r="X16" i="78" s="1"/>
  <c r="Z16" i="78" s="1"/>
  <c r="L16" i="78"/>
  <c r="H16" i="78"/>
  <c r="D16" i="78"/>
  <c r="T14" i="78"/>
  <c r="Z14" i="78" s="1"/>
  <c r="P14" i="78"/>
  <c r="X14" i="78" s="1"/>
  <c r="N14" i="78"/>
  <c r="L14" i="78"/>
  <c r="H14" i="78"/>
  <c r="D14" i="78"/>
  <c r="B14" i="78"/>
  <c r="T13" i="78"/>
  <c r="Z13" i="78" s="1"/>
  <c r="P13" i="78"/>
  <c r="N13" i="78"/>
  <c r="H13" i="78"/>
  <c r="L13" i="78" s="1"/>
  <c r="D13" i="78"/>
  <c r="B13" i="78"/>
  <c r="D12" i="78"/>
  <c r="F25" i="78" s="1"/>
  <c r="D6" i="78"/>
  <c r="D4" i="78"/>
  <c r="Z112" i="77"/>
  <c r="X112" i="77"/>
  <c r="L112" i="77"/>
  <c r="N112" i="77" s="1"/>
  <c r="F112" i="77"/>
  <c r="T108" i="77"/>
  <c r="P108" i="77"/>
  <c r="H108" i="77"/>
  <c r="N108" i="77" s="1"/>
  <c r="D108" i="77"/>
  <c r="L108" i="77" s="1"/>
  <c r="Z106" i="77"/>
  <c r="X106" i="77"/>
  <c r="L106" i="77"/>
  <c r="N106" i="77" s="1"/>
  <c r="B106" i="77"/>
  <c r="Z105" i="77"/>
  <c r="X105" i="77"/>
  <c r="T105" i="77"/>
  <c r="P105" i="77"/>
  <c r="L105" i="77"/>
  <c r="N105" i="77" s="1"/>
  <c r="H105" i="77"/>
  <c r="D105" i="77"/>
  <c r="B105" i="77"/>
  <c r="X104" i="77"/>
  <c r="Z104" i="77" s="1"/>
  <c r="L104" i="77"/>
  <c r="N104" i="77" s="1"/>
  <c r="B104" i="77"/>
  <c r="X103" i="77"/>
  <c r="Z103" i="77" s="1"/>
  <c r="T103" i="77"/>
  <c r="P103" i="77"/>
  <c r="H103" i="77"/>
  <c r="D103" i="77"/>
  <c r="L103" i="77" s="1"/>
  <c r="B103" i="77"/>
  <c r="X102" i="77"/>
  <c r="Z102" i="77" s="1"/>
  <c r="N102" i="77"/>
  <c r="L102" i="77"/>
  <c r="B102" i="77"/>
  <c r="T101" i="77"/>
  <c r="P101" i="77"/>
  <c r="H101" i="77"/>
  <c r="D101" i="77"/>
  <c r="L101" i="77" s="1"/>
  <c r="N101" i="77" s="1"/>
  <c r="B101" i="77"/>
  <c r="Z100" i="77"/>
  <c r="X100" i="77"/>
  <c r="N100" i="77"/>
  <c r="L100" i="77"/>
  <c r="B100" i="77"/>
  <c r="Z99" i="77"/>
  <c r="X99" i="77"/>
  <c r="N99" i="77"/>
  <c r="L99" i="77"/>
  <c r="B99" i="77"/>
  <c r="X98" i="77"/>
  <c r="Z98" i="77" s="1"/>
  <c r="N98" i="77"/>
  <c r="L98" i="77"/>
  <c r="B98" i="77"/>
  <c r="Z97" i="77"/>
  <c r="X97" i="77"/>
  <c r="N97" i="77"/>
  <c r="L97" i="77"/>
  <c r="B97" i="77"/>
  <c r="X96" i="77"/>
  <c r="T96" i="77"/>
  <c r="Z96" i="77" s="1"/>
  <c r="P96" i="77"/>
  <c r="H96" i="77"/>
  <c r="D96" i="77"/>
  <c r="B96" i="77"/>
  <c r="Z95" i="77"/>
  <c r="X95" i="77"/>
  <c r="L95" i="77"/>
  <c r="N95" i="77" s="1"/>
  <c r="B95" i="77"/>
  <c r="X94" i="77"/>
  <c r="Z94" i="77" s="1"/>
  <c r="N94" i="77"/>
  <c r="L94" i="77"/>
  <c r="B94" i="77"/>
  <c r="T93" i="77"/>
  <c r="P93" i="77"/>
  <c r="H93" i="77"/>
  <c r="D93" i="77"/>
  <c r="L93" i="77" s="1"/>
  <c r="N93" i="77" s="1"/>
  <c r="B93" i="77"/>
  <c r="X92" i="77"/>
  <c r="Z92" i="77" s="1"/>
  <c r="L92" i="77"/>
  <c r="N92" i="77" s="1"/>
  <c r="B92" i="77"/>
  <c r="Z91" i="77"/>
  <c r="X91" i="77"/>
  <c r="N91" i="77"/>
  <c r="L91" i="77"/>
  <c r="B91" i="77"/>
  <c r="X90" i="77"/>
  <c r="Z90" i="77" s="1"/>
  <c r="N90" i="77"/>
  <c r="L90" i="77"/>
  <c r="B90" i="77"/>
  <c r="T89" i="77"/>
  <c r="P89" i="77"/>
  <c r="X89" i="77" s="1"/>
  <c r="H89" i="77"/>
  <c r="F89" i="77"/>
  <c r="D89" i="77"/>
  <c r="L89" i="77" s="1"/>
  <c r="N89" i="77" s="1"/>
  <c r="B89" i="77"/>
  <c r="X88" i="77"/>
  <c r="Z88" i="77" s="1"/>
  <c r="L88" i="77"/>
  <c r="N88" i="77" s="1"/>
  <c r="B88" i="77"/>
  <c r="Z87" i="77"/>
  <c r="X87" i="77"/>
  <c r="L87" i="77"/>
  <c r="N87" i="77" s="1"/>
  <c r="B87" i="77"/>
  <c r="X86" i="77"/>
  <c r="Z86" i="77" s="1"/>
  <c r="N86" i="77"/>
  <c r="L86" i="77"/>
  <c r="B86" i="77"/>
  <c r="T85" i="77"/>
  <c r="P85" i="77"/>
  <c r="X85" i="77" s="1"/>
  <c r="H85" i="77"/>
  <c r="D85" i="77"/>
  <c r="L85" i="77" s="1"/>
  <c r="N85" i="77" s="1"/>
  <c r="B85" i="77"/>
  <c r="X84" i="77"/>
  <c r="Z84" i="77" s="1"/>
  <c r="L84" i="77"/>
  <c r="N84" i="77" s="1"/>
  <c r="B84" i="77"/>
  <c r="T83" i="77"/>
  <c r="P83" i="77"/>
  <c r="X83" i="77" s="1"/>
  <c r="Z83" i="77" s="1"/>
  <c r="N83" i="77"/>
  <c r="L83" i="77"/>
  <c r="H83" i="77"/>
  <c r="D83" i="77"/>
  <c r="B83" i="77"/>
  <c r="Z82" i="77"/>
  <c r="X82" i="77"/>
  <c r="N82" i="77"/>
  <c r="L82" i="77"/>
  <c r="F82" i="77"/>
  <c r="B82" i="77"/>
  <c r="Z81" i="77"/>
  <c r="X81" i="77"/>
  <c r="T81" i="77"/>
  <c r="P81" i="77"/>
  <c r="N81" i="77"/>
  <c r="L81" i="77"/>
  <c r="H81" i="77"/>
  <c r="D81" i="77"/>
  <c r="B81" i="77"/>
  <c r="X80" i="77"/>
  <c r="Z80" i="77" s="1"/>
  <c r="L80" i="77"/>
  <c r="N80" i="77" s="1"/>
  <c r="B80" i="77"/>
  <c r="X79" i="77"/>
  <c r="Z79" i="77" s="1"/>
  <c r="T79" i="77"/>
  <c r="P79" i="77"/>
  <c r="H79" i="77"/>
  <c r="D79" i="77"/>
  <c r="B79" i="77"/>
  <c r="X78" i="77"/>
  <c r="Z78" i="77" s="1"/>
  <c r="N78" i="77"/>
  <c r="L78" i="77"/>
  <c r="B78" i="77"/>
  <c r="T77" i="77"/>
  <c r="P77" i="77"/>
  <c r="X77" i="77" s="1"/>
  <c r="H77" i="77"/>
  <c r="F77" i="77"/>
  <c r="D77" i="77"/>
  <c r="L77" i="77" s="1"/>
  <c r="N77" i="77" s="1"/>
  <c r="B77" i="77"/>
  <c r="X76" i="77"/>
  <c r="Z76" i="77" s="1"/>
  <c r="N76" i="77"/>
  <c r="L76" i="77"/>
  <c r="B76" i="77"/>
  <c r="T75" i="77"/>
  <c r="P75" i="77"/>
  <c r="X75" i="77" s="1"/>
  <c r="Z75" i="77" s="1"/>
  <c r="N75" i="77"/>
  <c r="L75" i="77"/>
  <c r="H75" i="77"/>
  <c r="D75" i="77"/>
  <c r="B75" i="77"/>
  <c r="Z74" i="77"/>
  <c r="X74" i="77"/>
  <c r="N74" i="77"/>
  <c r="L74" i="77"/>
  <c r="B74" i="77"/>
  <c r="Z73" i="77"/>
  <c r="X73" i="77"/>
  <c r="T73" i="77"/>
  <c r="P73" i="77"/>
  <c r="N73" i="77"/>
  <c r="L73" i="77"/>
  <c r="H73" i="77"/>
  <c r="D73" i="77"/>
  <c r="B73" i="77"/>
  <c r="X72" i="77"/>
  <c r="Z72" i="77" s="1"/>
  <c r="N72" i="77"/>
  <c r="L72" i="77"/>
  <c r="B72" i="77"/>
  <c r="Z71" i="77"/>
  <c r="X71" i="77"/>
  <c r="T71" i="77"/>
  <c r="P71" i="77"/>
  <c r="H71" i="77"/>
  <c r="D71" i="77"/>
  <c r="L71" i="77" s="1"/>
  <c r="B71" i="77"/>
  <c r="X70" i="77"/>
  <c r="Z70" i="77" s="1"/>
  <c r="N70" i="77"/>
  <c r="L70" i="77"/>
  <c r="B70" i="77"/>
  <c r="T69" i="77"/>
  <c r="P69" i="77"/>
  <c r="X69" i="77" s="1"/>
  <c r="H69" i="77"/>
  <c r="D69" i="77"/>
  <c r="L69" i="77" s="1"/>
  <c r="N69" i="77" s="1"/>
  <c r="B69" i="77"/>
  <c r="X68" i="77"/>
  <c r="Z68" i="77" s="1"/>
  <c r="N68" i="77"/>
  <c r="L68" i="77"/>
  <c r="B68" i="77"/>
  <c r="T67" i="77"/>
  <c r="P67" i="77"/>
  <c r="X67" i="77" s="1"/>
  <c r="Z67" i="77" s="1"/>
  <c r="N67" i="77"/>
  <c r="L67" i="77"/>
  <c r="H67" i="77"/>
  <c r="D67" i="77"/>
  <c r="B67" i="77"/>
  <c r="Z66" i="77"/>
  <c r="X66" i="77"/>
  <c r="N66" i="77"/>
  <c r="L66" i="77"/>
  <c r="B66" i="77"/>
  <c r="Z65" i="77"/>
  <c r="X65" i="77"/>
  <c r="N65" i="77"/>
  <c r="L65" i="77"/>
  <c r="F65" i="77"/>
  <c r="B65" i="77"/>
  <c r="Z64" i="77"/>
  <c r="X64" i="77"/>
  <c r="L64" i="77"/>
  <c r="N64" i="77" s="1"/>
  <c r="B64" i="77"/>
  <c r="Z63" i="77"/>
  <c r="X63" i="77"/>
  <c r="L63" i="77"/>
  <c r="N63" i="77" s="1"/>
  <c r="B63" i="77"/>
  <c r="X62" i="77"/>
  <c r="Z62" i="77" s="1"/>
  <c r="N62" i="77"/>
  <c r="L62" i="77"/>
  <c r="B62" i="77"/>
  <c r="Z61" i="77"/>
  <c r="X61" i="77"/>
  <c r="N61" i="77"/>
  <c r="L61" i="77"/>
  <c r="B61" i="77"/>
  <c r="X60" i="77"/>
  <c r="T60" i="77"/>
  <c r="P60" i="77"/>
  <c r="H60" i="77"/>
  <c r="D60" i="77"/>
  <c r="B60" i="77"/>
  <c r="Z59" i="77"/>
  <c r="X59" i="77"/>
  <c r="L59" i="77"/>
  <c r="N59" i="77" s="1"/>
  <c r="B59" i="77"/>
  <c r="X58" i="77"/>
  <c r="Z58" i="77" s="1"/>
  <c r="N58" i="77"/>
  <c r="L58" i="77"/>
  <c r="B58" i="77"/>
  <c r="Z57" i="77"/>
  <c r="X57" i="77"/>
  <c r="N57" i="77"/>
  <c r="L57" i="77"/>
  <c r="B57" i="77"/>
  <c r="X56" i="77"/>
  <c r="Z56" i="77" s="1"/>
  <c r="L56" i="77"/>
  <c r="N56" i="77" s="1"/>
  <c r="B56" i="77"/>
  <c r="X55" i="77"/>
  <c r="Z55" i="77" s="1"/>
  <c r="N55" i="77"/>
  <c r="L55" i="77"/>
  <c r="B55" i="77"/>
  <c r="Z54" i="77"/>
  <c r="X54" i="77"/>
  <c r="L54" i="77"/>
  <c r="N54" i="77" s="1"/>
  <c r="B54" i="77"/>
  <c r="Z53" i="77"/>
  <c r="X53" i="77"/>
  <c r="N53" i="77"/>
  <c r="L53" i="77"/>
  <c r="B53" i="77"/>
  <c r="X52" i="77"/>
  <c r="Z52" i="77" s="1"/>
  <c r="L52" i="77"/>
  <c r="N52" i="77" s="1"/>
  <c r="B52" i="77"/>
  <c r="T51" i="77"/>
  <c r="P51" i="77"/>
  <c r="X51" i="77" s="1"/>
  <c r="Z51" i="77" s="1"/>
  <c r="N51" i="77"/>
  <c r="L51" i="77"/>
  <c r="H51" i="77"/>
  <c r="D51" i="77"/>
  <c r="B51" i="77"/>
  <c r="T50" i="77" a="1"/>
  <c r="T50" i="77" s="1"/>
  <c r="P50" i="77" a="1"/>
  <c r="P50" i="77" s="1"/>
  <c r="H50" i="77" a="1"/>
  <c r="H50" i="77" s="1"/>
  <c r="D50" i="77" a="1"/>
  <c r="D50" i="77"/>
  <c r="Z46" i="77"/>
  <c r="X46" i="77"/>
  <c r="N46" i="77"/>
  <c r="L46" i="77"/>
  <c r="B46" i="77"/>
  <c r="Z45" i="77"/>
  <c r="X45" i="77"/>
  <c r="N45" i="77"/>
  <c r="L45" i="77"/>
  <c r="B45" i="77"/>
  <c r="X44" i="77"/>
  <c r="Z44" i="77" s="1"/>
  <c r="N44" i="77"/>
  <c r="L44" i="77"/>
  <c r="B44" i="77"/>
  <c r="X43" i="77"/>
  <c r="Z43" i="77" s="1"/>
  <c r="N43" i="77"/>
  <c r="L43" i="77"/>
  <c r="B43" i="77"/>
  <c r="Z42" i="77"/>
  <c r="X42" i="77"/>
  <c r="N42" i="77"/>
  <c r="L42" i="77"/>
  <c r="F42" i="77"/>
  <c r="B42" i="77"/>
  <c r="Z41" i="77"/>
  <c r="X41" i="77"/>
  <c r="N41" i="77"/>
  <c r="L41" i="77"/>
  <c r="F41" i="77"/>
  <c r="B41" i="77"/>
  <c r="Z40" i="77"/>
  <c r="X40" i="77"/>
  <c r="N40" i="77"/>
  <c r="L40" i="77"/>
  <c r="B40" i="77"/>
  <c r="Z39" i="77"/>
  <c r="X39" i="77"/>
  <c r="N39" i="77"/>
  <c r="L39" i="77"/>
  <c r="B39" i="77"/>
  <c r="T38" i="77"/>
  <c r="P38" i="77"/>
  <c r="H38" i="77"/>
  <c r="D38" i="77"/>
  <c r="L38" i="77" s="1"/>
  <c r="Z36" i="77"/>
  <c r="X36" i="77"/>
  <c r="T36" i="77"/>
  <c r="P36" i="77"/>
  <c r="H36" i="77"/>
  <c r="N36" i="77" s="1"/>
  <c r="D36" i="77"/>
  <c r="L36" i="77" s="1"/>
  <c r="B36" i="77"/>
  <c r="T35" i="77"/>
  <c r="X35" i="77" s="1"/>
  <c r="Z35" i="77" s="1"/>
  <c r="P35" i="77"/>
  <c r="H35" i="77"/>
  <c r="N35" i="77" s="1"/>
  <c r="D35" i="77"/>
  <c r="L35" i="77" s="1"/>
  <c r="B35" i="77"/>
  <c r="T34" i="77"/>
  <c r="P34" i="77"/>
  <c r="X34" i="77" s="1"/>
  <c r="Z34" i="77" s="1"/>
  <c r="H34" i="77"/>
  <c r="D34" i="77"/>
  <c r="B34" i="77"/>
  <c r="T33" i="77"/>
  <c r="P33" i="77"/>
  <c r="X33" i="77" s="1"/>
  <c r="L33" i="77"/>
  <c r="N33" i="77" s="1"/>
  <c r="H33" i="77"/>
  <c r="D33" i="77"/>
  <c r="B33" i="77"/>
  <c r="T32" i="77"/>
  <c r="P32" i="77"/>
  <c r="X32" i="77" s="1"/>
  <c r="N32" i="77"/>
  <c r="L32" i="77"/>
  <c r="H32" i="77"/>
  <c r="D32" i="77"/>
  <c r="B32" i="77"/>
  <c r="T31" i="77"/>
  <c r="P31" i="77"/>
  <c r="X31" i="77" s="1"/>
  <c r="H31" i="77"/>
  <c r="L31" i="77" s="1"/>
  <c r="N31" i="77" s="1"/>
  <c r="D31" i="77"/>
  <c r="B31" i="77"/>
  <c r="T30" i="77"/>
  <c r="P30" i="77"/>
  <c r="N30" i="77"/>
  <c r="H30" i="77"/>
  <c r="D30" i="77"/>
  <c r="L30" i="77" s="1"/>
  <c r="B30" i="77"/>
  <c r="X29" i="77"/>
  <c r="Z29" i="77" s="1"/>
  <c r="T29" i="77"/>
  <c r="P29" i="77"/>
  <c r="H29" i="77"/>
  <c r="N29" i="77" s="1"/>
  <c r="D29" i="77"/>
  <c r="L29" i="77" s="1"/>
  <c r="B29" i="77"/>
  <c r="Z28" i="77"/>
  <c r="X28" i="77"/>
  <c r="T28" i="77"/>
  <c r="P28" i="77"/>
  <c r="H28" i="77"/>
  <c r="N28" i="77" s="1"/>
  <c r="D28" i="77"/>
  <c r="L28" i="77" s="1"/>
  <c r="B28" i="77"/>
  <c r="T27" i="77"/>
  <c r="X27" i="77" s="1"/>
  <c r="Z27" i="77" s="1"/>
  <c r="P27" i="77"/>
  <c r="H27" i="77"/>
  <c r="N27" i="77" s="1"/>
  <c r="D27" i="77"/>
  <c r="L27" i="77" s="1"/>
  <c r="B27" i="77"/>
  <c r="T26" i="77"/>
  <c r="P26" i="77"/>
  <c r="X26" i="77" s="1"/>
  <c r="Z26" i="77" s="1"/>
  <c r="H26" i="77"/>
  <c r="D26" i="77"/>
  <c r="B26" i="77"/>
  <c r="T25" i="77"/>
  <c r="P25" i="77"/>
  <c r="X25" i="77" s="1"/>
  <c r="N25" i="77"/>
  <c r="L25" i="77"/>
  <c r="H25" i="77"/>
  <c r="D25" i="77"/>
  <c r="B25" i="77"/>
  <c r="T24" i="77"/>
  <c r="P24" i="77"/>
  <c r="X24" i="77" s="1"/>
  <c r="N24" i="77"/>
  <c r="L24" i="77"/>
  <c r="H24" i="77"/>
  <c r="D24" i="77"/>
  <c r="B24" i="77"/>
  <c r="T23" i="77"/>
  <c r="Z23" i="77" s="1"/>
  <c r="P23" i="77"/>
  <c r="N23" i="77"/>
  <c r="H23" i="77"/>
  <c r="L23" i="77" s="1"/>
  <c r="D23" i="77"/>
  <c r="B23" i="77"/>
  <c r="T22" i="77"/>
  <c r="P22" i="77"/>
  <c r="N22" i="77"/>
  <c r="H22" i="77"/>
  <c r="D22" i="77"/>
  <c r="L22" i="77" s="1"/>
  <c r="B22" i="77"/>
  <c r="X21" i="77"/>
  <c r="Z21" i="77" s="1"/>
  <c r="T21" i="77"/>
  <c r="P21" i="77"/>
  <c r="H21" i="77"/>
  <c r="D21" i="77"/>
  <c r="L21" i="77" s="1"/>
  <c r="B21" i="77"/>
  <c r="Z20" i="77"/>
  <c r="X20" i="77"/>
  <c r="T20" i="77"/>
  <c r="P20" i="77"/>
  <c r="H20" i="77"/>
  <c r="N20" i="77" s="1"/>
  <c r="D20" i="77"/>
  <c r="L20" i="77" s="1"/>
  <c r="B20" i="77"/>
  <c r="T19" i="77"/>
  <c r="X19" i="77" s="1"/>
  <c r="Z19" i="77" s="1"/>
  <c r="P19" i="77"/>
  <c r="H19" i="77"/>
  <c r="D19" i="77"/>
  <c r="L19" i="77" s="1"/>
  <c r="B19" i="77"/>
  <c r="T18" i="77"/>
  <c r="P18" i="77"/>
  <c r="X18" i="77" s="1"/>
  <c r="Z18" i="77" s="1"/>
  <c r="H18" i="77"/>
  <c r="D18" i="77"/>
  <c r="B18" i="77"/>
  <c r="T17" i="77"/>
  <c r="P17" i="77"/>
  <c r="X17" i="77" s="1"/>
  <c r="N17" i="77"/>
  <c r="L17" i="77"/>
  <c r="H17" i="77"/>
  <c r="D17" i="77"/>
  <c r="B17" i="77"/>
  <c r="T16" i="77"/>
  <c r="P16" i="77"/>
  <c r="X16" i="77" s="1"/>
  <c r="N16" i="77"/>
  <c r="L16" i="77"/>
  <c r="H16" i="77"/>
  <c r="D16" i="77"/>
  <c r="B16" i="77"/>
  <c r="T15" i="77"/>
  <c r="P15" i="77"/>
  <c r="H15" i="77"/>
  <c r="L15" i="77" s="1"/>
  <c r="N15" i="77" s="1"/>
  <c r="D15" i="77"/>
  <c r="B15" i="77"/>
  <c r="T14" i="77"/>
  <c r="P14" i="77"/>
  <c r="P12" i="77" s="1"/>
  <c r="R78" i="77" s="1"/>
  <c r="H14" i="77"/>
  <c r="D14" i="77"/>
  <c r="L14" i="77" s="1"/>
  <c r="N14" i="77" s="1"/>
  <c r="B14" i="77"/>
  <c r="X13" i="77"/>
  <c r="Z13" i="77" s="1"/>
  <c r="T13" i="77"/>
  <c r="P13" i="77"/>
  <c r="H13" i="77"/>
  <c r="N13" i="77" s="1"/>
  <c r="D13" i="77"/>
  <c r="L13" i="77" s="1"/>
  <c r="B13" i="77"/>
  <c r="D12" i="77"/>
  <c r="F74" i="77" s="1"/>
  <c r="D6" i="77"/>
  <c r="D4" i="77"/>
  <c r="Z79" i="76"/>
  <c r="X79" i="76"/>
  <c r="N79" i="76"/>
  <c r="L79" i="76"/>
  <c r="X75" i="76"/>
  <c r="T75" i="76"/>
  <c r="Z75" i="76" s="1"/>
  <c r="P75" i="76"/>
  <c r="H75" i="76"/>
  <c r="N75" i="76" s="1"/>
  <c r="D75" i="76"/>
  <c r="X73" i="76"/>
  <c r="Z73" i="76" s="1"/>
  <c r="L73" i="76"/>
  <c r="N73" i="76" s="1"/>
  <c r="B73" i="76"/>
  <c r="T72" i="76"/>
  <c r="P72" i="76"/>
  <c r="X72" i="76" s="1"/>
  <c r="Z72" i="76" s="1"/>
  <c r="N72" i="76"/>
  <c r="L72" i="76"/>
  <c r="H72" i="76"/>
  <c r="D72" i="76"/>
  <c r="B72" i="76"/>
  <c r="Z71" i="76"/>
  <c r="X71" i="76"/>
  <c r="N71" i="76"/>
  <c r="L71" i="76"/>
  <c r="B71" i="76"/>
  <c r="Z70" i="76"/>
  <c r="X70" i="76"/>
  <c r="T70" i="76"/>
  <c r="P70" i="76"/>
  <c r="N70" i="76"/>
  <c r="L70" i="76"/>
  <c r="H70" i="76"/>
  <c r="D70" i="76"/>
  <c r="B70" i="76"/>
  <c r="X69" i="76"/>
  <c r="Z69" i="76" s="1"/>
  <c r="L69" i="76"/>
  <c r="N69" i="76" s="1"/>
  <c r="B69" i="76"/>
  <c r="X68" i="76"/>
  <c r="Z68" i="76" s="1"/>
  <c r="T68" i="76"/>
  <c r="P68" i="76"/>
  <c r="H68" i="76"/>
  <c r="D68" i="76"/>
  <c r="B68" i="76"/>
  <c r="Z67" i="76"/>
  <c r="X67" i="76"/>
  <c r="N67" i="76"/>
  <c r="L67" i="76"/>
  <c r="B67" i="76"/>
  <c r="Z66" i="76"/>
  <c r="X66" i="76"/>
  <c r="N66" i="76"/>
  <c r="L66" i="76"/>
  <c r="B66" i="76"/>
  <c r="Z65" i="76"/>
  <c r="X65" i="76"/>
  <c r="N65" i="76"/>
  <c r="L65" i="76"/>
  <c r="B65" i="76"/>
  <c r="X64" i="76"/>
  <c r="Z64" i="76" s="1"/>
  <c r="N64" i="76"/>
  <c r="L64" i="76"/>
  <c r="B64" i="76"/>
  <c r="Z63" i="76"/>
  <c r="X63" i="76"/>
  <c r="N63" i="76"/>
  <c r="L63" i="76"/>
  <c r="B63" i="76"/>
  <c r="Z62" i="76"/>
  <c r="X62" i="76"/>
  <c r="N62" i="76"/>
  <c r="L62" i="76"/>
  <c r="B62" i="76"/>
  <c r="T61" i="76"/>
  <c r="P61" i="76"/>
  <c r="X61" i="76" s="1"/>
  <c r="N61" i="76"/>
  <c r="L61" i="76"/>
  <c r="H61" i="76"/>
  <c r="D61" i="76"/>
  <c r="B61" i="76"/>
  <c r="Z60" i="76"/>
  <c r="X60" i="76"/>
  <c r="N60" i="76"/>
  <c r="L60" i="76"/>
  <c r="B60" i="76"/>
  <c r="Z59" i="76"/>
  <c r="X59" i="76"/>
  <c r="N59" i="76"/>
  <c r="L59" i="76"/>
  <c r="B59" i="76"/>
  <c r="Z58" i="76"/>
  <c r="X58" i="76"/>
  <c r="N58" i="76"/>
  <c r="L58" i="76"/>
  <c r="B58" i="76"/>
  <c r="X57" i="76"/>
  <c r="Z57" i="76" s="1"/>
  <c r="L57" i="76"/>
  <c r="N57" i="76" s="1"/>
  <c r="B57" i="76"/>
  <c r="T56" i="76"/>
  <c r="P56" i="76"/>
  <c r="X56" i="76" s="1"/>
  <c r="Z56" i="76" s="1"/>
  <c r="N56" i="76"/>
  <c r="H56" i="76"/>
  <c r="D56" i="76"/>
  <c r="L56" i="76" s="1"/>
  <c r="B56" i="76"/>
  <c r="Z55" i="76"/>
  <c r="X55" i="76"/>
  <c r="L55" i="76"/>
  <c r="N55" i="76" s="1"/>
  <c r="B55" i="76"/>
  <c r="Z54" i="76"/>
  <c r="X54" i="76"/>
  <c r="N54" i="76"/>
  <c r="L54" i="76"/>
  <c r="B54" i="76"/>
  <c r="T53" i="76"/>
  <c r="Z53" i="76" s="1"/>
  <c r="P53" i="76"/>
  <c r="X53" i="76" s="1"/>
  <c r="L53" i="76"/>
  <c r="N53" i="76" s="1"/>
  <c r="H53" i="76"/>
  <c r="D53" i="76"/>
  <c r="B53" i="76"/>
  <c r="X52" i="76"/>
  <c r="Z52" i="76" s="1"/>
  <c r="N52" i="76"/>
  <c r="L52" i="76"/>
  <c r="B52" i="76"/>
  <c r="X51" i="76"/>
  <c r="Z51" i="76" s="1"/>
  <c r="T51" i="76"/>
  <c r="P51" i="76"/>
  <c r="H51" i="76"/>
  <c r="D51" i="76"/>
  <c r="B51" i="76"/>
  <c r="Z50" i="76"/>
  <c r="X50" i="76"/>
  <c r="N50" i="76"/>
  <c r="L50" i="76"/>
  <c r="B50" i="76"/>
  <c r="T49" i="76"/>
  <c r="P49" i="76"/>
  <c r="H49" i="76"/>
  <c r="D49" i="76"/>
  <c r="L49" i="76" s="1"/>
  <c r="B49" i="76"/>
  <c r="Z48" i="76"/>
  <c r="X48" i="76"/>
  <c r="N48" i="76"/>
  <c r="L48" i="76"/>
  <c r="B48" i="76"/>
  <c r="T47" i="76"/>
  <c r="P47" i="76"/>
  <c r="X47" i="76" s="1"/>
  <c r="H47" i="76"/>
  <c r="N47" i="76" s="1"/>
  <c r="D47" i="76"/>
  <c r="L47" i="76" s="1"/>
  <c r="B47" i="76"/>
  <c r="Z46" i="76"/>
  <c r="X46" i="76"/>
  <c r="N46" i="76"/>
  <c r="L46" i="76"/>
  <c r="B46" i="76"/>
  <c r="T45" i="76"/>
  <c r="P45" i="76"/>
  <c r="X45" i="76" s="1"/>
  <c r="N45" i="76"/>
  <c r="H45" i="76"/>
  <c r="D45" i="76"/>
  <c r="L45" i="76" s="1"/>
  <c r="B45" i="76"/>
  <c r="X44" i="76"/>
  <c r="Z44" i="76" s="1"/>
  <c r="N44" i="76"/>
  <c r="L44" i="76"/>
  <c r="B44" i="76"/>
  <c r="X43" i="76"/>
  <c r="Z43" i="76" s="1"/>
  <c r="R43" i="76"/>
  <c r="L43" i="76"/>
  <c r="N43" i="76" s="1"/>
  <c r="B43" i="76"/>
  <c r="T42" i="76"/>
  <c r="P42" i="76"/>
  <c r="X42" i="76" s="1"/>
  <c r="Z42" i="76" s="1"/>
  <c r="N42" i="76"/>
  <c r="L42" i="76"/>
  <c r="H42" i="76"/>
  <c r="D42" i="76"/>
  <c r="B42" i="76"/>
  <c r="Z41" i="76"/>
  <c r="X41" i="76"/>
  <c r="N41" i="76"/>
  <c r="L41" i="76"/>
  <c r="B41" i="76"/>
  <c r="Z40" i="76"/>
  <c r="X40" i="76"/>
  <c r="T40" i="76"/>
  <c r="P40" i="76"/>
  <c r="H40" i="76"/>
  <c r="D40" i="76"/>
  <c r="B40" i="76"/>
  <c r="Z39" i="76"/>
  <c r="X39" i="76"/>
  <c r="N39" i="76"/>
  <c r="L39" i="76"/>
  <c r="B39" i="76"/>
  <c r="T38" i="76"/>
  <c r="Z38" i="76" s="1"/>
  <c r="P38" i="76"/>
  <c r="X38" i="76" s="1"/>
  <c r="H38" i="76"/>
  <c r="N38" i="76" s="1"/>
  <c r="D38" i="76"/>
  <c r="B38" i="76"/>
  <c r="Z37" i="76"/>
  <c r="X37" i="76"/>
  <c r="N37" i="76"/>
  <c r="L37" i="76"/>
  <c r="B37" i="76"/>
  <c r="Z36" i="76"/>
  <c r="T36" i="76"/>
  <c r="P36" i="76"/>
  <c r="X36" i="76" s="1"/>
  <c r="N36" i="76"/>
  <c r="L36" i="76"/>
  <c r="H36" i="76"/>
  <c r="D36" i="76"/>
  <c r="B36" i="76"/>
  <c r="Z35" i="76"/>
  <c r="X35" i="76"/>
  <c r="N35" i="76"/>
  <c r="L35" i="76"/>
  <c r="B35" i="76"/>
  <c r="Z34" i="76"/>
  <c r="X34" i="76"/>
  <c r="N34" i="76"/>
  <c r="L34" i="76"/>
  <c r="B34" i="76"/>
  <c r="X33" i="76"/>
  <c r="Z33" i="76" s="1"/>
  <c r="N33" i="76"/>
  <c r="L33" i="76"/>
  <c r="B33" i="76"/>
  <c r="T32" i="76"/>
  <c r="P32" i="76"/>
  <c r="N32" i="76"/>
  <c r="H32" i="76"/>
  <c r="D32" i="76"/>
  <c r="L32" i="76" s="1"/>
  <c r="B32" i="76"/>
  <c r="Z31" i="76"/>
  <c r="X31" i="76"/>
  <c r="N31" i="76"/>
  <c r="L31" i="76"/>
  <c r="B31" i="76"/>
  <c r="X30" i="76"/>
  <c r="Z30" i="76" s="1"/>
  <c r="N30" i="76"/>
  <c r="L30" i="76"/>
  <c r="B30" i="76"/>
  <c r="Z29" i="76"/>
  <c r="X29" i="76"/>
  <c r="N29" i="76"/>
  <c r="L29" i="76"/>
  <c r="B29" i="76"/>
  <c r="X28" i="76"/>
  <c r="Z28" i="76" s="1"/>
  <c r="N28" i="76"/>
  <c r="L28" i="76"/>
  <c r="B28" i="76"/>
  <c r="Z27" i="76"/>
  <c r="X27" i="76"/>
  <c r="N27" i="76"/>
  <c r="L27" i="76"/>
  <c r="B27" i="76"/>
  <c r="X26" i="76"/>
  <c r="Z26" i="76" s="1"/>
  <c r="N26" i="76"/>
  <c r="L26" i="76"/>
  <c r="B26" i="76"/>
  <c r="Z25" i="76"/>
  <c r="X25" i="76"/>
  <c r="N25" i="76"/>
  <c r="L25" i="76"/>
  <c r="B25" i="76"/>
  <c r="X24" i="76"/>
  <c r="Z24" i="76" s="1"/>
  <c r="N24" i="76"/>
  <c r="L24" i="76"/>
  <c r="B24" i="76"/>
  <c r="T23" i="76"/>
  <c r="P23" i="76"/>
  <c r="X23" i="76" s="1"/>
  <c r="Z23" i="76" s="1"/>
  <c r="N23" i="76"/>
  <c r="H23" i="76"/>
  <c r="L23" i="76" s="1"/>
  <c r="D23" i="76"/>
  <c r="B23" i="76"/>
  <c r="T22" i="76" a="1"/>
  <c r="T22" i="76" s="1"/>
  <c r="P22" i="76" a="1"/>
  <c r="P22" i="76" s="1"/>
  <c r="H22" i="76" a="1"/>
  <c r="H22" i="76" s="1"/>
  <c r="D22" i="76" a="1"/>
  <c r="D22" i="76" s="1"/>
  <c r="L22" i="76" s="1"/>
  <c r="X18" i="76"/>
  <c r="Z18" i="76" s="1"/>
  <c r="N18" i="76"/>
  <c r="L18" i="76"/>
  <c r="B18" i="76"/>
  <c r="Z17" i="76"/>
  <c r="X17" i="76"/>
  <c r="N17" i="76"/>
  <c r="L17" i="76"/>
  <c r="B17" i="76"/>
  <c r="T16" i="76"/>
  <c r="P16" i="76"/>
  <c r="X16" i="76" s="1"/>
  <c r="H16" i="76"/>
  <c r="D16" i="76"/>
  <c r="L16" i="76" s="1"/>
  <c r="N16" i="76" s="1"/>
  <c r="X14" i="76"/>
  <c r="T14" i="76"/>
  <c r="Z14" i="76" s="1"/>
  <c r="P14" i="76"/>
  <c r="P12" i="76" s="1"/>
  <c r="R38" i="76" s="1"/>
  <c r="H14" i="76"/>
  <c r="N14" i="76" s="1"/>
  <c r="D14" i="76"/>
  <c r="B14" i="76"/>
  <c r="Z13" i="76"/>
  <c r="T13" i="76"/>
  <c r="X13" i="76" s="1"/>
  <c r="P13" i="76"/>
  <c r="H13" i="76"/>
  <c r="D13" i="76"/>
  <c r="B13" i="76"/>
  <c r="D6" i="76"/>
  <c r="D4" i="76"/>
  <c r="X31" i="75"/>
  <c r="Z31" i="75" s="1"/>
  <c r="L31" i="75"/>
  <c r="N31" i="75" s="1"/>
  <c r="T27" i="75"/>
  <c r="Z27" i="75" s="1"/>
  <c r="P27" i="75"/>
  <c r="N27" i="75"/>
  <c r="L27" i="75"/>
  <c r="H27" i="75"/>
  <c r="D27" i="75"/>
  <c r="T25" i="75"/>
  <c r="Z25" i="75" s="1"/>
  <c r="P25" i="75"/>
  <c r="X25" i="75" s="1"/>
  <c r="N25" i="75"/>
  <c r="H25" i="75"/>
  <c r="D25" i="75"/>
  <c r="L25" i="75" s="1"/>
  <c r="X21" i="75"/>
  <c r="Z21" i="75" s="1"/>
  <c r="L21" i="75"/>
  <c r="N21" i="75" s="1"/>
  <c r="B21" i="75"/>
  <c r="X20" i="75"/>
  <c r="Z20" i="75" s="1"/>
  <c r="N20" i="75"/>
  <c r="L20" i="75"/>
  <c r="B20" i="75"/>
  <c r="Z19" i="75"/>
  <c r="X19" i="75"/>
  <c r="N19" i="75"/>
  <c r="L19" i="75"/>
  <c r="B19" i="75"/>
  <c r="T18" i="75"/>
  <c r="P18" i="75"/>
  <c r="X18" i="75" s="1"/>
  <c r="Z18" i="75" s="1"/>
  <c r="L18" i="75"/>
  <c r="N18" i="75" s="1"/>
  <c r="H18" i="75"/>
  <c r="D18" i="75"/>
  <c r="T16" i="75"/>
  <c r="P16" i="75"/>
  <c r="X16" i="75" s="1"/>
  <c r="Z16" i="75" s="1"/>
  <c r="H16" i="75"/>
  <c r="D16" i="75"/>
  <c r="L16" i="75" s="1"/>
  <c r="N16" i="75" s="1"/>
  <c r="B16" i="75"/>
  <c r="T15" i="75"/>
  <c r="P15" i="75"/>
  <c r="X15" i="75" s="1"/>
  <c r="H15" i="75"/>
  <c r="D15" i="75"/>
  <c r="L15" i="75" s="1"/>
  <c r="B15" i="75"/>
  <c r="X14" i="75"/>
  <c r="T14" i="75"/>
  <c r="P14" i="75"/>
  <c r="H14" i="75"/>
  <c r="D14" i="75"/>
  <c r="B14" i="75"/>
  <c r="Z13" i="75"/>
  <c r="X13" i="75"/>
  <c r="T13" i="75"/>
  <c r="P13" i="75"/>
  <c r="N13" i="75"/>
  <c r="L13" i="75"/>
  <c r="H13" i="75"/>
  <c r="D13" i="75"/>
  <c r="B13" i="75"/>
  <c r="D12" i="75"/>
  <c r="D6" i="75"/>
  <c r="D4" i="75"/>
  <c r="V48" i="74"/>
  <c r="F48" i="74"/>
  <c r="Z46" i="74"/>
  <c r="X46" i="74"/>
  <c r="N46" i="74"/>
  <c r="L46" i="74"/>
  <c r="J46" i="74"/>
  <c r="Z42" i="74"/>
  <c r="X42" i="74"/>
  <c r="V42" i="74"/>
  <c r="T42" i="74"/>
  <c r="P42" i="74"/>
  <c r="H42" i="74"/>
  <c r="F42" i="74"/>
  <c r="D42" i="74"/>
  <c r="Z40" i="74"/>
  <c r="X40" i="74"/>
  <c r="L40" i="74"/>
  <c r="N40" i="74" s="1"/>
  <c r="J40" i="74"/>
  <c r="B40" i="74"/>
  <c r="T39" i="74"/>
  <c r="Z39" i="74" s="1"/>
  <c r="R39" i="74"/>
  <c r="P39" i="74"/>
  <c r="X39" i="74" s="1"/>
  <c r="H39" i="74"/>
  <c r="D39" i="74"/>
  <c r="B39" i="74"/>
  <c r="Z38" i="74"/>
  <c r="X38" i="74"/>
  <c r="N38" i="74"/>
  <c r="L38" i="74"/>
  <c r="B38" i="74"/>
  <c r="T37" i="74"/>
  <c r="P37" i="74"/>
  <c r="N37" i="74"/>
  <c r="L37" i="74"/>
  <c r="H37" i="74"/>
  <c r="D37" i="74"/>
  <c r="B37" i="74"/>
  <c r="X36" i="74"/>
  <c r="Z36" i="74" s="1"/>
  <c r="V36" i="74"/>
  <c r="N36" i="74"/>
  <c r="L36" i="74"/>
  <c r="B36" i="74"/>
  <c r="X35" i="74"/>
  <c r="Z35" i="74" s="1"/>
  <c r="T35" i="74"/>
  <c r="P35" i="74"/>
  <c r="J35" i="74"/>
  <c r="H35" i="74"/>
  <c r="N35" i="74" s="1"/>
  <c r="D35" i="74"/>
  <c r="B35" i="74"/>
  <c r="Z34" i="74"/>
  <c r="X34" i="74"/>
  <c r="R34" i="74"/>
  <c r="N34" i="74"/>
  <c r="L34" i="74"/>
  <c r="B34" i="74"/>
  <c r="X33" i="74"/>
  <c r="Z33" i="74" s="1"/>
  <c r="V33" i="74"/>
  <c r="R33" i="74"/>
  <c r="N33" i="74"/>
  <c r="L33" i="74"/>
  <c r="B33" i="74"/>
  <c r="X32" i="74"/>
  <c r="Z32" i="74" s="1"/>
  <c r="V32" i="74"/>
  <c r="T32" i="74"/>
  <c r="P32" i="74"/>
  <c r="H32" i="74"/>
  <c r="F32" i="74"/>
  <c r="D32" i="74"/>
  <c r="B32" i="74"/>
  <c r="X31" i="74"/>
  <c r="Z31" i="74" s="1"/>
  <c r="N31" i="74"/>
  <c r="L31" i="74"/>
  <c r="B31" i="74"/>
  <c r="T30" i="74"/>
  <c r="R30" i="74"/>
  <c r="P30" i="74"/>
  <c r="H30" i="74"/>
  <c r="D30" i="74"/>
  <c r="L30" i="74" s="1"/>
  <c r="N30" i="74" s="1"/>
  <c r="B30" i="74"/>
  <c r="X29" i="74"/>
  <c r="Z29" i="74" s="1"/>
  <c r="L29" i="74"/>
  <c r="N29" i="74" s="1"/>
  <c r="J29" i="74"/>
  <c r="F29" i="74"/>
  <c r="B29" i="74"/>
  <c r="T28" i="74"/>
  <c r="P28" i="74"/>
  <c r="X28" i="74" s="1"/>
  <c r="Z28" i="74" s="1"/>
  <c r="N28" i="74"/>
  <c r="H28" i="74"/>
  <c r="D28" i="74"/>
  <c r="L28" i="74" s="1"/>
  <c r="B28" i="74"/>
  <c r="Z27" i="74"/>
  <c r="X27" i="74"/>
  <c r="N27" i="74"/>
  <c r="L27" i="74"/>
  <c r="B27" i="74"/>
  <c r="T26" i="74"/>
  <c r="P26" i="74"/>
  <c r="X26" i="74" s="1"/>
  <c r="Z26" i="74" s="1"/>
  <c r="N26" i="74"/>
  <c r="L26" i="74"/>
  <c r="J26" i="74"/>
  <c r="H26" i="74"/>
  <c r="D26" i="74"/>
  <c r="B26" i="74"/>
  <c r="X25" i="74"/>
  <c r="Z25" i="74" s="1"/>
  <c r="V25" i="74"/>
  <c r="R25" i="74"/>
  <c r="N25" i="74"/>
  <c r="L25" i="74"/>
  <c r="B25" i="74"/>
  <c r="X24" i="74"/>
  <c r="Z24" i="74" s="1"/>
  <c r="V24" i="74"/>
  <c r="N24" i="74"/>
  <c r="L24" i="74"/>
  <c r="B24" i="74"/>
  <c r="X23" i="74"/>
  <c r="Z23" i="74" s="1"/>
  <c r="N23" i="74"/>
  <c r="L23" i="74"/>
  <c r="B23" i="74"/>
  <c r="Z22" i="74"/>
  <c r="X22" i="74"/>
  <c r="N22" i="74"/>
  <c r="L22" i="74"/>
  <c r="F22" i="74"/>
  <c r="B22" i="74"/>
  <c r="X21" i="74"/>
  <c r="Z21" i="74" s="1"/>
  <c r="N21" i="74"/>
  <c r="L21" i="74"/>
  <c r="J21" i="74"/>
  <c r="F21" i="74"/>
  <c r="B21" i="74"/>
  <c r="T20" i="74"/>
  <c r="P20" i="74"/>
  <c r="X20" i="74" s="1"/>
  <c r="Z20" i="74" s="1"/>
  <c r="N20" i="74"/>
  <c r="H20" i="74"/>
  <c r="D20" i="74"/>
  <c r="L20" i="74" s="1"/>
  <c r="B20" i="74"/>
  <c r="T19" i="74" a="1"/>
  <c r="T19" i="74" s="1"/>
  <c r="P19" i="74" a="1"/>
  <c r="P19" i="74" s="1"/>
  <c r="H19" i="74" a="1"/>
  <c r="H19" i="74" s="1"/>
  <c r="D19" i="74" a="1"/>
  <c r="D19" i="74" s="1"/>
  <c r="J17" i="74"/>
  <c r="H17" i="74"/>
  <c r="X15" i="74"/>
  <c r="Z15" i="74" s="1"/>
  <c r="N15" i="74"/>
  <c r="L15" i="74"/>
  <c r="B15" i="74"/>
  <c r="T14" i="74"/>
  <c r="R14" i="74"/>
  <c r="P14" i="74"/>
  <c r="N14" i="74"/>
  <c r="J14" i="74"/>
  <c r="H14" i="74"/>
  <c r="D14" i="74"/>
  <c r="L14" i="74" s="1"/>
  <c r="Z12" i="74"/>
  <c r="T12" i="74"/>
  <c r="V35" i="74" s="1"/>
  <c r="P12" i="74"/>
  <c r="R36" i="74" s="1"/>
  <c r="N12" i="74"/>
  <c r="H12" i="74"/>
  <c r="J37" i="74" s="1"/>
  <c r="D12" i="74"/>
  <c r="F38" i="74" s="1"/>
  <c r="D6" i="74"/>
  <c r="D4" i="74"/>
  <c r="Z79" i="73"/>
  <c r="X79" i="73"/>
  <c r="L79" i="73"/>
  <c r="N79" i="73" s="1"/>
  <c r="Z75" i="73"/>
  <c r="X75" i="73"/>
  <c r="T75" i="73"/>
  <c r="P75" i="73"/>
  <c r="H75" i="73"/>
  <c r="D75" i="73"/>
  <c r="Z73" i="73"/>
  <c r="X73" i="73"/>
  <c r="L73" i="73"/>
  <c r="N73" i="73" s="1"/>
  <c r="B73" i="73"/>
  <c r="T72" i="73"/>
  <c r="P72" i="73"/>
  <c r="X72" i="73" s="1"/>
  <c r="L72" i="73"/>
  <c r="H72" i="73"/>
  <c r="N72" i="73" s="1"/>
  <c r="D72" i="73"/>
  <c r="B72" i="73"/>
  <c r="Z71" i="73"/>
  <c r="X71" i="73"/>
  <c r="N71" i="73"/>
  <c r="L71" i="73"/>
  <c r="B71" i="73"/>
  <c r="X70" i="73"/>
  <c r="T70" i="73"/>
  <c r="Z70" i="73" s="1"/>
  <c r="P70" i="73"/>
  <c r="N70" i="73"/>
  <c r="L70" i="73"/>
  <c r="H70" i="73"/>
  <c r="D70" i="73"/>
  <c r="B70" i="73"/>
  <c r="X69" i="73"/>
  <c r="Z69" i="73" s="1"/>
  <c r="N69" i="73"/>
  <c r="L69" i="73"/>
  <c r="B69" i="73"/>
  <c r="Z68" i="73"/>
  <c r="X68" i="73"/>
  <c r="T68" i="73"/>
  <c r="P68" i="73"/>
  <c r="H68" i="73"/>
  <c r="D68" i="73"/>
  <c r="B68" i="73"/>
  <c r="Z67" i="73"/>
  <c r="X67" i="73"/>
  <c r="N67" i="73"/>
  <c r="L67" i="73"/>
  <c r="B67" i="73"/>
  <c r="Z66" i="73"/>
  <c r="X66" i="73"/>
  <c r="N66" i="73"/>
  <c r="L66" i="73"/>
  <c r="B66" i="73"/>
  <c r="Z65" i="73"/>
  <c r="X65" i="73"/>
  <c r="V65" i="73"/>
  <c r="N65" i="73"/>
  <c r="L65" i="73"/>
  <c r="B65" i="73"/>
  <c r="X64" i="73"/>
  <c r="Z64" i="73" s="1"/>
  <c r="N64" i="73"/>
  <c r="L64" i="73"/>
  <c r="B64" i="73"/>
  <c r="Z63" i="73"/>
  <c r="X63" i="73"/>
  <c r="N63" i="73"/>
  <c r="L63" i="73"/>
  <c r="B63" i="73"/>
  <c r="X62" i="73"/>
  <c r="T62" i="73"/>
  <c r="Z62" i="73" s="1"/>
  <c r="P62" i="73"/>
  <c r="N62" i="73"/>
  <c r="L62" i="73"/>
  <c r="H62" i="73"/>
  <c r="D62" i="73"/>
  <c r="B62" i="73"/>
  <c r="Z61" i="73"/>
  <c r="X61" i="73"/>
  <c r="N61" i="73"/>
  <c r="L61" i="73"/>
  <c r="B61" i="73"/>
  <c r="X60" i="73"/>
  <c r="Z60" i="73" s="1"/>
  <c r="N60" i="73"/>
  <c r="L60" i="73"/>
  <c r="B60" i="73"/>
  <c r="Z59" i="73"/>
  <c r="X59" i="73"/>
  <c r="N59" i="73"/>
  <c r="L59" i="73"/>
  <c r="B59" i="73"/>
  <c r="X58" i="73"/>
  <c r="T58" i="73"/>
  <c r="Z58" i="73" s="1"/>
  <c r="P58" i="73"/>
  <c r="N58" i="73"/>
  <c r="L58" i="73"/>
  <c r="H58" i="73"/>
  <c r="D58" i="73"/>
  <c r="B58" i="73"/>
  <c r="X57" i="73"/>
  <c r="Z57" i="73" s="1"/>
  <c r="N57" i="73"/>
  <c r="L57" i="73"/>
  <c r="B57" i="73"/>
  <c r="X56" i="73"/>
  <c r="Z56" i="73" s="1"/>
  <c r="T56" i="73"/>
  <c r="P56" i="73"/>
  <c r="H56" i="73"/>
  <c r="N56" i="73" s="1"/>
  <c r="D56" i="73"/>
  <c r="B56" i="73"/>
  <c r="Z55" i="73"/>
  <c r="X55" i="73"/>
  <c r="N55" i="73"/>
  <c r="L55" i="73"/>
  <c r="B55" i="73"/>
  <c r="X54" i="73"/>
  <c r="Z54" i="73" s="1"/>
  <c r="L54" i="73"/>
  <c r="N54" i="73" s="1"/>
  <c r="B54" i="73"/>
  <c r="X53" i="73"/>
  <c r="Z53" i="73" s="1"/>
  <c r="T53" i="73"/>
  <c r="P53" i="73"/>
  <c r="H53" i="73"/>
  <c r="D53" i="73"/>
  <c r="B53" i="73"/>
  <c r="X52" i="73"/>
  <c r="Z52" i="73" s="1"/>
  <c r="N52" i="73"/>
  <c r="L52" i="73"/>
  <c r="B52" i="73"/>
  <c r="T51" i="73"/>
  <c r="P51" i="73"/>
  <c r="H51" i="73"/>
  <c r="D51" i="73"/>
  <c r="L51" i="73" s="1"/>
  <c r="N51" i="73" s="1"/>
  <c r="B51" i="73"/>
  <c r="X50" i="73"/>
  <c r="Z50" i="73" s="1"/>
  <c r="L50" i="73"/>
  <c r="N50" i="73" s="1"/>
  <c r="B50" i="73"/>
  <c r="T49" i="73"/>
  <c r="P49" i="73"/>
  <c r="X49" i="73" s="1"/>
  <c r="Z49" i="73" s="1"/>
  <c r="N49" i="73"/>
  <c r="H49" i="73"/>
  <c r="D49" i="73"/>
  <c r="L49" i="73" s="1"/>
  <c r="B49" i="73"/>
  <c r="X48" i="73"/>
  <c r="Z48" i="73" s="1"/>
  <c r="L48" i="73"/>
  <c r="N48" i="73" s="1"/>
  <c r="B48" i="73"/>
  <c r="Z47" i="73"/>
  <c r="T47" i="73"/>
  <c r="P47" i="73"/>
  <c r="X47" i="73" s="1"/>
  <c r="L47" i="73"/>
  <c r="N47" i="73" s="1"/>
  <c r="H47" i="73"/>
  <c r="D47" i="73"/>
  <c r="B47" i="73"/>
  <c r="X46" i="73"/>
  <c r="Z46" i="73" s="1"/>
  <c r="N46" i="73"/>
  <c r="L46" i="73"/>
  <c r="B46" i="73"/>
  <c r="X45" i="73"/>
  <c r="Z45" i="73" s="1"/>
  <c r="V45" i="73"/>
  <c r="T45" i="73"/>
  <c r="P45" i="73"/>
  <c r="H45" i="73"/>
  <c r="D45" i="73"/>
  <c r="B45" i="73"/>
  <c r="Z44" i="73"/>
  <c r="X44" i="73"/>
  <c r="N44" i="73"/>
  <c r="L44" i="73"/>
  <c r="B44" i="73"/>
  <c r="T43" i="73"/>
  <c r="P43" i="73"/>
  <c r="N43" i="73"/>
  <c r="H43" i="73"/>
  <c r="D43" i="73"/>
  <c r="L43" i="73" s="1"/>
  <c r="B43" i="73"/>
  <c r="Z42" i="73"/>
  <c r="X42" i="73"/>
  <c r="N42" i="73"/>
  <c r="L42" i="73"/>
  <c r="B42" i="73"/>
  <c r="Z41" i="73"/>
  <c r="X41" i="73"/>
  <c r="N41" i="73"/>
  <c r="L41" i="73"/>
  <c r="B41" i="73"/>
  <c r="Z40" i="73"/>
  <c r="X40" i="73"/>
  <c r="N40" i="73"/>
  <c r="L40" i="73"/>
  <c r="B40" i="73"/>
  <c r="Z39" i="73"/>
  <c r="X39" i="73"/>
  <c r="N39" i="73"/>
  <c r="L39" i="73"/>
  <c r="B39" i="73"/>
  <c r="Z38" i="73"/>
  <c r="X38" i="73"/>
  <c r="N38" i="73"/>
  <c r="L38" i="73"/>
  <c r="B38" i="73"/>
  <c r="X37" i="73"/>
  <c r="Z37" i="73" s="1"/>
  <c r="N37" i="73"/>
  <c r="L37" i="73"/>
  <c r="B37" i="73"/>
  <c r="X36" i="73"/>
  <c r="Z36" i="73" s="1"/>
  <c r="T36" i="73"/>
  <c r="P36" i="73"/>
  <c r="H36" i="73"/>
  <c r="N36" i="73" s="1"/>
  <c r="D36" i="73"/>
  <c r="L36" i="73" s="1"/>
  <c r="B36" i="73"/>
  <c r="Z35" i="73"/>
  <c r="X35" i="73"/>
  <c r="N35" i="73"/>
  <c r="L35" i="73"/>
  <c r="B35" i="73"/>
  <c r="Z34" i="73"/>
  <c r="X34" i="73"/>
  <c r="N34" i="73"/>
  <c r="L34" i="73"/>
  <c r="B34" i="73"/>
  <c r="X33" i="73"/>
  <c r="Z33" i="73" s="1"/>
  <c r="N33" i="73"/>
  <c r="L33" i="73"/>
  <c r="B33" i="73"/>
  <c r="Z32" i="73"/>
  <c r="X32" i="73"/>
  <c r="N32" i="73"/>
  <c r="L32" i="73"/>
  <c r="B32" i="73"/>
  <c r="Z31" i="73"/>
  <c r="X31" i="73"/>
  <c r="N31" i="73"/>
  <c r="L31" i="73"/>
  <c r="B31" i="73"/>
  <c r="X30" i="73"/>
  <c r="Z30" i="73" s="1"/>
  <c r="N30" i="73"/>
  <c r="L30" i="73"/>
  <c r="B30" i="73"/>
  <c r="Z29" i="73"/>
  <c r="X29" i="73"/>
  <c r="N29" i="73"/>
  <c r="L29" i="73"/>
  <c r="B29" i="73"/>
  <c r="X28" i="73"/>
  <c r="Z28" i="73" s="1"/>
  <c r="N28" i="73"/>
  <c r="L28" i="73"/>
  <c r="B28" i="73"/>
  <c r="Z27" i="73"/>
  <c r="X27" i="73"/>
  <c r="N27" i="73"/>
  <c r="L27" i="73"/>
  <c r="B27" i="73"/>
  <c r="T26" i="73"/>
  <c r="P26" i="73"/>
  <c r="H26" i="73"/>
  <c r="N26" i="73" s="1"/>
  <c r="D26" i="73"/>
  <c r="L26" i="73" s="1"/>
  <c r="B26" i="73"/>
  <c r="T25" i="73" a="1"/>
  <c r="T25" i="73" s="1"/>
  <c r="P25" i="73" a="1"/>
  <c r="P25" i="73" s="1"/>
  <c r="X25" i="73" s="1"/>
  <c r="H25" i="73" a="1"/>
  <c r="H25" i="73" s="1"/>
  <c r="D25" i="73" a="1"/>
  <c r="D25" i="73" s="1"/>
  <c r="L25" i="73" s="1"/>
  <c r="X21" i="73"/>
  <c r="Z21" i="73" s="1"/>
  <c r="N21" i="73"/>
  <c r="L21" i="73"/>
  <c r="B21" i="73"/>
  <c r="Z20" i="73"/>
  <c r="X20" i="73"/>
  <c r="N20" i="73"/>
  <c r="L20" i="73"/>
  <c r="B20" i="73"/>
  <c r="Z19" i="73"/>
  <c r="X19" i="73"/>
  <c r="N19" i="73"/>
  <c r="L19" i="73"/>
  <c r="B19" i="73"/>
  <c r="T18" i="73"/>
  <c r="Z18" i="73" s="1"/>
  <c r="P18" i="73"/>
  <c r="X18" i="73" s="1"/>
  <c r="N18" i="73"/>
  <c r="L18" i="73"/>
  <c r="H18" i="73"/>
  <c r="D18" i="73"/>
  <c r="T16" i="73"/>
  <c r="P16" i="73"/>
  <c r="H16" i="73"/>
  <c r="N16" i="73" s="1"/>
  <c r="D16" i="73"/>
  <c r="L16" i="73" s="1"/>
  <c r="B16" i="73"/>
  <c r="T15" i="73"/>
  <c r="Z15" i="73" s="1"/>
  <c r="P15" i="73"/>
  <c r="H15" i="73"/>
  <c r="N15" i="73" s="1"/>
  <c r="D15" i="73"/>
  <c r="L15" i="73" s="1"/>
  <c r="B15" i="73"/>
  <c r="X14" i="73"/>
  <c r="Z14" i="73" s="1"/>
  <c r="T14" i="73"/>
  <c r="P14" i="73"/>
  <c r="H14" i="73"/>
  <c r="N14" i="73" s="1"/>
  <c r="D14" i="73"/>
  <c r="B14" i="73"/>
  <c r="Z13" i="73"/>
  <c r="T13" i="73"/>
  <c r="T12" i="73" s="1"/>
  <c r="V37" i="73" s="1"/>
  <c r="P13" i="73"/>
  <c r="X13" i="73" s="1"/>
  <c r="N13" i="73"/>
  <c r="H13" i="73"/>
  <c r="D13" i="73"/>
  <c r="L13" i="73" s="1"/>
  <c r="B13" i="73"/>
  <c r="H12" i="73"/>
  <c r="D6" i="73"/>
  <c r="D4" i="73"/>
  <c r="J36" i="72"/>
  <c r="Z34" i="72"/>
  <c r="X34" i="72"/>
  <c r="N34" i="72"/>
  <c r="L34" i="72"/>
  <c r="R32" i="72"/>
  <c r="Z30" i="72"/>
  <c r="X30" i="72"/>
  <c r="T30" i="72"/>
  <c r="P30" i="72"/>
  <c r="P29" i="72" s="1"/>
  <c r="X29" i="72" s="1"/>
  <c r="J30" i="72"/>
  <c r="H30" i="72"/>
  <c r="N30" i="72" s="1"/>
  <c r="D30" i="72"/>
  <c r="B30" i="72"/>
  <c r="T29" i="72"/>
  <c r="Z29" i="72" s="1"/>
  <c r="D29" i="72"/>
  <c r="Z27" i="72"/>
  <c r="X27" i="72"/>
  <c r="N27" i="72"/>
  <c r="L27" i="72"/>
  <c r="B27" i="72"/>
  <c r="T26" i="72"/>
  <c r="Z26" i="72" s="1"/>
  <c r="R26" i="72"/>
  <c r="P26" i="72"/>
  <c r="X26" i="72" s="1"/>
  <c r="N26" i="72"/>
  <c r="L26" i="72"/>
  <c r="H26" i="72"/>
  <c r="D26" i="72"/>
  <c r="B26" i="72"/>
  <c r="Z25" i="72"/>
  <c r="X25" i="72"/>
  <c r="N25" i="72"/>
  <c r="L25" i="72"/>
  <c r="B25" i="72"/>
  <c r="X24" i="72"/>
  <c r="T24" i="72"/>
  <c r="Z24" i="72" s="1"/>
  <c r="P24" i="72"/>
  <c r="N24" i="72"/>
  <c r="J24" i="72"/>
  <c r="H24" i="72"/>
  <c r="D24" i="72"/>
  <c r="L24" i="72" s="1"/>
  <c r="B24" i="72"/>
  <c r="Z23" i="72"/>
  <c r="X23" i="72"/>
  <c r="N23" i="72"/>
  <c r="L23" i="72"/>
  <c r="J23" i="72"/>
  <c r="B23" i="72"/>
  <c r="Z22" i="72"/>
  <c r="X22" i="72"/>
  <c r="N22" i="72"/>
  <c r="L22" i="72"/>
  <c r="B22" i="72"/>
  <c r="Z21" i="72"/>
  <c r="V21" i="72"/>
  <c r="T21" i="72"/>
  <c r="R21" i="72"/>
  <c r="P21" i="72"/>
  <c r="X21" i="72" s="1"/>
  <c r="N21" i="72"/>
  <c r="L21" i="72"/>
  <c r="H21" i="72"/>
  <c r="F21" i="72"/>
  <c r="D21" i="72"/>
  <c r="B21" i="72"/>
  <c r="V20" i="72"/>
  <c r="T20" i="72" a="1"/>
  <c r="T20" i="72"/>
  <c r="Z20" i="72" s="1"/>
  <c r="P20" i="72" a="1"/>
  <c r="P20" i="72" s="1"/>
  <c r="X20" i="72" s="1"/>
  <c r="J20" i="72"/>
  <c r="H20" i="72" a="1"/>
  <c r="H20" i="72"/>
  <c r="N20" i="72" s="1"/>
  <c r="F20" i="72"/>
  <c r="D20" i="72" a="1"/>
  <c r="D20" i="72"/>
  <c r="L20" i="72" s="1"/>
  <c r="V18" i="72"/>
  <c r="F18" i="72"/>
  <c r="Z16" i="72"/>
  <c r="X16" i="72"/>
  <c r="R16" i="72"/>
  <c r="N16" i="72"/>
  <c r="L16" i="72"/>
  <c r="J16" i="72"/>
  <c r="B16" i="72"/>
  <c r="Z15" i="72"/>
  <c r="X15" i="72"/>
  <c r="V15" i="72"/>
  <c r="N15" i="72"/>
  <c r="L15" i="72"/>
  <c r="B15" i="72"/>
  <c r="X14" i="72"/>
  <c r="T14" i="72"/>
  <c r="Z14" i="72" s="1"/>
  <c r="P14" i="72"/>
  <c r="H14" i="72"/>
  <c r="D14" i="72"/>
  <c r="Z12" i="72"/>
  <c r="T12" i="72"/>
  <c r="V32" i="72" s="1"/>
  <c r="P12" i="72"/>
  <c r="L12" i="72"/>
  <c r="H12" i="72"/>
  <c r="H18" i="72" s="1"/>
  <c r="D12" i="72"/>
  <c r="D18" i="72" s="1"/>
  <c r="D6" i="72"/>
  <c r="D4" i="72"/>
  <c r="X102" i="71"/>
  <c r="Z102" i="71" s="1"/>
  <c r="L102" i="71"/>
  <c r="N102" i="71" s="1"/>
  <c r="T98" i="71"/>
  <c r="P98" i="71"/>
  <c r="X98" i="71" s="1"/>
  <c r="Z98" i="71" s="1"/>
  <c r="L98" i="71"/>
  <c r="H98" i="71"/>
  <c r="D98" i="71"/>
  <c r="B98" i="71"/>
  <c r="Z97" i="71"/>
  <c r="T97" i="71"/>
  <c r="P97" i="71"/>
  <c r="X97" i="71" s="1"/>
  <c r="L97" i="71"/>
  <c r="H97" i="71"/>
  <c r="N97" i="71" s="1"/>
  <c r="D97" i="71"/>
  <c r="B97" i="71"/>
  <c r="T96" i="71"/>
  <c r="P96" i="71"/>
  <c r="H96" i="71"/>
  <c r="D96" i="71"/>
  <c r="L96" i="71" s="1"/>
  <c r="N96" i="71" s="1"/>
  <c r="B96" i="71"/>
  <c r="H95" i="71"/>
  <c r="X93" i="71"/>
  <c r="Z93" i="71" s="1"/>
  <c r="N93" i="71"/>
  <c r="L93" i="71"/>
  <c r="B93" i="71"/>
  <c r="T92" i="71"/>
  <c r="P92" i="71"/>
  <c r="H92" i="71"/>
  <c r="N92" i="71" s="1"/>
  <c r="D92" i="71"/>
  <c r="L92" i="71" s="1"/>
  <c r="B92" i="71"/>
  <c r="X91" i="71"/>
  <c r="Z91" i="71" s="1"/>
  <c r="N91" i="71"/>
  <c r="L91" i="71"/>
  <c r="B91" i="71"/>
  <c r="T90" i="71"/>
  <c r="Z90" i="71" s="1"/>
  <c r="P90" i="71"/>
  <c r="X90" i="71" s="1"/>
  <c r="H90" i="71"/>
  <c r="D90" i="71"/>
  <c r="L90" i="71" s="1"/>
  <c r="N90" i="71" s="1"/>
  <c r="B90" i="71"/>
  <c r="Z89" i="71"/>
  <c r="X89" i="71"/>
  <c r="N89" i="71"/>
  <c r="L89" i="71"/>
  <c r="B89" i="71"/>
  <c r="X88" i="71"/>
  <c r="Z88" i="71" s="1"/>
  <c r="N88" i="71"/>
  <c r="L88" i="71"/>
  <c r="B88" i="71"/>
  <c r="X87" i="71"/>
  <c r="Z87" i="71" s="1"/>
  <c r="N87" i="71"/>
  <c r="L87" i="71"/>
  <c r="B87" i="71"/>
  <c r="Z86" i="71"/>
  <c r="X86" i="71"/>
  <c r="L86" i="71"/>
  <c r="N86" i="71" s="1"/>
  <c r="B86" i="71"/>
  <c r="T85" i="71"/>
  <c r="Z85" i="71" s="1"/>
  <c r="P85" i="71"/>
  <c r="X85" i="71" s="1"/>
  <c r="L85" i="71"/>
  <c r="N85" i="71" s="1"/>
  <c r="H85" i="71"/>
  <c r="D85" i="71"/>
  <c r="B85" i="71"/>
  <c r="X84" i="71"/>
  <c r="Z84" i="71" s="1"/>
  <c r="L84" i="71"/>
  <c r="N84" i="71" s="1"/>
  <c r="B84" i="71"/>
  <c r="X83" i="71"/>
  <c r="Z83" i="71" s="1"/>
  <c r="T83" i="71"/>
  <c r="P83" i="71"/>
  <c r="N83" i="71"/>
  <c r="H83" i="71"/>
  <c r="L83" i="71" s="1"/>
  <c r="D83" i="71"/>
  <c r="B83" i="71"/>
  <c r="X82" i="71"/>
  <c r="Z82" i="71" s="1"/>
  <c r="N82" i="71"/>
  <c r="L82" i="71"/>
  <c r="B82" i="71"/>
  <c r="Z81" i="71"/>
  <c r="T81" i="71"/>
  <c r="X81" i="71" s="1"/>
  <c r="P81" i="71"/>
  <c r="H81" i="71"/>
  <c r="D81" i="71"/>
  <c r="L81" i="71" s="1"/>
  <c r="N81" i="71" s="1"/>
  <c r="B81" i="71"/>
  <c r="X80" i="71"/>
  <c r="Z80" i="71" s="1"/>
  <c r="N80" i="71"/>
  <c r="L80" i="71"/>
  <c r="B80" i="71"/>
  <c r="T79" i="71"/>
  <c r="P79" i="71"/>
  <c r="X79" i="71" s="1"/>
  <c r="Z79" i="71" s="1"/>
  <c r="H79" i="71"/>
  <c r="N79" i="71" s="1"/>
  <c r="D79" i="71"/>
  <c r="L79" i="71" s="1"/>
  <c r="B79" i="71"/>
  <c r="Z78" i="71"/>
  <c r="X78" i="71"/>
  <c r="N78" i="71"/>
  <c r="L78" i="71"/>
  <c r="B78" i="71"/>
  <c r="X77" i="71"/>
  <c r="Z77" i="71" s="1"/>
  <c r="N77" i="71"/>
  <c r="L77" i="71"/>
  <c r="B77" i="71"/>
  <c r="T76" i="71"/>
  <c r="P76" i="71"/>
  <c r="H76" i="71"/>
  <c r="D76" i="71"/>
  <c r="L76" i="71" s="1"/>
  <c r="B76" i="71"/>
  <c r="Z75" i="71"/>
  <c r="X75" i="71"/>
  <c r="N75" i="71"/>
  <c r="L75" i="71"/>
  <c r="B75" i="71"/>
  <c r="T74" i="71"/>
  <c r="Z74" i="71" s="1"/>
  <c r="P74" i="71"/>
  <c r="X74" i="71" s="1"/>
  <c r="N74" i="71"/>
  <c r="H74" i="71"/>
  <c r="D74" i="71"/>
  <c r="L74" i="71" s="1"/>
  <c r="B74" i="71"/>
  <c r="Z73" i="71"/>
  <c r="X73" i="71"/>
  <c r="L73" i="71"/>
  <c r="N73" i="71" s="1"/>
  <c r="B73" i="71"/>
  <c r="T72" i="71"/>
  <c r="P72" i="71"/>
  <c r="X72" i="71" s="1"/>
  <c r="Z72" i="71" s="1"/>
  <c r="L72" i="71"/>
  <c r="H72" i="71"/>
  <c r="N72" i="71" s="1"/>
  <c r="D72" i="71"/>
  <c r="B72" i="71"/>
  <c r="Z71" i="71"/>
  <c r="X71" i="71"/>
  <c r="N71" i="71"/>
  <c r="L71" i="71"/>
  <c r="B71" i="71"/>
  <c r="X70" i="71"/>
  <c r="T70" i="71"/>
  <c r="P70" i="71"/>
  <c r="H70" i="71"/>
  <c r="D70" i="71"/>
  <c r="B70" i="71"/>
  <c r="Z69" i="71"/>
  <c r="X69" i="71"/>
  <c r="N69" i="71"/>
  <c r="L69" i="71"/>
  <c r="B69" i="71"/>
  <c r="X68" i="71"/>
  <c r="Z68" i="71" s="1"/>
  <c r="L68" i="71"/>
  <c r="N68" i="71" s="1"/>
  <c r="B68" i="71"/>
  <c r="Z67" i="71"/>
  <c r="X67" i="71"/>
  <c r="N67" i="71"/>
  <c r="L67" i="71"/>
  <c r="B67" i="71"/>
  <c r="X66" i="71"/>
  <c r="Z66" i="71" s="1"/>
  <c r="N66" i="71"/>
  <c r="L66" i="71"/>
  <c r="B66" i="71"/>
  <c r="Z65" i="71"/>
  <c r="X65" i="71"/>
  <c r="N65" i="71"/>
  <c r="L65" i="71"/>
  <c r="B65" i="71"/>
  <c r="T64" i="71"/>
  <c r="P64" i="71"/>
  <c r="X64" i="71" s="1"/>
  <c r="L64" i="71"/>
  <c r="H64" i="71"/>
  <c r="D64" i="71"/>
  <c r="B64" i="71"/>
  <c r="Z63" i="71"/>
  <c r="X63" i="71"/>
  <c r="L63" i="71"/>
  <c r="N63" i="71" s="1"/>
  <c r="B63" i="71"/>
  <c r="X62" i="71"/>
  <c r="Z62" i="71" s="1"/>
  <c r="L62" i="71"/>
  <c r="N62" i="71" s="1"/>
  <c r="B62" i="71"/>
  <c r="Z61" i="71"/>
  <c r="X61" i="71"/>
  <c r="N61" i="71"/>
  <c r="L61" i="71"/>
  <c r="B61" i="71"/>
  <c r="X60" i="71"/>
  <c r="Z60" i="71" s="1"/>
  <c r="L60" i="71"/>
  <c r="N60" i="71" s="1"/>
  <c r="B60" i="71"/>
  <c r="X59" i="71"/>
  <c r="Z59" i="71" s="1"/>
  <c r="N59" i="71"/>
  <c r="L59" i="71"/>
  <c r="B59" i="71"/>
  <c r="Z58" i="71"/>
  <c r="X58" i="71"/>
  <c r="L58" i="71"/>
  <c r="N58" i="71" s="1"/>
  <c r="B58" i="71"/>
  <c r="Z57" i="71"/>
  <c r="X57" i="71"/>
  <c r="N57" i="71"/>
  <c r="L57" i="71"/>
  <c r="B57" i="71"/>
  <c r="X56" i="71"/>
  <c r="Z56" i="71" s="1"/>
  <c r="L56" i="71"/>
  <c r="N56" i="71" s="1"/>
  <c r="B56" i="71"/>
  <c r="Z55" i="71"/>
  <c r="X55" i="71"/>
  <c r="L55" i="71"/>
  <c r="N55" i="71" s="1"/>
  <c r="B55" i="71"/>
  <c r="X54" i="71"/>
  <c r="T54" i="71"/>
  <c r="Z54" i="71" s="1"/>
  <c r="P54" i="71"/>
  <c r="H54" i="71"/>
  <c r="D54" i="71"/>
  <c r="B54" i="71"/>
  <c r="T53" i="71" a="1"/>
  <c r="T53" i="71" s="1"/>
  <c r="P53" i="71" a="1"/>
  <c r="P53" i="71" s="1"/>
  <c r="H53" i="71" a="1"/>
  <c r="H53" i="71"/>
  <c r="D53" i="71" a="1"/>
  <c r="D53" i="71" s="1"/>
  <c r="L53" i="71" s="1"/>
  <c r="Z49" i="71"/>
  <c r="X49" i="71"/>
  <c r="N49" i="71"/>
  <c r="L49" i="71"/>
  <c r="B49" i="71"/>
  <c r="X48" i="71"/>
  <c r="Z48" i="71" s="1"/>
  <c r="L48" i="71"/>
  <c r="N48" i="71" s="1"/>
  <c r="B48" i="71"/>
  <c r="Z47" i="71"/>
  <c r="X47" i="71"/>
  <c r="N47" i="71"/>
  <c r="L47" i="71"/>
  <c r="B47" i="71"/>
  <c r="Z46" i="71"/>
  <c r="X46" i="71"/>
  <c r="N46" i="71"/>
  <c r="L46" i="71"/>
  <c r="B46" i="71"/>
  <c r="Z45" i="71"/>
  <c r="X45" i="71"/>
  <c r="N45" i="71"/>
  <c r="L45" i="71"/>
  <c r="B45" i="71"/>
  <c r="Z44" i="71"/>
  <c r="X44" i="71"/>
  <c r="N44" i="71"/>
  <c r="L44" i="71"/>
  <c r="B44" i="71"/>
  <c r="Z43" i="71"/>
  <c r="X43" i="71"/>
  <c r="N43" i="71"/>
  <c r="L43" i="71"/>
  <c r="B43" i="71"/>
  <c r="X42" i="71"/>
  <c r="Z42" i="71" s="1"/>
  <c r="N42" i="71"/>
  <c r="L42" i="71"/>
  <c r="B42" i="71"/>
  <c r="Z41" i="71"/>
  <c r="X41" i="71"/>
  <c r="N41" i="71"/>
  <c r="L41" i="71"/>
  <c r="B41" i="71"/>
  <c r="X40" i="71"/>
  <c r="Z40" i="71" s="1"/>
  <c r="L40" i="71"/>
  <c r="N40" i="71" s="1"/>
  <c r="B40" i="71"/>
  <c r="Z39" i="71"/>
  <c r="X39" i="71"/>
  <c r="N39" i="71"/>
  <c r="L39" i="71"/>
  <c r="B39" i="71"/>
  <c r="Z38" i="71"/>
  <c r="X38" i="71"/>
  <c r="L38" i="71"/>
  <c r="N38" i="71" s="1"/>
  <c r="B38" i="71"/>
  <c r="Z37" i="71"/>
  <c r="X37" i="71"/>
  <c r="N37" i="71"/>
  <c r="L37" i="71"/>
  <c r="B37" i="71"/>
  <c r="Z36" i="71"/>
  <c r="X36" i="71"/>
  <c r="N36" i="71"/>
  <c r="L36" i="71"/>
  <c r="B36" i="71"/>
  <c r="Z35" i="71"/>
  <c r="X35" i="71"/>
  <c r="T35" i="71"/>
  <c r="P35" i="71"/>
  <c r="H35" i="71"/>
  <c r="N35" i="71" s="1"/>
  <c r="D35" i="71"/>
  <c r="L35" i="71" s="1"/>
  <c r="Z33" i="71"/>
  <c r="X33" i="71"/>
  <c r="T33" i="71"/>
  <c r="P33" i="71"/>
  <c r="H33" i="71"/>
  <c r="D33" i="71"/>
  <c r="B33" i="71"/>
  <c r="T32" i="71"/>
  <c r="P32" i="71"/>
  <c r="X32" i="71" s="1"/>
  <c r="Z32" i="71" s="1"/>
  <c r="N32" i="71"/>
  <c r="L32" i="71"/>
  <c r="H32" i="71"/>
  <c r="D32" i="71"/>
  <c r="B32" i="71"/>
  <c r="T31" i="71"/>
  <c r="Z31" i="71" s="1"/>
  <c r="P31" i="71"/>
  <c r="X31" i="71" s="1"/>
  <c r="N31" i="71"/>
  <c r="H31" i="71"/>
  <c r="D31" i="71"/>
  <c r="L31" i="71" s="1"/>
  <c r="B31" i="71"/>
  <c r="T30" i="71"/>
  <c r="P30" i="71"/>
  <c r="X30" i="71" s="1"/>
  <c r="L30" i="71"/>
  <c r="H30" i="71"/>
  <c r="N30" i="71" s="1"/>
  <c r="D30" i="71"/>
  <c r="B30" i="71"/>
  <c r="T29" i="71"/>
  <c r="P29" i="71"/>
  <c r="N29" i="71"/>
  <c r="L29" i="71"/>
  <c r="H29" i="71"/>
  <c r="D29" i="71"/>
  <c r="B29" i="71"/>
  <c r="X28" i="71"/>
  <c r="Z28" i="71" s="1"/>
  <c r="T28" i="71"/>
  <c r="P28" i="71"/>
  <c r="H28" i="71"/>
  <c r="D28" i="71"/>
  <c r="L28" i="71" s="1"/>
  <c r="N28" i="71" s="1"/>
  <c r="B28" i="71"/>
  <c r="Z27" i="71"/>
  <c r="T27" i="71"/>
  <c r="P27" i="71"/>
  <c r="X27" i="71" s="1"/>
  <c r="H27" i="71"/>
  <c r="N27" i="71" s="1"/>
  <c r="D27" i="71"/>
  <c r="L27" i="71" s="1"/>
  <c r="B27" i="71"/>
  <c r="X26" i="71"/>
  <c r="T26" i="71"/>
  <c r="Z26" i="71" s="1"/>
  <c r="P26" i="71"/>
  <c r="H26" i="71"/>
  <c r="N26" i="71" s="1"/>
  <c r="D26" i="71"/>
  <c r="L26" i="71" s="1"/>
  <c r="B26" i="71"/>
  <c r="Z25" i="71"/>
  <c r="X25" i="71"/>
  <c r="T25" i="71"/>
  <c r="P25" i="71"/>
  <c r="H25" i="71"/>
  <c r="D25" i="71"/>
  <c r="B25" i="71"/>
  <c r="T24" i="71"/>
  <c r="P24" i="71"/>
  <c r="X24" i="71" s="1"/>
  <c r="Z24" i="71" s="1"/>
  <c r="L24" i="71"/>
  <c r="N24" i="71" s="1"/>
  <c r="H24" i="71"/>
  <c r="D24" i="71"/>
  <c r="B24" i="71"/>
  <c r="T23" i="71"/>
  <c r="Z23" i="71" s="1"/>
  <c r="P23" i="71"/>
  <c r="X23" i="71" s="1"/>
  <c r="N23" i="71"/>
  <c r="H23" i="71"/>
  <c r="D23" i="71"/>
  <c r="L23" i="71" s="1"/>
  <c r="B23" i="71"/>
  <c r="T22" i="71"/>
  <c r="P22" i="71"/>
  <c r="X22" i="71" s="1"/>
  <c r="L22" i="71"/>
  <c r="H22" i="71"/>
  <c r="N22" i="71" s="1"/>
  <c r="D22" i="71"/>
  <c r="B22" i="71"/>
  <c r="T21" i="71"/>
  <c r="P21" i="71"/>
  <c r="N21" i="71"/>
  <c r="L21" i="71"/>
  <c r="H21" i="71"/>
  <c r="D21" i="71"/>
  <c r="B21" i="71"/>
  <c r="X20" i="71"/>
  <c r="Z20" i="71" s="1"/>
  <c r="T20" i="71"/>
  <c r="P20" i="71"/>
  <c r="H20" i="71"/>
  <c r="D20" i="71"/>
  <c r="L20" i="71" s="1"/>
  <c r="N20" i="71" s="1"/>
  <c r="B20" i="71"/>
  <c r="Z19" i="71"/>
  <c r="T19" i="71"/>
  <c r="P19" i="71"/>
  <c r="X19" i="71" s="1"/>
  <c r="H19" i="71"/>
  <c r="N19" i="71" s="1"/>
  <c r="D19" i="71"/>
  <c r="L19" i="71" s="1"/>
  <c r="B19" i="71"/>
  <c r="X18" i="71"/>
  <c r="T18" i="71"/>
  <c r="Z18" i="71" s="1"/>
  <c r="P18" i="71"/>
  <c r="H18" i="71"/>
  <c r="D18" i="71"/>
  <c r="B18" i="71"/>
  <c r="Z17" i="71"/>
  <c r="X17" i="71"/>
  <c r="T17" i="71"/>
  <c r="P17" i="71"/>
  <c r="H17" i="71"/>
  <c r="D17" i="71"/>
  <c r="B17" i="71"/>
  <c r="T16" i="71"/>
  <c r="P16" i="71"/>
  <c r="X16" i="71" s="1"/>
  <c r="Z16" i="71" s="1"/>
  <c r="L16" i="71"/>
  <c r="N16" i="71" s="1"/>
  <c r="H16" i="71"/>
  <c r="D16" i="71"/>
  <c r="B16" i="71"/>
  <c r="T15" i="71"/>
  <c r="Z15" i="71" s="1"/>
  <c r="P15" i="71"/>
  <c r="X15" i="71" s="1"/>
  <c r="H15" i="71"/>
  <c r="D15" i="71"/>
  <c r="L15" i="71" s="1"/>
  <c r="N15" i="71" s="1"/>
  <c r="B15" i="71"/>
  <c r="T14" i="71"/>
  <c r="P14" i="71"/>
  <c r="L14" i="71"/>
  <c r="H14" i="71"/>
  <c r="N14" i="71" s="1"/>
  <c r="D14" i="71"/>
  <c r="B14" i="71"/>
  <c r="T13" i="71"/>
  <c r="P13" i="71"/>
  <c r="N13" i="71"/>
  <c r="L13" i="71"/>
  <c r="H13" i="71"/>
  <c r="H12" i="71" s="1"/>
  <c r="D13" i="71"/>
  <c r="B13" i="71"/>
  <c r="D6" i="71"/>
  <c r="D4" i="71"/>
  <c r="X83" i="70"/>
  <c r="Z83" i="70" s="1"/>
  <c r="L83" i="70"/>
  <c r="N83" i="70" s="1"/>
  <c r="T79" i="70"/>
  <c r="P79" i="70"/>
  <c r="P78" i="70" s="1"/>
  <c r="H79" i="70"/>
  <c r="D79" i="70"/>
  <c r="B79" i="70"/>
  <c r="Z76" i="70"/>
  <c r="X76" i="70"/>
  <c r="N76" i="70"/>
  <c r="L76" i="70"/>
  <c r="B76" i="70"/>
  <c r="X75" i="70"/>
  <c r="T75" i="70"/>
  <c r="P75" i="70"/>
  <c r="H75" i="70"/>
  <c r="D75" i="70"/>
  <c r="B75" i="70"/>
  <c r="Z74" i="70"/>
  <c r="X74" i="70"/>
  <c r="N74" i="70"/>
  <c r="L74" i="70"/>
  <c r="B74" i="70"/>
  <c r="T73" i="70"/>
  <c r="P73" i="70"/>
  <c r="H73" i="70"/>
  <c r="N73" i="70" s="1"/>
  <c r="D73" i="70"/>
  <c r="L73" i="70" s="1"/>
  <c r="B73" i="70"/>
  <c r="Z72" i="70"/>
  <c r="X72" i="70"/>
  <c r="N72" i="70"/>
  <c r="L72" i="70"/>
  <c r="B72" i="70"/>
  <c r="Z71" i="70"/>
  <c r="X71" i="70"/>
  <c r="L71" i="70"/>
  <c r="N71" i="70" s="1"/>
  <c r="B71" i="70"/>
  <c r="Z70" i="70"/>
  <c r="X70" i="70"/>
  <c r="N70" i="70"/>
  <c r="L70" i="70"/>
  <c r="B70" i="70"/>
  <c r="X69" i="70"/>
  <c r="Z69" i="70" s="1"/>
  <c r="L69" i="70"/>
  <c r="N69" i="70" s="1"/>
  <c r="B69" i="70"/>
  <c r="Z68" i="70"/>
  <c r="X68" i="70"/>
  <c r="N68" i="70"/>
  <c r="L68" i="70"/>
  <c r="B68" i="70"/>
  <c r="X67" i="70"/>
  <c r="T67" i="70"/>
  <c r="Z67" i="70" s="1"/>
  <c r="P67" i="70"/>
  <c r="H67" i="70"/>
  <c r="D67" i="70"/>
  <c r="B67" i="70"/>
  <c r="Z66" i="70"/>
  <c r="X66" i="70"/>
  <c r="N66" i="70"/>
  <c r="L66" i="70"/>
  <c r="B66" i="70"/>
  <c r="T65" i="70"/>
  <c r="P65" i="70"/>
  <c r="H65" i="70"/>
  <c r="N65" i="70" s="1"/>
  <c r="D65" i="70"/>
  <c r="L65" i="70" s="1"/>
  <c r="B65" i="70"/>
  <c r="Z64" i="70"/>
  <c r="X64" i="70"/>
  <c r="N64" i="70"/>
  <c r="L64" i="70"/>
  <c r="B64" i="70"/>
  <c r="T63" i="70"/>
  <c r="Z63" i="70" s="1"/>
  <c r="P63" i="70"/>
  <c r="X63" i="70" s="1"/>
  <c r="H63" i="70"/>
  <c r="D63" i="70"/>
  <c r="L63" i="70" s="1"/>
  <c r="B63" i="70"/>
  <c r="Z62" i="70"/>
  <c r="X62" i="70"/>
  <c r="N62" i="70"/>
  <c r="L62" i="70"/>
  <c r="B62" i="70"/>
  <c r="X61" i="70"/>
  <c r="Z61" i="70" s="1"/>
  <c r="L61" i="70"/>
  <c r="N61" i="70" s="1"/>
  <c r="B61" i="70"/>
  <c r="Z60" i="70"/>
  <c r="X60" i="70"/>
  <c r="N60" i="70"/>
  <c r="L60" i="70"/>
  <c r="B60" i="70"/>
  <c r="T59" i="70"/>
  <c r="P59" i="70"/>
  <c r="X59" i="70" s="1"/>
  <c r="H59" i="70"/>
  <c r="N59" i="70" s="1"/>
  <c r="D59" i="70"/>
  <c r="L59" i="70" s="1"/>
  <c r="B59" i="70"/>
  <c r="Z58" i="70"/>
  <c r="X58" i="70"/>
  <c r="N58" i="70"/>
  <c r="L58" i="70"/>
  <c r="B58" i="70"/>
  <c r="T57" i="70"/>
  <c r="Z57" i="70" s="1"/>
  <c r="P57" i="70"/>
  <c r="X57" i="70" s="1"/>
  <c r="L57" i="70"/>
  <c r="H57" i="70"/>
  <c r="N57" i="70" s="1"/>
  <c r="D57" i="70"/>
  <c r="B57" i="70"/>
  <c r="Z56" i="70"/>
  <c r="X56" i="70"/>
  <c r="N56" i="70"/>
  <c r="L56" i="70"/>
  <c r="B56" i="70"/>
  <c r="X55" i="70"/>
  <c r="Z55" i="70" s="1"/>
  <c r="L55" i="70"/>
  <c r="N55" i="70" s="1"/>
  <c r="B55" i="70"/>
  <c r="T54" i="70"/>
  <c r="P54" i="70"/>
  <c r="X54" i="70" s="1"/>
  <c r="Z54" i="70" s="1"/>
  <c r="N54" i="70"/>
  <c r="H54" i="70"/>
  <c r="D54" i="70"/>
  <c r="L54" i="70" s="1"/>
  <c r="B54" i="70"/>
  <c r="X53" i="70"/>
  <c r="Z53" i="70" s="1"/>
  <c r="L53" i="70"/>
  <c r="N53" i="70" s="1"/>
  <c r="B53" i="70"/>
  <c r="T52" i="70"/>
  <c r="P52" i="70"/>
  <c r="X52" i="70" s="1"/>
  <c r="Z52" i="70" s="1"/>
  <c r="H52" i="70"/>
  <c r="D52" i="70"/>
  <c r="L52" i="70" s="1"/>
  <c r="N52" i="70" s="1"/>
  <c r="B52" i="70"/>
  <c r="Z51" i="70"/>
  <c r="X51" i="70"/>
  <c r="N51" i="70"/>
  <c r="L51" i="70"/>
  <c r="B51" i="70"/>
  <c r="Z50" i="70"/>
  <c r="T50" i="70"/>
  <c r="P50" i="70"/>
  <c r="X50" i="70" s="1"/>
  <c r="N50" i="70"/>
  <c r="L50" i="70"/>
  <c r="H50" i="70"/>
  <c r="D50" i="70"/>
  <c r="B50" i="70"/>
  <c r="X49" i="70"/>
  <c r="Z49" i="70" s="1"/>
  <c r="L49" i="70"/>
  <c r="N49" i="70" s="1"/>
  <c r="B49" i="70"/>
  <c r="Z48" i="70"/>
  <c r="X48" i="70"/>
  <c r="T48" i="70"/>
  <c r="P48" i="70"/>
  <c r="H48" i="70"/>
  <c r="L48" i="70" s="1"/>
  <c r="N48" i="70" s="1"/>
  <c r="D48" i="70"/>
  <c r="B48" i="70"/>
  <c r="Z47" i="70"/>
  <c r="X47" i="70"/>
  <c r="N47" i="70"/>
  <c r="L47" i="70"/>
  <c r="B47" i="70"/>
  <c r="Z46" i="70"/>
  <c r="T46" i="70"/>
  <c r="P46" i="70"/>
  <c r="X46" i="70" s="1"/>
  <c r="N46" i="70"/>
  <c r="H46" i="70"/>
  <c r="D46" i="70"/>
  <c r="L46" i="70" s="1"/>
  <c r="B46" i="70"/>
  <c r="X45" i="70"/>
  <c r="Z45" i="70" s="1"/>
  <c r="L45" i="70"/>
  <c r="N45" i="70" s="1"/>
  <c r="B45" i="70"/>
  <c r="Z44" i="70"/>
  <c r="X44" i="70"/>
  <c r="N44" i="70"/>
  <c r="L44" i="70"/>
  <c r="B44" i="70"/>
  <c r="X43" i="70"/>
  <c r="Z43" i="70" s="1"/>
  <c r="N43" i="70"/>
  <c r="L43" i="70"/>
  <c r="B43" i="70"/>
  <c r="T42" i="70"/>
  <c r="P42" i="70"/>
  <c r="X42" i="70" s="1"/>
  <c r="Z42" i="70" s="1"/>
  <c r="N42" i="70"/>
  <c r="H42" i="70"/>
  <c r="D42" i="70"/>
  <c r="L42" i="70" s="1"/>
  <c r="B42" i="70"/>
  <c r="X41" i="70"/>
  <c r="Z41" i="70" s="1"/>
  <c r="L41" i="70"/>
  <c r="N41" i="70" s="1"/>
  <c r="B41" i="70"/>
  <c r="Z40" i="70"/>
  <c r="X40" i="70"/>
  <c r="N40" i="70"/>
  <c r="L40" i="70"/>
  <c r="B40" i="70"/>
  <c r="X39" i="70"/>
  <c r="Z39" i="70" s="1"/>
  <c r="L39" i="70"/>
  <c r="N39" i="70" s="1"/>
  <c r="B39" i="70"/>
  <c r="Z38" i="70"/>
  <c r="X38" i="70"/>
  <c r="N38" i="70"/>
  <c r="L38" i="70"/>
  <c r="B38" i="70"/>
  <c r="X37" i="70"/>
  <c r="Z37" i="70" s="1"/>
  <c r="L37" i="70"/>
  <c r="N37" i="70" s="1"/>
  <c r="B37" i="70"/>
  <c r="Z36" i="70"/>
  <c r="X36" i="70"/>
  <c r="N36" i="70"/>
  <c r="L36" i="70"/>
  <c r="B36" i="70"/>
  <c r="X35" i="70"/>
  <c r="Z35" i="70" s="1"/>
  <c r="L35" i="70"/>
  <c r="N35" i="70" s="1"/>
  <c r="B35" i="70"/>
  <c r="Z34" i="70"/>
  <c r="X34" i="70"/>
  <c r="N34" i="70"/>
  <c r="L34" i="70"/>
  <c r="B34" i="70"/>
  <c r="X33" i="70"/>
  <c r="T33" i="70"/>
  <c r="P33" i="70"/>
  <c r="H33" i="70"/>
  <c r="D33" i="70"/>
  <c r="B33" i="70"/>
  <c r="T32" i="70" a="1"/>
  <c r="T32" i="70"/>
  <c r="P32" i="70" a="1"/>
  <c r="P32" i="70" s="1"/>
  <c r="X32" i="70" s="1"/>
  <c r="H32" i="70" a="1"/>
  <c r="H32" i="70" s="1"/>
  <c r="D32" i="70" a="1"/>
  <c r="D32" i="70" s="1"/>
  <c r="Z28" i="70"/>
  <c r="X28" i="70"/>
  <c r="N28" i="70"/>
  <c r="L28" i="70"/>
  <c r="B28" i="70"/>
  <c r="X27" i="70"/>
  <c r="T27" i="70"/>
  <c r="Z27" i="70" s="1"/>
  <c r="P27" i="70"/>
  <c r="H27" i="70"/>
  <c r="N27" i="70" s="1"/>
  <c r="D27" i="70"/>
  <c r="T25" i="70"/>
  <c r="Z25" i="70" s="1"/>
  <c r="P25" i="70"/>
  <c r="X25" i="70" s="1"/>
  <c r="N25" i="70"/>
  <c r="L25" i="70"/>
  <c r="H25" i="70"/>
  <c r="D25" i="70"/>
  <c r="B25" i="70"/>
  <c r="T24" i="70"/>
  <c r="P24" i="70"/>
  <c r="N24" i="70"/>
  <c r="H24" i="70"/>
  <c r="D24" i="70"/>
  <c r="L24" i="70" s="1"/>
  <c r="B24" i="70"/>
  <c r="Z23" i="70"/>
  <c r="T23" i="70"/>
  <c r="P23" i="70"/>
  <c r="X23" i="70" s="1"/>
  <c r="H23" i="70"/>
  <c r="N23" i="70" s="1"/>
  <c r="D23" i="70"/>
  <c r="L23" i="70" s="1"/>
  <c r="B23" i="70"/>
  <c r="T22" i="70"/>
  <c r="X22" i="70" s="1"/>
  <c r="P22" i="70"/>
  <c r="H22" i="70"/>
  <c r="D22" i="70"/>
  <c r="L22" i="70" s="1"/>
  <c r="B22" i="70"/>
  <c r="X21" i="70"/>
  <c r="Z21" i="70" s="1"/>
  <c r="T21" i="70"/>
  <c r="P21" i="70"/>
  <c r="H21" i="70"/>
  <c r="D21" i="70"/>
  <c r="L21" i="70" s="1"/>
  <c r="B21" i="70"/>
  <c r="Z20" i="70"/>
  <c r="T20" i="70"/>
  <c r="P20" i="70"/>
  <c r="X20" i="70" s="1"/>
  <c r="H20" i="70"/>
  <c r="D20" i="70"/>
  <c r="B20" i="70"/>
  <c r="T19" i="70"/>
  <c r="Z19" i="70" s="1"/>
  <c r="P19" i="70"/>
  <c r="X19" i="70" s="1"/>
  <c r="N19" i="70"/>
  <c r="L19" i="70"/>
  <c r="H19" i="70"/>
  <c r="D19" i="70"/>
  <c r="B19" i="70"/>
  <c r="T18" i="70"/>
  <c r="Z18" i="70" s="1"/>
  <c r="P18" i="70"/>
  <c r="X18" i="70" s="1"/>
  <c r="H18" i="70"/>
  <c r="D18" i="70"/>
  <c r="B18" i="70"/>
  <c r="T17" i="70"/>
  <c r="Z17" i="70" s="1"/>
  <c r="P17" i="70"/>
  <c r="X17" i="70" s="1"/>
  <c r="L17" i="70"/>
  <c r="N17" i="70" s="1"/>
  <c r="H17" i="70"/>
  <c r="D17" i="70"/>
  <c r="B17" i="70"/>
  <c r="T16" i="70"/>
  <c r="P16" i="70"/>
  <c r="H16" i="70"/>
  <c r="D16" i="70"/>
  <c r="L16" i="70" s="1"/>
  <c r="N16" i="70" s="1"/>
  <c r="B16" i="70"/>
  <c r="T15" i="70"/>
  <c r="P15" i="70"/>
  <c r="X15" i="70" s="1"/>
  <c r="Z15" i="70" s="1"/>
  <c r="H15" i="70"/>
  <c r="D15" i="70"/>
  <c r="L15" i="70" s="1"/>
  <c r="B15" i="70"/>
  <c r="T14" i="70"/>
  <c r="P14" i="70"/>
  <c r="H14" i="70"/>
  <c r="N14" i="70" s="1"/>
  <c r="D14" i="70"/>
  <c r="L14" i="70" s="1"/>
  <c r="B14" i="70"/>
  <c r="X13" i="70"/>
  <c r="Z13" i="70" s="1"/>
  <c r="T13" i="70"/>
  <c r="P13" i="70"/>
  <c r="H13" i="70"/>
  <c r="N13" i="70" s="1"/>
  <c r="D13" i="70"/>
  <c r="B13" i="70"/>
  <c r="D6" i="70"/>
  <c r="D4" i="70"/>
  <c r="Z149" i="69"/>
  <c r="X149" i="69"/>
  <c r="N149" i="69"/>
  <c r="L149" i="69"/>
  <c r="Z145" i="69"/>
  <c r="T145" i="69"/>
  <c r="P145" i="69"/>
  <c r="X145" i="69" s="1"/>
  <c r="H145" i="69"/>
  <c r="L145" i="69" s="1"/>
  <c r="N145" i="69" s="1"/>
  <c r="D145" i="69"/>
  <c r="B145" i="69"/>
  <c r="T144" i="69"/>
  <c r="P144" i="69"/>
  <c r="P143" i="69" s="1"/>
  <c r="H144" i="69"/>
  <c r="N144" i="69" s="1"/>
  <c r="D144" i="69"/>
  <c r="B144" i="69"/>
  <c r="Z141" i="69"/>
  <c r="X141" i="69"/>
  <c r="N141" i="69"/>
  <c r="L141" i="69"/>
  <c r="B141" i="69"/>
  <c r="X140" i="69"/>
  <c r="T140" i="69"/>
  <c r="P140" i="69"/>
  <c r="H140" i="69"/>
  <c r="D140" i="69"/>
  <c r="B140" i="69"/>
  <c r="Z139" i="69"/>
  <c r="X139" i="69"/>
  <c r="N139" i="69"/>
  <c r="L139" i="69"/>
  <c r="B139" i="69"/>
  <c r="T138" i="69"/>
  <c r="P138" i="69"/>
  <c r="H138" i="69"/>
  <c r="N138" i="69" s="1"/>
  <c r="D138" i="69"/>
  <c r="L138" i="69" s="1"/>
  <c r="B138" i="69"/>
  <c r="Z137" i="69"/>
  <c r="X137" i="69"/>
  <c r="N137" i="69"/>
  <c r="L137" i="69"/>
  <c r="B137" i="69"/>
  <c r="T136" i="69"/>
  <c r="Z136" i="69" s="1"/>
  <c r="P136" i="69"/>
  <c r="X136" i="69" s="1"/>
  <c r="H136" i="69"/>
  <c r="D136" i="69"/>
  <c r="L136" i="69" s="1"/>
  <c r="N136" i="69" s="1"/>
  <c r="B136" i="69"/>
  <c r="Z135" i="69"/>
  <c r="X135" i="69"/>
  <c r="N135" i="69"/>
  <c r="L135" i="69"/>
  <c r="B135" i="69"/>
  <c r="Z134" i="69"/>
  <c r="X134" i="69"/>
  <c r="N134" i="69"/>
  <c r="L134" i="69"/>
  <c r="B134" i="69"/>
  <c r="Z133" i="69"/>
  <c r="X133" i="69"/>
  <c r="N133" i="69"/>
  <c r="L133" i="69"/>
  <c r="B133" i="69"/>
  <c r="X132" i="69"/>
  <c r="Z132" i="69" s="1"/>
  <c r="N132" i="69"/>
  <c r="L132" i="69"/>
  <c r="B132" i="69"/>
  <c r="X131" i="69"/>
  <c r="Z131" i="69" s="1"/>
  <c r="N131" i="69"/>
  <c r="L131" i="69"/>
  <c r="B131" i="69"/>
  <c r="T130" i="69"/>
  <c r="P130" i="69"/>
  <c r="H130" i="69"/>
  <c r="N130" i="69" s="1"/>
  <c r="D130" i="69"/>
  <c r="L130" i="69" s="1"/>
  <c r="B130" i="69"/>
  <c r="Z129" i="69"/>
  <c r="X129" i="69"/>
  <c r="N129" i="69"/>
  <c r="L129" i="69"/>
  <c r="B129" i="69"/>
  <c r="X128" i="69"/>
  <c r="Z128" i="69" s="1"/>
  <c r="N128" i="69"/>
  <c r="L128" i="69"/>
  <c r="B128" i="69"/>
  <c r="T127" i="69"/>
  <c r="P127" i="69"/>
  <c r="X127" i="69" s="1"/>
  <c r="Z127" i="69" s="1"/>
  <c r="N127" i="69"/>
  <c r="H127" i="69"/>
  <c r="L127" i="69" s="1"/>
  <c r="D127" i="69"/>
  <c r="B127" i="69"/>
  <c r="Z126" i="69"/>
  <c r="X126" i="69"/>
  <c r="N126" i="69"/>
  <c r="L126" i="69"/>
  <c r="B126" i="69"/>
  <c r="Z125" i="69"/>
  <c r="X125" i="69"/>
  <c r="N125" i="69"/>
  <c r="L125" i="69"/>
  <c r="B125" i="69"/>
  <c r="T124" i="69"/>
  <c r="Z124" i="69" s="1"/>
  <c r="P124" i="69"/>
  <c r="X124" i="69" s="1"/>
  <c r="N124" i="69"/>
  <c r="H124" i="69"/>
  <c r="D124" i="69"/>
  <c r="L124" i="69" s="1"/>
  <c r="B124" i="69"/>
  <c r="Z123" i="69"/>
  <c r="X123" i="69"/>
  <c r="N123" i="69"/>
  <c r="L123" i="69"/>
  <c r="B123" i="69"/>
  <c r="Z122" i="69"/>
  <c r="X122" i="69"/>
  <c r="N122" i="69"/>
  <c r="L122" i="69"/>
  <c r="B122" i="69"/>
  <c r="Z121" i="69"/>
  <c r="T121" i="69"/>
  <c r="P121" i="69"/>
  <c r="X121" i="69" s="1"/>
  <c r="N121" i="69"/>
  <c r="L121" i="69"/>
  <c r="H121" i="69"/>
  <c r="D121" i="69"/>
  <c r="B121" i="69"/>
  <c r="Z120" i="69"/>
  <c r="X120" i="69"/>
  <c r="N120" i="69"/>
  <c r="L120" i="69"/>
  <c r="B120" i="69"/>
  <c r="Z119" i="69"/>
  <c r="X119" i="69"/>
  <c r="T119" i="69"/>
  <c r="P119" i="69"/>
  <c r="N119" i="69"/>
  <c r="H119" i="69"/>
  <c r="D119" i="69"/>
  <c r="L119" i="69" s="1"/>
  <c r="B119" i="69"/>
  <c r="Z118" i="69"/>
  <c r="X118" i="69"/>
  <c r="N118" i="69"/>
  <c r="L118" i="69"/>
  <c r="B118" i="69"/>
  <c r="Z117" i="69"/>
  <c r="X117" i="69"/>
  <c r="L117" i="69"/>
  <c r="N117" i="69" s="1"/>
  <c r="B117" i="69"/>
  <c r="X116" i="69"/>
  <c r="T116" i="69"/>
  <c r="P116" i="69"/>
  <c r="H116" i="69"/>
  <c r="D116" i="69"/>
  <c r="B116" i="69"/>
  <c r="Z115" i="69"/>
  <c r="X115" i="69"/>
  <c r="N115" i="69"/>
  <c r="L115" i="69"/>
  <c r="B115" i="69"/>
  <c r="T114" i="69"/>
  <c r="P114" i="69"/>
  <c r="H114" i="69"/>
  <c r="N114" i="69" s="1"/>
  <c r="D114" i="69"/>
  <c r="L114" i="69" s="1"/>
  <c r="B114" i="69"/>
  <c r="X113" i="69"/>
  <c r="Z113" i="69" s="1"/>
  <c r="N113" i="69"/>
  <c r="L113" i="69"/>
  <c r="B113" i="69"/>
  <c r="X112" i="69"/>
  <c r="Z112" i="69" s="1"/>
  <c r="L112" i="69"/>
  <c r="N112" i="69" s="1"/>
  <c r="B112" i="69"/>
  <c r="T111" i="69"/>
  <c r="P111" i="69"/>
  <c r="X111" i="69" s="1"/>
  <c r="Z111" i="69" s="1"/>
  <c r="L111" i="69"/>
  <c r="N111" i="69" s="1"/>
  <c r="H111" i="69"/>
  <c r="D111" i="69"/>
  <c r="B111" i="69"/>
  <c r="Z110" i="69"/>
  <c r="X110" i="69"/>
  <c r="N110" i="69"/>
  <c r="L110" i="69"/>
  <c r="B110" i="69"/>
  <c r="Z109" i="69"/>
  <c r="X109" i="69"/>
  <c r="T109" i="69"/>
  <c r="P109" i="69"/>
  <c r="N109" i="69"/>
  <c r="L109" i="69"/>
  <c r="H109" i="69"/>
  <c r="D109" i="69"/>
  <c r="B109" i="69"/>
  <c r="Z108" i="69"/>
  <c r="X108" i="69"/>
  <c r="N108" i="69"/>
  <c r="L108" i="69"/>
  <c r="B108" i="69"/>
  <c r="Z107" i="69"/>
  <c r="X107" i="69"/>
  <c r="T107" i="69"/>
  <c r="P107" i="69"/>
  <c r="N107" i="69"/>
  <c r="H107" i="69"/>
  <c r="D107" i="69"/>
  <c r="L107" i="69" s="1"/>
  <c r="B107" i="69"/>
  <c r="Z106" i="69"/>
  <c r="X106" i="69"/>
  <c r="N106" i="69"/>
  <c r="L106" i="69"/>
  <c r="B106" i="69"/>
  <c r="Z105" i="69"/>
  <c r="X105" i="69"/>
  <c r="N105" i="69"/>
  <c r="L105" i="69"/>
  <c r="B105" i="69"/>
  <c r="X104" i="69"/>
  <c r="T104" i="69"/>
  <c r="Z104" i="69" s="1"/>
  <c r="P104" i="69"/>
  <c r="H104" i="69"/>
  <c r="D104" i="69"/>
  <c r="B104" i="69"/>
  <c r="X103" i="69"/>
  <c r="Z103" i="69" s="1"/>
  <c r="N103" i="69"/>
  <c r="L103" i="69"/>
  <c r="B103" i="69"/>
  <c r="T102" i="69"/>
  <c r="P102" i="69"/>
  <c r="H102" i="69"/>
  <c r="D102" i="69"/>
  <c r="L102" i="69" s="1"/>
  <c r="B102" i="69"/>
  <c r="X101" i="69"/>
  <c r="Z101" i="69" s="1"/>
  <c r="N101" i="69"/>
  <c r="L101" i="69"/>
  <c r="B101" i="69"/>
  <c r="Z100" i="69"/>
  <c r="X100" i="69"/>
  <c r="L100" i="69"/>
  <c r="N100" i="69" s="1"/>
  <c r="B100" i="69"/>
  <c r="Z99" i="69"/>
  <c r="X99" i="69"/>
  <c r="N99" i="69"/>
  <c r="L99" i="69"/>
  <c r="B99" i="69"/>
  <c r="X98" i="69"/>
  <c r="Z98" i="69" s="1"/>
  <c r="N98" i="69"/>
  <c r="L98" i="69"/>
  <c r="B98" i="69"/>
  <c r="Z97" i="69"/>
  <c r="X97" i="69"/>
  <c r="L97" i="69"/>
  <c r="N97" i="69" s="1"/>
  <c r="B97" i="69"/>
  <c r="X96" i="69"/>
  <c r="Z96" i="69" s="1"/>
  <c r="N96" i="69"/>
  <c r="L96" i="69"/>
  <c r="B96" i="69"/>
  <c r="Z95" i="69"/>
  <c r="X95" i="69"/>
  <c r="T95" i="69"/>
  <c r="P95" i="69"/>
  <c r="H95" i="69"/>
  <c r="D95" i="69"/>
  <c r="L95" i="69" s="1"/>
  <c r="N95" i="69" s="1"/>
  <c r="B95" i="69"/>
  <c r="X94" i="69"/>
  <c r="Z94" i="69" s="1"/>
  <c r="N94" i="69"/>
  <c r="L94" i="69"/>
  <c r="B94" i="69"/>
  <c r="Z93" i="69"/>
  <c r="X93" i="69"/>
  <c r="L93" i="69"/>
  <c r="N93" i="69" s="1"/>
  <c r="B93" i="69"/>
  <c r="X92" i="69"/>
  <c r="Z92" i="69" s="1"/>
  <c r="N92" i="69"/>
  <c r="L92" i="69"/>
  <c r="B92" i="69"/>
  <c r="Z91" i="69"/>
  <c r="X91" i="69"/>
  <c r="N91" i="69"/>
  <c r="L91" i="69"/>
  <c r="B91" i="69"/>
  <c r="Z90" i="69"/>
  <c r="X90" i="69"/>
  <c r="L90" i="69"/>
  <c r="N90" i="69" s="1"/>
  <c r="B90" i="69"/>
  <c r="X89" i="69"/>
  <c r="Z89" i="69" s="1"/>
  <c r="N89" i="69"/>
  <c r="L89" i="69"/>
  <c r="B89" i="69"/>
  <c r="Z88" i="69"/>
  <c r="X88" i="69"/>
  <c r="L88" i="69"/>
  <c r="N88" i="69" s="1"/>
  <c r="B88" i="69"/>
  <c r="Z87" i="69"/>
  <c r="X87" i="69"/>
  <c r="N87" i="69"/>
  <c r="L87" i="69"/>
  <c r="B87" i="69"/>
  <c r="T86" i="69"/>
  <c r="P86" i="69"/>
  <c r="H86" i="69"/>
  <c r="D86" i="69"/>
  <c r="L86" i="69" s="1"/>
  <c r="B86" i="69"/>
  <c r="T85" i="69" a="1"/>
  <c r="T85" i="69" s="1"/>
  <c r="P85" i="69" a="1"/>
  <c r="P85" i="69" s="1"/>
  <c r="X85" i="69" s="1"/>
  <c r="H85" i="69" a="1"/>
  <c r="H85" i="69"/>
  <c r="D85" i="69" a="1"/>
  <c r="D85" i="69" s="1"/>
  <c r="Z81" i="69"/>
  <c r="X81" i="69"/>
  <c r="L81" i="69"/>
  <c r="N81" i="69" s="1"/>
  <c r="B81" i="69"/>
  <c r="Z80" i="69"/>
  <c r="X80" i="69"/>
  <c r="N80" i="69"/>
  <c r="L80" i="69"/>
  <c r="B80" i="69"/>
  <c r="Z79" i="69"/>
  <c r="X79" i="69"/>
  <c r="N79" i="69"/>
  <c r="L79" i="69"/>
  <c r="B79" i="69"/>
  <c r="Z78" i="69"/>
  <c r="X78" i="69"/>
  <c r="L78" i="69"/>
  <c r="N78" i="69" s="1"/>
  <c r="B78" i="69"/>
  <c r="X77" i="69"/>
  <c r="Z77" i="69" s="1"/>
  <c r="N77" i="69"/>
  <c r="L77" i="69"/>
  <c r="B77" i="69"/>
  <c r="Z76" i="69"/>
  <c r="X76" i="69"/>
  <c r="L76" i="69"/>
  <c r="N76" i="69" s="1"/>
  <c r="B76" i="69"/>
  <c r="X75" i="69"/>
  <c r="Z75" i="69" s="1"/>
  <c r="N75" i="69"/>
  <c r="L75" i="69"/>
  <c r="B75" i="69"/>
  <c r="X74" i="69"/>
  <c r="Z74" i="69" s="1"/>
  <c r="N74" i="69"/>
  <c r="L74" i="69"/>
  <c r="B74" i="69"/>
  <c r="Z73" i="69"/>
  <c r="X73" i="69"/>
  <c r="N73" i="69"/>
  <c r="L73" i="69"/>
  <c r="B73" i="69"/>
  <c r="X72" i="69"/>
  <c r="Z72" i="69" s="1"/>
  <c r="N72" i="69"/>
  <c r="L72" i="69"/>
  <c r="B72" i="69"/>
  <c r="Z71" i="69"/>
  <c r="X71" i="69"/>
  <c r="N71" i="69"/>
  <c r="L71" i="69"/>
  <c r="B71" i="69"/>
  <c r="Z70" i="69"/>
  <c r="X70" i="69"/>
  <c r="L70" i="69"/>
  <c r="N70" i="69" s="1"/>
  <c r="B70" i="69"/>
  <c r="Z69" i="69"/>
  <c r="X69" i="69"/>
  <c r="N69" i="69"/>
  <c r="L69" i="69"/>
  <c r="B69" i="69"/>
  <c r="Z68" i="69"/>
  <c r="X68" i="69"/>
  <c r="L68" i="69"/>
  <c r="N68" i="69" s="1"/>
  <c r="B68" i="69"/>
  <c r="X67" i="69"/>
  <c r="Z67" i="69" s="1"/>
  <c r="N67" i="69"/>
  <c r="L67" i="69"/>
  <c r="B67" i="69"/>
  <c r="X66" i="69"/>
  <c r="Z66" i="69" s="1"/>
  <c r="N66" i="69"/>
  <c r="L66" i="69"/>
  <c r="B66" i="69"/>
  <c r="Z65" i="69"/>
  <c r="X65" i="69"/>
  <c r="N65" i="69"/>
  <c r="L65" i="69"/>
  <c r="B65" i="69"/>
  <c r="X64" i="69"/>
  <c r="Z64" i="69" s="1"/>
  <c r="N64" i="69"/>
  <c r="L64" i="69"/>
  <c r="B64" i="69"/>
  <c r="Z63" i="69"/>
  <c r="X63" i="69"/>
  <c r="L63" i="69"/>
  <c r="N63" i="69" s="1"/>
  <c r="B63" i="69"/>
  <c r="Z62" i="69"/>
  <c r="X62" i="69"/>
  <c r="N62" i="69"/>
  <c r="L62" i="69"/>
  <c r="B62" i="69"/>
  <c r="Z61" i="69"/>
  <c r="X61" i="69"/>
  <c r="N61" i="69"/>
  <c r="L61" i="69"/>
  <c r="B61" i="69"/>
  <c r="Z60" i="69"/>
  <c r="X60" i="69"/>
  <c r="L60" i="69"/>
  <c r="N60" i="69" s="1"/>
  <c r="B60" i="69"/>
  <c r="X59" i="69"/>
  <c r="Z59" i="69" s="1"/>
  <c r="N59" i="69"/>
  <c r="L59" i="69"/>
  <c r="B59" i="69"/>
  <c r="X58" i="69"/>
  <c r="Z58" i="69" s="1"/>
  <c r="N58" i="69"/>
  <c r="L58" i="69"/>
  <c r="B58" i="69"/>
  <c r="Z57" i="69"/>
  <c r="X57" i="69"/>
  <c r="N57" i="69"/>
  <c r="L57" i="69"/>
  <c r="B57" i="69"/>
  <c r="X56" i="69"/>
  <c r="T56" i="69"/>
  <c r="Z56" i="69" s="1"/>
  <c r="P56" i="69"/>
  <c r="H56" i="69"/>
  <c r="D56" i="69"/>
  <c r="T54" i="69"/>
  <c r="Z54" i="69" s="1"/>
  <c r="P54" i="69"/>
  <c r="X54" i="69" s="1"/>
  <c r="L54" i="69"/>
  <c r="H54" i="69"/>
  <c r="N54" i="69" s="1"/>
  <c r="D54" i="69"/>
  <c r="B54" i="69"/>
  <c r="T53" i="69"/>
  <c r="P53" i="69"/>
  <c r="N53" i="69"/>
  <c r="L53" i="69"/>
  <c r="H53" i="69"/>
  <c r="D53" i="69"/>
  <c r="B53" i="69"/>
  <c r="T52" i="69"/>
  <c r="P52" i="69"/>
  <c r="X52" i="69" s="1"/>
  <c r="Z52" i="69" s="1"/>
  <c r="N52" i="69"/>
  <c r="L52" i="69"/>
  <c r="H52" i="69"/>
  <c r="D52" i="69"/>
  <c r="B52" i="69"/>
  <c r="T51" i="69"/>
  <c r="P51" i="69"/>
  <c r="H51" i="69"/>
  <c r="D51" i="69"/>
  <c r="L51" i="69" s="1"/>
  <c r="N51" i="69" s="1"/>
  <c r="B51" i="69"/>
  <c r="X50" i="69"/>
  <c r="T50" i="69"/>
  <c r="Z50" i="69" s="1"/>
  <c r="P50" i="69"/>
  <c r="H50" i="69"/>
  <c r="N50" i="69" s="1"/>
  <c r="D50" i="69"/>
  <c r="L50" i="69" s="1"/>
  <c r="B50" i="69"/>
  <c r="Z49" i="69"/>
  <c r="X49" i="69"/>
  <c r="T49" i="69"/>
  <c r="P49" i="69"/>
  <c r="H49" i="69"/>
  <c r="N49" i="69" s="1"/>
  <c r="D49" i="69"/>
  <c r="B49" i="69"/>
  <c r="Z48" i="69"/>
  <c r="X48" i="69"/>
  <c r="T48" i="69"/>
  <c r="P48" i="69"/>
  <c r="H48" i="69"/>
  <c r="D48" i="69"/>
  <c r="L48" i="69" s="1"/>
  <c r="N48" i="69" s="1"/>
  <c r="B48" i="69"/>
  <c r="T47" i="69"/>
  <c r="P47" i="69"/>
  <c r="X47" i="69" s="1"/>
  <c r="Z47" i="69" s="1"/>
  <c r="H47" i="69"/>
  <c r="D47" i="69"/>
  <c r="B47" i="69"/>
  <c r="T46" i="69"/>
  <c r="Z46" i="69" s="1"/>
  <c r="P46" i="69"/>
  <c r="X46" i="69" s="1"/>
  <c r="L46" i="69"/>
  <c r="H46" i="69"/>
  <c r="D46" i="69"/>
  <c r="B46" i="69"/>
  <c r="T45" i="69"/>
  <c r="P45" i="69"/>
  <c r="N45" i="69"/>
  <c r="L45" i="69"/>
  <c r="H45" i="69"/>
  <c r="D45" i="69"/>
  <c r="B45" i="69"/>
  <c r="T44" i="69"/>
  <c r="P44" i="69"/>
  <c r="X44" i="69" s="1"/>
  <c r="Z44" i="69" s="1"/>
  <c r="N44" i="69"/>
  <c r="L44" i="69"/>
  <c r="H44" i="69"/>
  <c r="D44" i="69"/>
  <c r="B44" i="69"/>
  <c r="T43" i="69"/>
  <c r="P43" i="69"/>
  <c r="H43" i="69"/>
  <c r="D43" i="69"/>
  <c r="L43" i="69" s="1"/>
  <c r="N43" i="69" s="1"/>
  <c r="B43" i="69"/>
  <c r="X42" i="69"/>
  <c r="T42" i="69"/>
  <c r="Z42" i="69" s="1"/>
  <c r="P42" i="69"/>
  <c r="H42" i="69"/>
  <c r="N42" i="69" s="1"/>
  <c r="D42" i="69"/>
  <c r="L42" i="69" s="1"/>
  <c r="B42" i="69"/>
  <c r="Z41" i="69"/>
  <c r="X41" i="69"/>
  <c r="T41" i="69"/>
  <c r="P41" i="69"/>
  <c r="H41" i="69"/>
  <c r="N41" i="69" s="1"/>
  <c r="D41" i="69"/>
  <c r="B41" i="69"/>
  <c r="Z40" i="69"/>
  <c r="X40" i="69"/>
  <c r="T40" i="69"/>
  <c r="P40" i="69"/>
  <c r="N40" i="69"/>
  <c r="H40" i="69"/>
  <c r="D40" i="69"/>
  <c r="L40" i="69" s="1"/>
  <c r="B40" i="69"/>
  <c r="T39" i="69"/>
  <c r="P39" i="69"/>
  <c r="X39" i="69" s="1"/>
  <c r="Z39" i="69" s="1"/>
  <c r="H39" i="69"/>
  <c r="N39" i="69" s="1"/>
  <c r="D39" i="69"/>
  <c r="B39" i="69"/>
  <c r="T38" i="69"/>
  <c r="P38" i="69"/>
  <c r="X38" i="69" s="1"/>
  <c r="L38" i="69"/>
  <c r="H38" i="69"/>
  <c r="D38" i="69"/>
  <c r="B38" i="69"/>
  <c r="T37" i="69"/>
  <c r="P37" i="69"/>
  <c r="N37" i="69"/>
  <c r="L37" i="69"/>
  <c r="H37" i="69"/>
  <c r="D37" i="69"/>
  <c r="B37" i="69"/>
  <c r="T36" i="69"/>
  <c r="P36" i="69"/>
  <c r="X36" i="69" s="1"/>
  <c r="Z36" i="69" s="1"/>
  <c r="N36" i="69"/>
  <c r="L36" i="69"/>
  <c r="H36" i="69"/>
  <c r="D36" i="69"/>
  <c r="B36" i="69"/>
  <c r="T35" i="69"/>
  <c r="P35" i="69"/>
  <c r="X35" i="69" s="1"/>
  <c r="H35" i="69"/>
  <c r="D35" i="69"/>
  <c r="L35" i="69" s="1"/>
  <c r="N35" i="69" s="1"/>
  <c r="B35" i="69"/>
  <c r="X34" i="69"/>
  <c r="T34" i="69"/>
  <c r="P34" i="69"/>
  <c r="H34" i="69"/>
  <c r="D34" i="69"/>
  <c r="L34" i="69" s="1"/>
  <c r="B34" i="69"/>
  <c r="Z33" i="69"/>
  <c r="X33" i="69"/>
  <c r="T33" i="69"/>
  <c r="P33" i="69"/>
  <c r="H33" i="69"/>
  <c r="N33" i="69" s="1"/>
  <c r="D33" i="69"/>
  <c r="B33" i="69"/>
  <c r="Z32" i="69"/>
  <c r="X32" i="69"/>
  <c r="T32" i="69"/>
  <c r="P32" i="69"/>
  <c r="N32" i="69"/>
  <c r="H32" i="69"/>
  <c r="D32" i="69"/>
  <c r="L32" i="69" s="1"/>
  <c r="B32" i="69"/>
  <c r="T31" i="69"/>
  <c r="P31" i="69"/>
  <c r="X31" i="69" s="1"/>
  <c r="Z31" i="69" s="1"/>
  <c r="H31" i="69"/>
  <c r="N31" i="69" s="1"/>
  <c r="D31" i="69"/>
  <c r="L31" i="69" s="1"/>
  <c r="B31" i="69"/>
  <c r="T30" i="69"/>
  <c r="P30" i="69"/>
  <c r="X30" i="69" s="1"/>
  <c r="L30" i="69"/>
  <c r="H30" i="69"/>
  <c r="N30" i="69" s="1"/>
  <c r="D30" i="69"/>
  <c r="B30" i="69"/>
  <c r="T29" i="69"/>
  <c r="P29" i="69"/>
  <c r="N29" i="69"/>
  <c r="L29" i="69"/>
  <c r="H29" i="69"/>
  <c r="D29" i="69"/>
  <c r="B29" i="69"/>
  <c r="T28" i="69"/>
  <c r="P28" i="69"/>
  <c r="N28" i="69"/>
  <c r="L28" i="69"/>
  <c r="H28" i="69"/>
  <c r="D28" i="69"/>
  <c r="B28" i="69"/>
  <c r="T27" i="69"/>
  <c r="P27" i="69"/>
  <c r="H27" i="69"/>
  <c r="D27" i="69"/>
  <c r="L27" i="69" s="1"/>
  <c r="N27" i="69" s="1"/>
  <c r="B27" i="69"/>
  <c r="X26" i="69"/>
  <c r="T26" i="69"/>
  <c r="Z26" i="69" s="1"/>
  <c r="P26" i="69"/>
  <c r="H26" i="69"/>
  <c r="N26" i="69" s="1"/>
  <c r="D26" i="69"/>
  <c r="L26" i="69" s="1"/>
  <c r="B26" i="69"/>
  <c r="Z25" i="69"/>
  <c r="X25" i="69"/>
  <c r="T25" i="69"/>
  <c r="P25" i="69"/>
  <c r="H25" i="69"/>
  <c r="N25" i="69" s="1"/>
  <c r="D25" i="69"/>
  <c r="B25" i="69"/>
  <c r="Z24" i="69"/>
  <c r="X24" i="69"/>
  <c r="T24" i="69"/>
  <c r="P24" i="69"/>
  <c r="H24" i="69"/>
  <c r="D24" i="69"/>
  <c r="L24" i="69" s="1"/>
  <c r="N24" i="69" s="1"/>
  <c r="B24" i="69"/>
  <c r="T23" i="69"/>
  <c r="P23" i="69"/>
  <c r="X23" i="69" s="1"/>
  <c r="Z23" i="69" s="1"/>
  <c r="H23" i="69"/>
  <c r="D23" i="69"/>
  <c r="B23" i="69"/>
  <c r="T22" i="69"/>
  <c r="Z22" i="69" s="1"/>
  <c r="P22" i="69"/>
  <c r="X22" i="69" s="1"/>
  <c r="L22" i="69"/>
  <c r="H22" i="69"/>
  <c r="D22" i="69"/>
  <c r="B22" i="69"/>
  <c r="T21" i="69"/>
  <c r="P21" i="69"/>
  <c r="N21" i="69"/>
  <c r="L21" i="69"/>
  <c r="H21" i="69"/>
  <c r="D21" i="69"/>
  <c r="B21" i="69"/>
  <c r="T20" i="69"/>
  <c r="P20" i="69"/>
  <c r="X20" i="69" s="1"/>
  <c r="Z20" i="69" s="1"/>
  <c r="N20" i="69"/>
  <c r="L20" i="69"/>
  <c r="H20" i="69"/>
  <c r="D20" i="69"/>
  <c r="B20" i="69"/>
  <c r="T19" i="69"/>
  <c r="P19" i="69"/>
  <c r="H19" i="69"/>
  <c r="D19" i="69"/>
  <c r="L19" i="69" s="1"/>
  <c r="N19" i="69" s="1"/>
  <c r="B19" i="69"/>
  <c r="X18" i="69"/>
  <c r="T18" i="69"/>
  <c r="Z18" i="69" s="1"/>
  <c r="P18" i="69"/>
  <c r="H18" i="69"/>
  <c r="N18" i="69" s="1"/>
  <c r="D18" i="69"/>
  <c r="L18" i="69" s="1"/>
  <c r="B18" i="69"/>
  <c r="Z17" i="69"/>
  <c r="X17" i="69"/>
  <c r="T17" i="69"/>
  <c r="P17" i="69"/>
  <c r="H17" i="69"/>
  <c r="D17" i="69"/>
  <c r="B17" i="69"/>
  <c r="Z16" i="69"/>
  <c r="X16" i="69"/>
  <c r="T16" i="69"/>
  <c r="P16" i="69"/>
  <c r="H16" i="69"/>
  <c r="D16" i="69"/>
  <c r="L16" i="69" s="1"/>
  <c r="N16" i="69" s="1"/>
  <c r="B16" i="69"/>
  <c r="T15" i="69"/>
  <c r="P15" i="69"/>
  <c r="X15" i="69" s="1"/>
  <c r="Z15" i="69" s="1"/>
  <c r="H15" i="69"/>
  <c r="D15" i="69"/>
  <c r="L15" i="69" s="1"/>
  <c r="B15" i="69"/>
  <c r="T14" i="69"/>
  <c r="Z14" i="69" s="1"/>
  <c r="P14" i="69"/>
  <c r="X14" i="69" s="1"/>
  <c r="L14" i="69"/>
  <c r="H14" i="69"/>
  <c r="N14" i="69" s="1"/>
  <c r="D14" i="69"/>
  <c r="B14" i="69"/>
  <c r="T13" i="69"/>
  <c r="P13" i="69"/>
  <c r="N13" i="69"/>
  <c r="L13" i="69"/>
  <c r="H13" i="69"/>
  <c r="H12" i="69" s="1"/>
  <c r="D13" i="69"/>
  <c r="B13" i="69"/>
  <c r="D6" i="69"/>
  <c r="D4" i="69"/>
  <c r="Z52" i="67"/>
  <c r="X52" i="67"/>
  <c r="N52" i="67"/>
  <c r="L52" i="67"/>
  <c r="X48" i="67"/>
  <c r="T48" i="67"/>
  <c r="Z48" i="67" s="1"/>
  <c r="P48" i="67"/>
  <c r="H48" i="67"/>
  <c r="D48" i="67"/>
  <c r="X46" i="67"/>
  <c r="Z46" i="67" s="1"/>
  <c r="L46" i="67"/>
  <c r="N46" i="67" s="1"/>
  <c r="B46" i="67"/>
  <c r="T45" i="67"/>
  <c r="P45" i="67"/>
  <c r="X45" i="67" s="1"/>
  <c r="Z45" i="67" s="1"/>
  <c r="L45" i="67"/>
  <c r="N45" i="67" s="1"/>
  <c r="H45" i="67"/>
  <c r="D45" i="67"/>
  <c r="B45" i="67"/>
  <c r="Z44" i="67"/>
  <c r="X44" i="67"/>
  <c r="N44" i="67"/>
  <c r="L44" i="67"/>
  <c r="F44" i="67"/>
  <c r="B44" i="67"/>
  <c r="Z43" i="67"/>
  <c r="X43" i="67"/>
  <c r="T43" i="67"/>
  <c r="P43" i="67"/>
  <c r="N43" i="67"/>
  <c r="L43" i="67"/>
  <c r="H43" i="67"/>
  <c r="D43" i="67"/>
  <c r="B43" i="67"/>
  <c r="X42" i="67"/>
  <c r="Z42" i="67" s="1"/>
  <c r="N42" i="67"/>
  <c r="L42" i="67"/>
  <c r="B42" i="67"/>
  <c r="Z41" i="67"/>
  <c r="X41" i="67"/>
  <c r="T41" i="67"/>
  <c r="P41" i="67"/>
  <c r="J41" i="67"/>
  <c r="H41" i="67"/>
  <c r="D41" i="67"/>
  <c r="L41" i="67" s="1"/>
  <c r="N41" i="67" s="1"/>
  <c r="B41" i="67"/>
  <c r="X40" i="67"/>
  <c r="Z40" i="67" s="1"/>
  <c r="N40" i="67"/>
  <c r="L40" i="67"/>
  <c r="B40" i="67"/>
  <c r="T39" i="67"/>
  <c r="P39" i="67"/>
  <c r="X39" i="67" s="1"/>
  <c r="Z39" i="67" s="1"/>
  <c r="J39" i="67"/>
  <c r="H39" i="67"/>
  <c r="N39" i="67" s="1"/>
  <c r="D39" i="67"/>
  <c r="L39" i="67" s="1"/>
  <c r="B39" i="67"/>
  <c r="Z38" i="67"/>
  <c r="X38" i="67"/>
  <c r="L38" i="67"/>
  <c r="N38" i="67" s="1"/>
  <c r="B38" i="67"/>
  <c r="T37" i="67"/>
  <c r="Z37" i="67" s="1"/>
  <c r="P37" i="67"/>
  <c r="X37" i="67" s="1"/>
  <c r="L37" i="67"/>
  <c r="H37" i="67"/>
  <c r="N37" i="67" s="1"/>
  <c r="D37" i="67"/>
  <c r="B37" i="67"/>
  <c r="Z36" i="67"/>
  <c r="X36" i="67"/>
  <c r="N36" i="67"/>
  <c r="L36" i="67"/>
  <c r="B36" i="67"/>
  <c r="T35" i="67"/>
  <c r="P35" i="67"/>
  <c r="N35" i="67"/>
  <c r="L35" i="67"/>
  <c r="H35" i="67"/>
  <c r="D35" i="67"/>
  <c r="B35" i="67"/>
  <c r="X34" i="67"/>
  <c r="Z34" i="67" s="1"/>
  <c r="N34" i="67"/>
  <c r="L34" i="67"/>
  <c r="B34" i="67"/>
  <c r="Z33" i="67"/>
  <c r="X33" i="67"/>
  <c r="T33" i="67"/>
  <c r="P33" i="67"/>
  <c r="N33" i="67"/>
  <c r="J33" i="67"/>
  <c r="H33" i="67"/>
  <c r="D33" i="67"/>
  <c r="L33" i="67" s="1"/>
  <c r="B33" i="67"/>
  <c r="X32" i="67"/>
  <c r="Z32" i="67" s="1"/>
  <c r="N32" i="67"/>
  <c r="L32" i="67"/>
  <c r="B32" i="67"/>
  <c r="Z31" i="67"/>
  <c r="X31" i="67"/>
  <c r="V31" i="67"/>
  <c r="N31" i="67"/>
  <c r="L31" i="67"/>
  <c r="B31" i="67"/>
  <c r="X30" i="67"/>
  <c r="Z30" i="67" s="1"/>
  <c r="N30" i="67"/>
  <c r="L30" i="67"/>
  <c r="B30" i="67"/>
  <c r="Z29" i="67"/>
  <c r="X29" i="67"/>
  <c r="N29" i="67"/>
  <c r="L29" i="67"/>
  <c r="J29" i="67"/>
  <c r="B29" i="67"/>
  <c r="Z28" i="67"/>
  <c r="X28" i="67"/>
  <c r="N28" i="67"/>
  <c r="L28" i="67"/>
  <c r="B28" i="67"/>
  <c r="X27" i="67"/>
  <c r="Z27" i="67" s="1"/>
  <c r="N27" i="67"/>
  <c r="L27" i="67"/>
  <c r="J27" i="67"/>
  <c r="B27" i="67"/>
  <c r="Z26" i="67"/>
  <c r="X26" i="67"/>
  <c r="N26" i="67"/>
  <c r="L26" i="67"/>
  <c r="B26" i="67"/>
  <c r="X25" i="67"/>
  <c r="Z25" i="67" s="1"/>
  <c r="V25" i="67"/>
  <c r="N25" i="67"/>
  <c r="L25" i="67"/>
  <c r="B25" i="67"/>
  <c r="T24" i="67"/>
  <c r="P24" i="67"/>
  <c r="H24" i="67"/>
  <c r="N24" i="67" s="1"/>
  <c r="D24" i="67"/>
  <c r="B24" i="67"/>
  <c r="T23" i="67" a="1"/>
  <c r="T23" i="67" s="1"/>
  <c r="P23" i="67" a="1"/>
  <c r="P23" i="67" s="1"/>
  <c r="H23" i="67" a="1"/>
  <c r="H23" i="67"/>
  <c r="D23" i="67" a="1"/>
  <c r="D23" i="67" s="1"/>
  <c r="Z19" i="67"/>
  <c r="X19" i="67"/>
  <c r="N19" i="67"/>
  <c r="L19" i="67"/>
  <c r="B19" i="67"/>
  <c r="X18" i="67"/>
  <c r="T18" i="67"/>
  <c r="P18" i="67"/>
  <c r="H18" i="67"/>
  <c r="N18" i="67" s="1"/>
  <c r="D18" i="67"/>
  <c r="T16" i="67"/>
  <c r="Z16" i="67" s="1"/>
  <c r="P16" i="67"/>
  <c r="X16" i="67" s="1"/>
  <c r="L16" i="67"/>
  <c r="H16" i="67"/>
  <c r="N16" i="67" s="1"/>
  <c r="D16" i="67"/>
  <c r="B16" i="67"/>
  <c r="T15" i="67"/>
  <c r="P15" i="67"/>
  <c r="N15" i="67"/>
  <c r="L15" i="67"/>
  <c r="H15" i="67"/>
  <c r="D15" i="67"/>
  <c r="B15" i="67"/>
  <c r="Z14" i="67"/>
  <c r="X14" i="67"/>
  <c r="T14" i="67"/>
  <c r="P14" i="67"/>
  <c r="N14" i="67"/>
  <c r="H14" i="67"/>
  <c r="L14" i="67" s="1"/>
  <c r="D14" i="67"/>
  <c r="B14" i="67"/>
  <c r="T13" i="67"/>
  <c r="T12" i="67" s="1"/>
  <c r="P13" i="67"/>
  <c r="N13" i="67"/>
  <c r="H13" i="67"/>
  <c r="D13" i="67"/>
  <c r="L13" i="67" s="1"/>
  <c r="B13" i="67"/>
  <c r="H12" i="67"/>
  <c r="J52" i="67" s="1"/>
  <c r="D12" i="67"/>
  <c r="F30" i="67" s="1"/>
  <c r="D6" i="67"/>
  <c r="D4" i="67"/>
  <c r="Z119" i="66"/>
  <c r="X119" i="66"/>
  <c r="L119" i="66"/>
  <c r="N119" i="66" s="1"/>
  <c r="T115" i="66"/>
  <c r="P115" i="66"/>
  <c r="H115" i="66"/>
  <c r="D115" i="66"/>
  <c r="L115" i="66" s="1"/>
  <c r="B115" i="66"/>
  <c r="T114" i="66"/>
  <c r="P114" i="66"/>
  <c r="X114" i="66" s="1"/>
  <c r="N114" i="66"/>
  <c r="H114" i="66"/>
  <c r="D114" i="66"/>
  <c r="L114" i="66" s="1"/>
  <c r="B114" i="66"/>
  <c r="X113" i="66"/>
  <c r="T113" i="66"/>
  <c r="P113" i="66"/>
  <c r="H113" i="66"/>
  <c r="D113" i="66"/>
  <c r="B113" i="66"/>
  <c r="P112" i="66"/>
  <c r="Z110" i="66"/>
  <c r="X110" i="66"/>
  <c r="N110" i="66"/>
  <c r="L110" i="66"/>
  <c r="B110" i="66"/>
  <c r="T109" i="66"/>
  <c r="P109" i="66"/>
  <c r="X109" i="66" s="1"/>
  <c r="Z109" i="66" s="1"/>
  <c r="L109" i="66"/>
  <c r="H109" i="66"/>
  <c r="N109" i="66" s="1"/>
  <c r="D109" i="66"/>
  <c r="B109" i="66"/>
  <c r="Z108" i="66"/>
  <c r="X108" i="66"/>
  <c r="L108" i="66"/>
  <c r="N108" i="66" s="1"/>
  <c r="B108" i="66"/>
  <c r="X107" i="66"/>
  <c r="Z107" i="66" s="1"/>
  <c r="N107" i="66"/>
  <c r="L107" i="66"/>
  <c r="B107" i="66"/>
  <c r="T106" i="66"/>
  <c r="P106" i="66"/>
  <c r="X106" i="66" s="1"/>
  <c r="Z106" i="66" s="1"/>
  <c r="H106" i="66"/>
  <c r="D106" i="66"/>
  <c r="L106" i="66" s="1"/>
  <c r="N106" i="66" s="1"/>
  <c r="B106" i="66"/>
  <c r="X105" i="66"/>
  <c r="Z105" i="66" s="1"/>
  <c r="N105" i="66"/>
  <c r="L105" i="66"/>
  <c r="B105" i="66"/>
  <c r="Z104" i="66"/>
  <c r="X104" i="66"/>
  <c r="L104" i="66"/>
  <c r="N104" i="66" s="1"/>
  <c r="B104" i="66"/>
  <c r="X103" i="66"/>
  <c r="Z103" i="66" s="1"/>
  <c r="T103" i="66"/>
  <c r="P103" i="66"/>
  <c r="H103" i="66"/>
  <c r="D103" i="66"/>
  <c r="B103" i="66"/>
  <c r="X102" i="66"/>
  <c r="Z102" i="66" s="1"/>
  <c r="N102" i="66"/>
  <c r="L102" i="66"/>
  <c r="B102" i="66"/>
  <c r="X101" i="66"/>
  <c r="Z101" i="66" s="1"/>
  <c r="L101" i="66"/>
  <c r="N101" i="66" s="1"/>
  <c r="B101" i="66"/>
  <c r="Z100" i="66"/>
  <c r="T100" i="66"/>
  <c r="P100" i="66"/>
  <c r="X100" i="66" s="1"/>
  <c r="L100" i="66"/>
  <c r="H100" i="66"/>
  <c r="D100" i="66"/>
  <c r="B100" i="66"/>
  <c r="Z99" i="66"/>
  <c r="X99" i="66"/>
  <c r="N99" i="66"/>
  <c r="L99" i="66"/>
  <c r="B99" i="66"/>
  <c r="X98" i="66"/>
  <c r="Z98" i="66" s="1"/>
  <c r="N98" i="66"/>
  <c r="L98" i="66"/>
  <c r="B98" i="66"/>
  <c r="Z97" i="66"/>
  <c r="X97" i="66"/>
  <c r="N97" i="66"/>
  <c r="L97" i="66"/>
  <c r="B97" i="66"/>
  <c r="T96" i="66"/>
  <c r="P96" i="66"/>
  <c r="X96" i="66" s="1"/>
  <c r="H96" i="66"/>
  <c r="N96" i="66" s="1"/>
  <c r="D96" i="66"/>
  <c r="L96" i="66" s="1"/>
  <c r="B96" i="66"/>
  <c r="Z95" i="66"/>
  <c r="X95" i="66"/>
  <c r="L95" i="66"/>
  <c r="N95" i="66" s="1"/>
  <c r="B95" i="66"/>
  <c r="T94" i="66"/>
  <c r="Z94" i="66" s="1"/>
  <c r="P94" i="66"/>
  <c r="X94" i="66" s="1"/>
  <c r="N94" i="66"/>
  <c r="L94" i="66"/>
  <c r="H94" i="66"/>
  <c r="D94" i="66"/>
  <c r="B94" i="66"/>
  <c r="X93" i="66"/>
  <c r="Z93" i="66" s="1"/>
  <c r="N93" i="66"/>
  <c r="L93" i="66"/>
  <c r="B93" i="66"/>
  <c r="Z92" i="66"/>
  <c r="X92" i="66"/>
  <c r="T92" i="66"/>
  <c r="P92" i="66"/>
  <c r="N92" i="66"/>
  <c r="H92" i="66"/>
  <c r="D92" i="66"/>
  <c r="L92" i="66" s="1"/>
  <c r="B92" i="66"/>
  <c r="X91" i="66"/>
  <c r="Z91" i="66" s="1"/>
  <c r="N91" i="66"/>
  <c r="L91" i="66"/>
  <c r="B91" i="66"/>
  <c r="Z90" i="66"/>
  <c r="X90" i="66"/>
  <c r="L90" i="66"/>
  <c r="N90" i="66" s="1"/>
  <c r="B90" i="66"/>
  <c r="X89" i="66"/>
  <c r="Z89" i="66" s="1"/>
  <c r="T89" i="66"/>
  <c r="P89" i="66"/>
  <c r="H89" i="66"/>
  <c r="D89" i="66"/>
  <c r="B89" i="66"/>
  <c r="X88" i="66"/>
  <c r="Z88" i="66" s="1"/>
  <c r="N88" i="66"/>
  <c r="L88" i="66"/>
  <c r="B88" i="66"/>
  <c r="T87" i="66"/>
  <c r="P87" i="66"/>
  <c r="H87" i="66"/>
  <c r="N87" i="66" s="1"/>
  <c r="D87" i="66"/>
  <c r="L87" i="66" s="1"/>
  <c r="B87" i="66"/>
  <c r="X86" i="66"/>
  <c r="Z86" i="66" s="1"/>
  <c r="N86" i="66"/>
  <c r="L86" i="66"/>
  <c r="B86" i="66"/>
  <c r="T85" i="66"/>
  <c r="Z85" i="66" s="1"/>
  <c r="P85" i="66"/>
  <c r="X85" i="66" s="1"/>
  <c r="N85" i="66"/>
  <c r="H85" i="66"/>
  <c r="D85" i="66"/>
  <c r="L85" i="66" s="1"/>
  <c r="B85" i="66"/>
  <c r="Z84" i="66"/>
  <c r="X84" i="66"/>
  <c r="N84" i="66"/>
  <c r="L84" i="66"/>
  <c r="B84" i="66"/>
  <c r="Z83" i="66"/>
  <c r="X83" i="66"/>
  <c r="N83" i="66"/>
  <c r="L83" i="66"/>
  <c r="B83" i="66"/>
  <c r="T82" i="66"/>
  <c r="Z82" i="66" s="1"/>
  <c r="P82" i="66"/>
  <c r="X82" i="66" s="1"/>
  <c r="N82" i="66"/>
  <c r="L82" i="66"/>
  <c r="H82" i="66"/>
  <c r="D82" i="66"/>
  <c r="B82" i="66"/>
  <c r="X81" i="66"/>
  <c r="Z81" i="66" s="1"/>
  <c r="L81" i="66"/>
  <c r="N81" i="66" s="1"/>
  <c r="B81" i="66"/>
  <c r="Z80" i="66"/>
  <c r="X80" i="66"/>
  <c r="T80" i="66"/>
  <c r="P80" i="66"/>
  <c r="H80" i="66"/>
  <c r="L80" i="66" s="1"/>
  <c r="N80" i="66" s="1"/>
  <c r="D80" i="66"/>
  <c r="B80" i="66"/>
  <c r="X79" i="66"/>
  <c r="Z79" i="66" s="1"/>
  <c r="N79" i="66"/>
  <c r="L79" i="66"/>
  <c r="B79" i="66"/>
  <c r="Z78" i="66"/>
  <c r="X78" i="66"/>
  <c r="L78" i="66"/>
  <c r="N78" i="66" s="1"/>
  <c r="B78" i="66"/>
  <c r="X77" i="66"/>
  <c r="Z77" i="66" s="1"/>
  <c r="N77" i="66"/>
  <c r="L77" i="66"/>
  <c r="B77" i="66"/>
  <c r="Z76" i="66"/>
  <c r="X76" i="66"/>
  <c r="L76" i="66"/>
  <c r="N76" i="66" s="1"/>
  <c r="B76" i="66"/>
  <c r="Z75" i="66"/>
  <c r="X75" i="66"/>
  <c r="L75" i="66"/>
  <c r="N75" i="66" s="1"/>
  <c r="B75" i="66"/>
  <c r="X74" i="66"/>
  <c r="Z74" i="66" s="1"/>
  <c r="N74" i="66"/>
  <c r="L74" i="66"/>
  <c r="B74" i="66"/>
  <c r="X73" i="66"/>
  <c r="Z73" i="66" s="1"/>
  <c r="N73" i="66"/>
  <c r="L73" i="66"/>
  <c r="B73" i="66"/>
  <c r="T72" i="66"/>
  <c r="P72" i="66"/>
  <c r="X72" i="66" s="1"/>
  <c r="H72" i="66"/>
  <c r="N72" i="66" s="1"/>
  <c r="D72" i="66"/>
  <c r="L72" i="66" s="1"/>
  <c r="B72" i="66"/>
  <c r="Z71" i="66"/>
  <c r="X71" i="66"/>
  <c r="L71" i="66"/>
  <c r="N71" i="66" s="1"/>
  <c r="B71" i="66"/>
  <c r="Z70" i="66"/>
  <c r="X70" i="66"/>
  <c r="N70" i="66"/>
  <c r="L70" i="66"/>
  <c r="B70" i="66"/>
  <c r="Z69" i="66"/>
  <c r="X69" i="66"/>
  <c r="L69" i="66"/>
  <c r="N69" i="66" s="1"/>
  <c r="B69" i="66"/>
  <c r="X68" i="66"/>
  <c r="Z68" i="66" s="1"/>
  <c r="N68" i="66"/>
  <c r="L68" i="66"/>
  <c r="B68" i="66"/>
  <c r="X67" i="66"/>
  <c r="Z67" i="66" s="1"/>
  <c r="N67" i="66"/>
  <c r="L67" i="66"/>
  <c r="B67" i="66"/>
  <c r="Z66" i="66"/>
  <c r="X66" i="66"/>
  <c r="N66" i="66"/>
  <c r="L66" i="66"/>
  <c r="B66" i="66"/>
  <c r="X65" i="66"/>
  <c r="Z65" i="66" s="1"/>
  <c r="N65" i="66"/>
  <c r="L65" i="66"/>
  <c r="B65" i="66"/>
  <c r="Z64" i="66"/>
  <c r="X64" i="66"/>
  <c r="L64" i="66"/>
  <c r="N64" i="66" s="1"/>
  <c r="B64" i="66"/>
  <c r="Z63" i="66"/>
  <c r="X63" i="66"/>
  <c r="L63" i="66"/>
  <c r="N63" i="66" s="1"/>
  <c r="B63" i="66"/>
  <c r="T62" i="66"/>
  <c r="P62" i="66"/>
  <c r="X62" i="66" s="1"/>
  <c r="N62" i="66"/>
  <c r="L62" i="66"/>
  <c r="H62" i="66"/>
  <c r="D62" i="66"/>
  <c r="B62" i="66"/>
  <c r="X61" i="66"/>
  <c r="T61" i="66" a="1"/>
  <c r="T61" i="66" s="1"/>
  <c r="P61" i="66" a="1"/>
  <c r="P61" i="66" s="1"/>
  <c r="H61" i="66" a="1"/>
  <c r="H61" i="66" s="1"/>
  <c r="D61" i="66" a="1"/>
  <c r="D61" i="66" s="1"/>
  <c r="Z57" i="66"/>
  <c r="X57" i="66"/>
  <c r="N57" i="66"/>
  <c r="L57" i="66"/>
  <c r="B57" i="66"/>
  <c r="X56" i="66"/>
  <c r="Z56" i="66" s="1"/>
  <c r="N56" i="66"/>
  <c r="L56" i="66"/>
  <c r="B56" i="66"/>
  <c r="X55" i="66"/>
  <c r="Z55" i="66" s="1"/>
  <c r="N55" i="66"/>
  <c r="L55" i="66"/>
  <c r="B55" i="66"/>
  <c r="Z54" i="66"/>
  <c r="X54" i="66"/>
  <c r="N54" i="66"/>
  <c r="L54" i="66"/>
  <c r="B54" i="66"/>
  <c r="X53" i="66"/>
  <c r="Z53" i="66" s="1"/>
  <c r="N53" i="66"/>
  <c r="L53" i="66"/>
  <c r="B53" i="66"/>
  <c r="Z52" i="66"/>
  <c r="X52" i="66"/>
  <c r="N52" i="66"/>
  <c r="L52" i="66"/>
  <c r="B52" i="66"/>
  <c r="X51" i="66"/>
  <c r="Z51" i="66" s="1"/>
  <c r="L51" i="66"/>
  <c r="N51" i="66" s="1"/>
  <c r="B51" i="66"/>
  <c r="Z50" i="66"/>
  <c r="X50" i="66"/>
  <c r="N50" i="66"/>
  <c r="L50" i="66"/>
  <c r="B50" i="66"/>
  <c r="X49" i="66"/>
  <c r="Z49" i="66" s="1"/>
  <c r="L49" i="66"/>
  <c r="N49" i="66" s="1"/>
  <c r="B49" i="66"/>
  <c r="X48" i="66"/>
  <c r="Z48" i="66" s="1"/>
  <c r="N48" i="66"/>
  <c r="L48" i="66"/>
  <c r="B48" i="66"/>
  <c r="X47" i="66"/>
  <c r="Z47" i="66" s="1"/>
  <c r="L47" i="66"/>
  <c r="N47" i="66" s="1"/>
  <c r="B47" i="66"/>
  <c r="Z46" i="66"/>
  <c r="X46" i="66"/>
  <c r="N46" i="66"/>
  <c r="L46" i="66"/>
  <c r="B46" i="66"/>
  <c r="X45" i="66"/>
  <c r="Z45" i="66" s="1"/>
  <c r="L45" i="66"/>
  <c r="N45" i="66" s="1"/>
  <c r="B45" i="66"/>
  <c r="Z44" i="66"/>
  <c r="X44" i="66"/>
  <c r="N44" i="66"/>
  <c r="L44" i="66"/>
  <c r="B44" i="66"/>
  <c r="X43" i="66"/>
  <c r="Z43" i="66" s="1"/>
  <c r="L43" i="66"/>
  <c r="N43" i="66" s="1"/>
  <c r="B43" i="66"/>
  <c r="Z42" i="66"/>
  <c r="X42" i="66"/>
  <c r="N42" i="66"/>
  <c r="L42" i="66"/>
  <c r="B42" i="66"/>
  <c r="Z41" i="66"/>
  <c r="X41" i="66"/>
  <c r="N41" i="66"/>
  <c r="L41" i="66"/>
  <c r="B41" i="66"/>
  <c r="X40" i="66"/>
  <c r="T40" i="66"/>
  <c r="Z40" i="66" s="1"/>
  <c r="P40" i="66"/>
  <c r="H40" i="66"/>
  <c r="N40" i="66" s="1"/>
  <c r="D40" i="66"/>
  <c r="L40" i="66" s="1"/>
  <c r="Z38" i="66"/>
  <c r="T38" i="66"/>
  <c r="X38" i="66" s="1"/>
  <c r="P38" i="66"/>
  <c r="H38" i="66"/>
  <c r="N38" i="66" s="1"/>
  <c r="D38" i="66"/>
  <c r="B38" i="66"/>
  <c r="X37" i="66"/>
  <c r="Z37" i="66" s="1"/>
  <c r="T37" i="66"/>
  <c r="P37" i="66"/>
  <c r="H37" i="66"/>
  <c r="D37" i="66"/>
  <c r="L37" i="66" s="1"/>
  <c r="N37" i="66" s="1"/>
  <c r="B37" i="66"/>
  <c r="T36" i="66"/>
  <c r="P36" i="66"/>
  <c r="X36" i="66" s="1"/>
  <c r="Z36" i="66" s="1"/>
  <c r="H36" i="66"/>
  <c r="D36" i="66"/>
  <c r="B36" i="66"/>
  <c r="T35" i="66"/>
  <c r="Z35" i="66" s="1"/>
  <c r="P35" i="66"/>
  <c r="X35" i="66" s="1"/>
  <c r="L35" i="66"/>
  <c r="H35" i="66"/>
  <c r="N35" i="66" s="1"/>
  <c r="D35" i="66"/>
  <c r="B35" i="66"/>
  <c r="T34" i="66"/>
  <c r="Z34" i="66" s="1"/>
  <c r="P34" i="66"/>
  <c r="N34" i="66"/>
  <c r="H34" i="66"/>
  <c r="L34" i="66" s="1"/>
  <c r="D34" i="66"/>
  <c r="B34" i="66"/>
  <c r="T33" i="66"/>
  <c r="P33" i="66"/>
  <c r="X33" i="66" s="1"/>
  <c r="Z33" i="66" s="1"/>
  <c r="L33" i="66"/>
  <c r="N33" i="66" s="1"/>
  <c r="H33" i="66"/>
  <c r="D33" i="66"/>
  <c r="B33" i="66"/>
  <c r="T32" i="66"/>
  <c r="P32" i="66"/>
  <c r="X32" i="66" s="1"/>
  <c r="N32" i="66"/>
  <c r="H32" i="66"/>
  <c r="D32" i="66"/>
  <c r="L32" i="66" s="1"/>
  <c r="B32" i="66"/>
  <c r="X31" i="66"/>
  <c r="T31" i="66"/>
  <c r="P31" i="66"/>
  <c r="H31" i="66"/>
  <c r="N31" i="66" s="1"/>
  <c r="D31" i="66"/>
  <c r="L31" i="66" s="1"/>
  <c r="B31" i="66"/>
  <c r="Z30" i="66"/>
  <c r="T30" i="66"/>
  <c r="X30" i="66" s="1"/>
  <c r="P30" i="66"/>
  <c r="H30" i="66"/>
  <c r="D30" i="66"/>
  <c r="B30" i="66"/>
  <c r="X29" i="66"/>
  <c r="Z29" i="66" s="1"/>
  <c r="T29" i="66"/>
  <c r="P29" i="66"/>
  <c r="H29" i="66"/>
  <c r="D29" i="66"/>
  <c r="L29" i="66" s="1"/>
  <c r="N29" i="66" s="1"/>
  <c r="B29" i="66"/>
  <c r="Z28" i="66"/>
  <c r="T28" i="66"/>
  <c r="P28" i="66"/>
  <c r="X28" i="66" s="1"/>
  <c r="H28" i="66"/>
  <c r="D28" i="66"/>
  <c r="B28" i="66"/>
  <c r="T27" i="66"/>
  <c r="Z27" i="66" s="1"/>
  <c r="P27" i="66"/>
  <c r="X27" i="66" s="1"/>
  <c r="L27" i="66"/>
  <c r="H27" i="66"/>
  <c r="N27" i="66" s="1"/>
  <c r="D27" i="66"/>
  <c r="B27" i="66"/>
  <c r="T26" i="66"/>
  <c r="P26" i="66"/>
  <c r="N26" i="66"/>
  <c r="H26" i="66"/>
  <c r="L26" i="66" s="1"/>
  <c r="D26" i="66"/>
  <c r="B26" i="66"/>
  <c r="T25" i="66"/>
  <c r="P25" i="66"/>
  <c r="X25" i="66" s="1"/>
  <c r="Z25" i="66" s="1"/>
  <c r="L25" i="66"/>
  <c r="N25" i="66" s="1"/>
  <c r="H25" i="66"/>
  <c r="D25" i="66"/>
  <c r="B25" i="66"/>
  <c r="T24" i="66"/>
  <c r="P24" i="66"/>
  <c r="X24" i="66" s="1"/>
  <c r="N24" i="66"/>
  <c r="H24" i="66"/>
  <c r="D24" i="66"/>
  <c r="L24" i="66" s="1"/>
  <c r="B24" i="66"/>
  <c r="X23" i="66"/>
  <c r="T23" i="66"/>
  <c r="P23" i="66"/>
  <c r="H23" i="66"/>
  <c r="N23" i="66" s="1"/>
  <c r="D23" i="66"/>
  <c r="L23" i="66" s="1"/>
  <c r="B23" i="66"/>
  <c r="Z22" i="66"/>
  <c r="T22" i="66"/>
  <c r="X22" i="66" s="1"/>
  <c r="P22" i="66"/>
  <c r="H22" i="66"/>
  <c r="D22" i="66"/>
  <c r="B22" i="66"/>
  <c r="Z21" i="66"/>
  <c r="X21" i="66"/>
  <c r="T21" i="66"/>
  <c r="P21" i="66"/>
  <c r="N21" i="66"/>
  <c r="H21" i="66"/>
  <c r="D21" i="66"/>
  <c r="L21" i="66" s="1"/>
  <c r="B21" i="66"/>
  <c r="T20" i="66"/>
  <c r="P20" i="66"/>
  <c r="X20" i="66" s="1"/>
  <c r="Z20" i="66" s="1"/>
  <c r="H20" i="66"/>
  <c r="D20" i="66"/>
  <c r="B20" i="66"/>
  <c r="T19" i="66"/>
  <c r="P19" i="66"/>
  <c r="X19" i="66" s="1"/>
  <c r="L19" i="66"/>
  <c r="H19" i="66"/>
  <c r="D19" i="66"/>
  <c r="B19" i="66"/>
  <c r="T18" i="66"/>
  <c r="P18" i="66"/>
  <c r="H18" i="66"/>
  <c r="L18" i="66" s="1"/>
  <c r="N18" i="66" s="1"/>
  <c r="D18" i="66"/>
  <c r="B18" i="66"/>
  <c r="T17" i="66"/>
  <c r="P17" i="66"/>
  <c r="N17" i="66"/>
  <c r="L17" i="66"/>
  <c r="H17" i="66"/>
  <c r="D17" i="66"/>
  <c r="B17" i="66"/>
  <c r="T16" i="66"/>
  <c r="P16" i="66"/>
  <c r="X16" i="66" s="1"/>
  <c r="H16" i="66"/>
  <c r="D16" i="66"/>
  <c r="L16" i="66" s="1"/>
  <c r="N16" i="66" s="1"/>
  <c r="B16" i="66"/>
  <c r="X15" i="66"/>
  <c r="T15" i="66"/>
  <c r="Z15" i="66" s="1"/>
  <c r="P15" i="66"/>
  <c r="H15" i="66"/>
  <c r="D15" i="66"/>
  <c r="L15" i="66" s="1"/>
  <c r="B15" i="66"/>
  <c r="Z14" i="66"/>
  <c r="T14" i="66"/>
  <c r="X14" i="66" s="1"/>
  <c r="P14" i="66"/>
  <c r="H14" i="66"/>
  <c r="D14" i="66"/>
  <c r="B14" i="66"/>
  <c r="X13" i="66"/>
  <c r="Z13" i="66" s="1"/>
  <c r="T13" i="66"/>
  <c r="P13" i="66"/>
  <c r="H13" i="66"/>
  <c r="D13" i="66"/>
  <c r="B13" i="66"/>
  <c r="D6" i="66"/>
  <c r="D4" i="66"/>
  <c r="Z61" i="65"/>
  <c r="X61" i="65"/>
  <c r="N61" i="65"/>
  <c r="L61" i="65"/>
  <c r="Z57" i="65"/>
  <c r="T57" i="65"/>
  <c r="P57" i="65"/>
  <c r="X57" i="65" s="1"/>
  <c r="N57" i="65"/>
  <c r="H57" i="65"/>
  <c r="D57" i="65"/>
  <c r="L57" i="65" s="1"/>
  <c r="Z55" i="65"/>
  <c r="X55" i="65"/>
  <c r="N55" i="65"/>
  <c r="L55" i="65"/>
  <c r="B55" i="65"/>
  <c r="T54" i="65"/>
  <c r="P54" i="65"/>
  <c r="H54" i="65"/>
  <c r="N54" i="65" s="1"/>
  <c r="D54" i="65"/>
  <c r="L54" i="65" s="1"/>
  <c r="B54" i="65"/>
  <c r="Z53" i="65"/>
  <c r="X53" i="65"/>
  <c r="N53" i="65"/>
  <c r="L53" i="65"/>
  <c r="B53" i="65"/>
  <c r="T52" i="65"/>
  <c r="Z52" i="65" s="1"/>
  <c r="P52" i="65"/>
  <c r="X52" i="65" s="1"/>
  <c r="H52" i="65"/>
  <c r="D52" i="65"/>
  <c r="L52" i="65" s="1"/>
  <c r="N52" i="65" s="1"/>
  <c r="B52" i="65"/>
  <c r="Z51" i="65"/>
  <c r="X51" i="65"/>
  <c r="N51" i="65"/>
  <c r="L51" i="65"/>
  <c r="B51" i="65"/>
  <c r="Z50" i="65"/>
  <c r="X50" i="65"/>
  <c r="N50" i="65"/>
  <c r="L50" i="65"/>
  <c r="F50" i="65"/>
  <c r="B50" i="65"/>
  <c r="T49" i="65"/>
  <c r="Z49" i="65" s="1"/>
  <c r="P49" i="65"/>
  <c r="X49" i="65" s="1"/>
  <c r="N49" i="65"/>
  <c r="H49" i="65"/>
  <c r="D49" i="65"/>
  <c r="L49" i="65" s="1"/>
  <c r="B49" i="65"/>
  <c r="X48" i="65"/>
  <c r="Z48" i="65" s="1"/>
  <c r="N48" i="65"/>
  <c r="L48" i="65"/>
  <c r="B48" i="65"/>
  <c r="Z47" i="65"/>
  <c r="X47" i="65"/>
  <c r="L47" i="65"/>
  <c r="N47" i="65" s="1"/>
  <c r="B47" i="65"/>
  <c r="T46" i="65"/>
  <c r="P46" i="65"/>
  <c r="X46" i="65" s="1"/>
  <c r="Z46" i="65" s="1"/>
  <c r="L46" i="65"/>
  <c r="H46" i="65"/>
  <c r="D46" i="65"/>
  <c r="B46" i="65"/>
  <c r="Z45" i="65"/>
  <c r="X45" i="65"/>
  <c r="N45" i="65"/>
  <c r="L45" i="65"/>
  <c r="B45" i="65"/>
  <c r="X44" i="65"/>
  <c r="Z44" i="65" s="1"/>
  <c r="L44" i="65"/>
  <c r="N44" i="65" s="1"/>
  <c r="B44" i="65"/>
  <c r="Z43" i="65"/>
  <c r="T43" i="65"/>
  <c r="P43" i="65"/>
  <c r="X43" i="65" s="1"/>
  <c r="H43" i="65"/>
  <c r="L43" i="65" s="1"/>
  <c r="N43" i="65" s="1"/>
  <c r="D43" i="65"/>
  <c r="B43" i="65"/>
  <c r="X42" i="65"/>
  <c r="Z42" i="65" s="1"/>
  <c r="N42" i="65"/>
  <c r="L42" i="65"/>
  <c r="B42" i="65"/>
  <c r="T41" i="65"/>
  <c r="X41" i="65" s="1"/>
  <c r="Z41" i="65" s="1"/>
  <c r="P41" i="65"/>
  <c r="N41" i="65"/>
  <c r="L41" i="65"/>
  <c r="H41" i="65"/>
  <c r="D41" i="65"/>
  <c r="B41" i="65"/>
  <c r="X40" i="65"/>
  <c r="Z40" i="65" s="1"/>
  <c r="N40" i="65"/>
  <c r="L40" i="65"/>
  <c r="B40" i="65"/>
  <c r="X39" i="65"/>
  <c r="T39" i="65"/>
  <c r="Z39" i="65" s="1"/>
  <c r="R39" i="65"/>
  <c r="P39" i="65"/>
  <c r="H39" i="65"/>
  <c r="N39" i="65" s="1"/>
  <c r="D39" i="65"/>
  <c r="L39" i="65" s="1"/>
  <c r="B39" i="65"/>
  <c r="Z38" i="65"/>
  <c r="X38" i="65"/>
  <c r="L38" i="65"/>
  <c r="N38" i="65" s="1"/>
  <c r="F38" i="65"/>
  <c r="B38" i="65"/>
  <c r="T37" i="65"/>
  <c r="Z37" i="65" s="1"/>
  <c r="P37" i="65"/>
  <c r="X37" i="65" s="1"/>
  <c r="H37" i="65"/>
  <c r="D37" i="65"/>
  <c r="L37" i="65" s="1"/>
  <c r="N37" i="65" s="1"/>
  <c r="B37" i="65"/>
  <c r="Z36" i="65"/>
  <c r="X36" i="65"/>
  <c r="N36" i="65"/>
  <c r="L36" i="65"/>
  <c r="B36" i="65"/>
  <c r="Z35" i="65"/>
  <c r="T35" i="65"/>
  <c r="P35" i="65"/>
  <c r="X35" i="65" s="1"/>
  <c r="N35" i="65"/>
  <c r="H35" i="65"/>
  <c r="D35" i="65"/>
  <c r="L35" i="65" s="1"/>
  <c r="B35" i="65"/>
  <c r="Z34" i="65"/>
  <c r="X34" i="65"/>
  <c r="N34" i="65"/>
  <c r="L34" i="65"/>
  <c r="B34" i="65"/>
  <c r="Z33" i="65"/>
  <c r="T33" i="65"/>
  <c r="P33" i="65"/>
  <c r="X33" i="65" s="1"/>
  <c r="L33" i="65"/>
  <c r="H33" i="65"/>
  <c r="N33" i="65" s="1"/>
  <c r="D33" i="65"/>
  <c r="B33" i="65"/>
  <c r="Z32" i="65"/>
  <c r="X32" i="65"/>
  <c r="N32" i="65"/>
  <c r="L32" i="65"/>
  <c r="B32" i="65"/>
  <c r="X31" i="65"/>
  <c r="T31" i="65"/>
  <c r="Z31" i="65" s="1"/>
  <c r="P31" i="65"/>
  <c r="H31" i="65"/>
  <c r="N31" i="65" s="1"/>
  <c r="D31" i="65"/>
  <c r="B31" i="65"/>
  <c r="Z30" i="65"/>
  <c r="X30" i="65"/>
  <c r="N30" i="65"/>
  <c r="L30" i="65"/>
  <c r="B30" i="65"/>
  <c r="Z29" i="65"/>
  <c r="X29" i="65"/>
  <c r="N29" i="65"/>
  <c r="L29" i="65"/>
  <c r="B29" i="65"/>
  <c r="T28" i="65"/>
  <c r="Z28" i="65" s="1"/>
  <c r="P28" i="65"/>
  <c r="X28" i="65" s="1"/>
  <c r="N28" i="65"/>
  <c r="H28" i="65"/>
  <c r="D28" i="65"/>
  <c r="L28" i="65" s="1"/>
  <c r="B28" i="65"/>
  <c r="Z27" i="65"/>
  <c r="X27" i="65"/>
  <c r="N27" i="65"/>
  <c r="L27" i="65"/>
  <c r="B27" i="65"/>
  <c r="Z26" i="65"/>
  <c r="X26" i="65"/>
  <c r="N26" i="65"/>
  <c r="L26" i="65"/>
  <c r="B26" i="65"/>
  <c r="T25" i="65"/>
  <c r="Z25" i="65" s="1"/>
  <c r="P25" i="65"/>
  <c r="X25" i="65" s="1"/>
  <c r="N25" i="65"/>
  <c r="H25" i="65"/>
  <c r="D25" i="65"/>
  <c r="L25" i="65" s="1"/>
  <c r="B25" i="65"/>
  <c r="T24" i="65" a="1"/>
  <c r="T24" i="65" s="1"/>
  <c r="P24" i="65" a="1"/>
  <c r="P24" i="65" s="1"/>
  <c r="X24" i="65" s="1"/>
  <c r="H24" i="65" a="1"/>
  <c r="H24" i="65" s="1"/>
  <c r="D24" i="65" a="1"/>
  <c r="D24" i="65" s="1"/>
  <c r="Z20" i="65"/>
  <c r="X20" i="65"/>
  <c r="N20" i="65"/>
  <c r="L20" i="65"/>
  <c r="B20" i="65"/>
  <c r="Z19" i="65"/>
  <c r="X19" i="65"/>
  <c r="N19" i="65"/>
  <c r="L19" i="65"/>
  <c r="B19" i="65"/>
  <c r="T18" i="65"/>
  <c r="P18" i="65"/>
  <c r="H18" i="65"/>
  <c r="N18" i="65" s="1"/>
  <c r="D18" i="65"/>
  <c r="L18" i="65" s="1"/>
  <c r="Z16" i="65"/>
  <c r="X16" i="65"/>
  <c r="T16" i="65"/>
  <c r="P16" i="65"/>
  <c r="N16" i="65"/>
  <c r="H16" i="65"/>
  <c r="D16" i="65"/>
  <c r="L16" i="65" s="1"/>
  <c r="B16" i="65"/>
  <c r="Z15" i="65"/>
  <c r="T15" i="65"/>
  <c r="P15" i="65"/>
  <c r="X15" i="65" s="1"/>
  <c r="H15" i="65"/>
  <c r="N15" i="65" s="1"/>
  <c r="D15" i="65"/>
  <c r="B15" i="65"/>
  <c r="T14" i="65"/>
  <c r="Z14" i="65" s="1"/>
  <c r="P14" i="65"/>
  <c r="X14" i="65" s="1"/>
  <c r="L14" i="65"/>
  <c r="H14" i="65"/>
  <c r="N14" i="65" s="1"/>
  <c r="D14" i="65"/>
  <c r="D12" i="65" s="1"/>
  <c r="F41" i="65" s="1"/>
  <c r="B14" i="65"/>
  <c r="T13" i="65"/>
  <c r="Z13" i="65" s="1"/>
  <c r="P13" i="65"/>
  <c r="N13" i="65"/>
  <c r="H13" i="65"/>
  <c r="L13" i="65" s="1"/>
  <c r="D13" i="65"/>
  <c r="B13" i="65"/>
  <c r="P12" i="65"/>
  <c r="R34" i="65" s="1"/>
  <c r="D6" i="65"/>
  <c r="D4" i="65"/>
  <c r="X86" i="64"/>
  <c r="Z86" i="64" s="1"/>
  <c r="L86" i="64"/>
  <c r="N86" i="64" s="1"/>
  <c r="T82" i="64"/>
  <c r="Z82" i="64" s="1"/>
  <c r="P82" i="64"/>
  <c r="X82" i="64" s="1"/>
  <c r="H82" i="64"/>
  <c r="N82" i="64" s="1"/>
  <c r="D82" i="64"/>
  <c r="L82" i="64" s="1"/>
  <c r="X80" i="64"/>
  <c r="Z80" i="64" s="1"/>
  <c r="N80" i="64"/>
  <c r="L80" i="64"/>
  <c r="B80" i="64"/>
  <c r="T79" i="64"/>
  <c r="P79" i="64"/>
  <c r="X79" i="64" s="1"/>
  <c r="Z79" i="64" s="1"/>
  <c r="N79" i="64"/>
  <c r="H79" i="64"/>
  <c r="D79" i="64"/>
  <c r="L79" i="64" s="1"/>
  <c r="B79" i="64"/>
  <c r="X78" i="64"/>
  <c r="Z78" i="64" s="1"/>
  <c r="R78" i="64"/>
  <c r="L78" i="64"/>
  <c r="N78" i="64" s="1"/>
  <c r="B78" i="64"/>
  <c r="T77" i="64"/>
  <c r="P77" i="64"/>
  <c r="X77" i="64" s="1"/>
  <c r="Z77" i="64" s="1"/>
  <c r="L77" i="64"/>
  <c r="N77" i="64" s="1"/>
  <c r="H77" i="64"/>
  <c r="D77" i="64"/>
  <c r="B77" i="64"/>
  <c r="X76" i="64"/>
  <c r="Z76" i="64" s="1"/>
  <c r="N76" i="64"/>
  <c r="L76" i="64"/>
  <c r="B76" i="64"/>
  <c r="X75" i="64"/>
  <c r="Z75" i="64" s="1"/>
  <c r="N75" i="64"/>
  <c r="L75" i="64"/>
  <c r="B75" i="64"/>
  <c r="X74" i="64"/>
  <c r="Z74" i="64" s="1"/>
  <c r="N74" i="64"/>
  <c r="L74" i="64"/>
  <c r="B74" i="64"/>
  <c r="Z73" i="64"/>
  <c r="X73" i="64"/>
  <c r="N73" i="64"/>
  <c r="L73" i="64"/>
  <c r="B73" i="64"/>
  <c r="X72" i="64"/>
  <c r="T72" i="64"/>
  <c r="P72" i="64"/>
  <c r="H72" i="64"/>
  <c r="D72" i="64"/>
  <c r="B72" i="64"/>
  <c r="Z71" i="64"/>
  <c r="X71" i="64"/>
  <c r="N71" i="64"/>
  <c r="L71" i="64"/>
  <c r="B71" i="64"/>
  <c r="T70" i="64"/>
  <c r="P70" i="64"/>
  <c r="H70" i="64"/>
  <c r="N70" i="64" s="1"/>
  <c r="D70" i="64"/>
  <c r="L70" i="64" s="1"/>
  <c r="B70" i="64"/>
  <c r="Z69" i="64"/>
  <c r="X69" i="64"/>
  <c r="N69" i="64"/>
  <c r="L69" i="64"/>
  <c r="B69" i="64"/>
  <c r="X68" i="64"/>
  <c r="Z68" i="64" s="1"/>
  <c r="N68" i="64"/>
  <c r="L68" i="64"/>
  <c r="B68" i="64"/>
  <c r="X67" i="64"/>
  <c r="Z67" i="64" s="1"/>
  <c r="T67" i="64"/>
  <c r="P67" i="64"/>
  <c r="H67" i="64"/>
  <c r="N67" i="64" s="1"/>
  <c r="D67" i="64"/>
  <c r="B67" i="64"/>
  <c r="Z66" i="64"/>
  <c r="X66" i="64"/>
  <c r="N66" i="64"/>
  <c r="L66" i="64"/>
  <c r="B66" i="64"/>
  <c r="Z65" i="64"/>
  <c r="X65" i="64"/>
  <c r="N65" i="64"/>
  <c r="L65" i="64"/>
  <c r="B65" i="64"/>
  <c r="T64" i="64"/>
  <c r="Z64" i="64" s="1"/>
  <c r="P64" i="64"/>
  <c r="X64" i="64" s="1"/>
  <c r="H64" i="64"/>
  <c r="D64" i="64"/>
  <c r="L64" i="64" s="1"/>
  <c r="B64" i="64"/>
  <c r="Z63" i="64"/>
  <c r="X63" i="64"/>
  <c r="N63" i="64"/>
  <c r="L63" i="64"/>
  <c r="B63" i="64"/>
  <c r="T62" i="64"/>
  <c r="Z62" i="64" s="1"/>
  <c r="P62" i="64"/>
  <c r="X62" i="64" s="1"/>
  <c r="L62" i="64"/>
  <c r="H62" i="64"/>
  <c r="N62" i="64" s="1"/>
  <c r="D62" i="64"/>
  <c r="B62" i="64"/>
  <c r="Z61" i="64"/>
  <c r="X61" i="64"/>
  <c r="N61" i="64"/>
  <c r="L61" i="64"/>
  <c r="B61" i="64"/>
  <c r="X60" i="64"/>
  <c r="T60" i="64"/>
  <c r="P60" i="64"/>
  <c r="H60" i="64"/>
  <c r="D60" i="64"/>
  <c r="B60" i="64"/>
  <c r="Z59" i="64"/>
  <c r="X59" i="64"/>
  <c r="N59" i="64"/>
  <c r="L59" i="64"/>
  <c r="B59" i="64"/>
  <c r="T58" i="64"/>
  <c r="P58" i="64"/>
  <c r="H58" i="64"/>
  <c r="N58" i="64" s="1"/>
  <c r="D58" i="64"/>
  <c r="L58" i="64" s="1"/>
  <c r="B58" i="64"/>
  <c r="Z57" i="64"/>
  <c r="X57" i="64"/>
  <c r="N57" i="64"/>
  <c r="L57" i="64"/>
  <c r="B57" i="64"/>
  <c r="Z56" i="64"/>
  <c r="X56" i="64"/>
  <c r="N56" i="64"/>
  <c r="L56" i="64"/>
  <c r="B56" i="64"/>
  <c r="Z55" i="64"/>
  <c r="X55" i="64"/>
  <c r="T55" i="64"/>
  <c r="P55" i="64"/>
  <c r="H55" i="64"/>
  <c r="N55" i="64" s="1"/>
  <c r="D55" i="64"/>
  <c r="B55" i="64"/>
  <c r="X54" i="64"/>
  <c r="Z54" i="64" s="1"/>
  <c r="N54" i="64"/>
  <c r="L54" i="64"/>
  <c r="B54" i="64"/>
  <c r="T53" i="64"/>
  <c r="P53" i="64"/>
  <c r="N53" i="64"/>
  <c r="H53" i="64"/>
  <c r="D53" i="64"/>
  <c r="L53" i="64" s="1"/>
  <c r="B53" i="64"/>
  <c r="X52" i="64"/>
  <c r="Z52" i="64" s="1"/>
  <c r="N52" i="64"/>
  <c r="L52" i="64"/>
  <c r="B52" i="64"/>
  <c r="T51" i="64"/>
  <c r="P51" i="64"/>
  <c r="X51" i="64" s="1"/>
  <c r="Z51" i="64" s="1"/>
  <c r="N51" i="64"/>
  <c r="H51" i="64"/>
  <c r="D51" i="64"/>
  <c r="L51" i="64" s="1"/>
  <c r="B51" i="64"/>
  <c r="Z50" i="64"/>
  <c r="X50" i="64"/>
  <c r="N50" i="64"/>
  <c r="L50" i="64"/>
  <c r="B50" i="64"/>
  <c r="Z49" i="64"/>
  <c r="X49" i="64"/>
  <c r="N49" i="64"/>
  <c r="L49" i="64"/>
  <c r="B49" i="64"/>
  <c r="X48" i="64"/>
  <c r="Z48" i="64" s="1"/>
  <c r="N48" i="64"/>
  <c r="L48" i="64"/>
  <c r="B48" i="64"/>
  <c r="Z47" i="64"/>
  <c r="X47" i="64"/>
  <c r="N47" i="64"/>
  <c r="L47" i="64"/>
  <c r="B47" i="64"/>
  <c r="T46" i="64"/>
  <c r="Z46" i="64" s="1"/>
  <c r="P46" i="64"/>
  <c r="X46" i="64" s="1"/>
  <c r="L46" i="64"/>
  <c r="H46" i="64"/>
  <c r="N46" i="64" s="1"/>
  <c r="D46" i="64"/>
  <c r="B46" i="64"/>
  <c r="Z45" i="64"/>
  <c r="X45" i="64"/>
  <c r="N45" i="64"/>
  <c r="L45" i="64"/>
  <c r="B45" i="64"/>
  <c r="X44" i="64"/>
  <c r="Z44" i="64" s="1"/>
  <c r="N44" i="64"/>
  <c r="L44" i="64"/>
  <c r="B44" i="64"/>
  <c r="Z43" i="64"/>
  <c r="X43" i="64"/>
  <c r="N43" i="64"/>
  <c r="L43" i="64"/>
  <c r="B43" i="64"/>
  <c r="T42" i="64"/>
  <c r="P42" i="64"/>
  <c r="X42" i="64" s="1"/>
  <c r="L42" i="64"/>
  <c r="H42" i="64"/>
  <c r="N42" i="64" s="1"/>
  <c r="D42" i="64"/>
  <c r="B42" i="64"/>
  <c r="T41" i="64" a="1"/>
  <c r="T41" i="64" s="1"/>
  <c r="P41" i="64" a="1"/>
  <c r="P41" i="64" s="1"/>
  <c r="H41" i="64" a="1"/>
  <c r="H41" i="64" s="1"/>
  <c r="D41" i="64" a="1"/>
  <c r="D41" i="64" s="1"/>
  <c r="L41" i="64" s="1"/>
  <c r="Z37" i="64"/>
  <c r="X37" i="64"/>
  <c r="N37" i="64"/>
  <c r="L37" i="64"/>
  <c r="B37" i="64"/>
  <c r="Z36" i="64"/>
  <c r="X36" i="64"/>
  <c r="N36" i="64"/>
  <c r="L36" i="64"/>
  <c r="B36" i="64"/>
  <c r="Z35" i="64"/>
  <c r="X35" i="64"/>
  <c r="N35" i="64"/>
  <c r="L35" i="64"/>
  <c r="B35" i="64"/>
  <c r="X34" i="64"/>
  <c r="Z34" i="64" s="1"/>
  <c r="N34" i="64"/>
  <c r="L34" i="64"/>
  <c r="B34" i="64"/>
  <c r="Z33" i="64"/>
  <c r="X33" i="64"/>
  <c r="N33" i="64"/>
  <c r="L33" i="64"/>
  <c r="B33" i="64"/>
  <c r="X32" i="64"/>
  <c r="Z32" i="64" s="1"/>
  <c r="N32" i="64"/>
  <c r="L32" i="64"/>
  <c r="B32" i="64"/>
  <c r="Z31" i="64"/>
  <c r="X31" i="64"/>
  <c r="N31" i="64"/>
  <c r="L31" i="64"/>
  <c r="B31" i="64"/>
  <c r="Z30" i="64"/>
  <c r="X30" i="64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T27" i="64"/>
  <c r="P27" i="64"/>
  <c r="X27" i="64" s="1"/>
  <c r="Z27" i="64" s="1"/>
  <c r="H27" i="64"/>
  <c r="D27" i="64"/>
  <c r="Z25" i="64"/>
  <c r="X25" i="64"/>
  <c r="T25" i="64"/>
  <c r="P25" i="64"/>
  <c r="H25" i="64"/>
  <c r="N25" i="64" s="1"/>
  <c r="D25" i="64"/>
  <c r="B25" i="64"/>
  <c r="T24" i="64"/>
  <c r="P24" i="64"/>
  <c r="X24" i="64" s="1"/>
  <c r="Z24" i="64" s="1"/>
  <c r="N24" i="64"/>
  <c r="H24" i="64"/>
  <c r="D24" i="64"/>
  <c r="L24" i="64" s="1"/>
  <c r="B24" i="64"/>
  <c r="T23" i="64"/>
  <c r="P23" i="64"/>
  <c r="X23" i="64" s="1"/>
  <c r="H23" i="64"/>
  <c r="N23" i="64" s="1"/>
  <c r="D23" i="64"/>
  <c r="L23" i="64" s="1"/>
  <c r="B23" i="64"/>
  <c r="T22" i="64"/>
  <c r="Z22" i="64" s="1"/>
  <c r="P22" i="64"/>
  <c r="X22" i="64" s="1"/>
  <c r="L22" i="64"/>
  <c r="H22" i="64"/>
  <c r="N22" i="64" s="1"/>
  <c r="D22" i="64"/>
  <c r="B22" i="64"/>
  <c r="T21" i="64"/>
  <c r="P21" i="64"/>
  <c r="N21" i="64"/>
  <c r="L21" i="64"/>
  <c r="H21" i="64"/>
  <c r="D21" i="64"/>
  <c r="B21" i="64"/>
  <c r="Z20" i="64"/>
  <c r="T20" i="64"/>
  <c r="P20" i="64"/>
  <c r="X20" i="64" s="1"/>
  <c r="N20" i="64"/>
  <c r="H20" i="64"/>
  <c r="D20" i="64"/>
  <c r="L20" i="64" s="1"/>
  <c r="B20" i="64"/>
  <c r="T19" i="64"/>
  <c r="P19" i="64"/>
  <c r="H19" i="64"/>
  <c r="N19" i="64" s="1"/>
  <c r="D19" i="64"/>
  <c r="L19" i="64" s="1"/>
  <c r="B19" i="64"/>
  <c r="X18" i="64"/>
  <c r="T18" i="64"/>
  <c r="P18" i="64"/>
  <c r="H18" i="64"/>
  <c r="N18" i="64" s="1"/>
  <c r="D18" i="64"/>
  <c r="L18" i="64" s="1"/>
  <c r="B18" i="64"/>
  <c r="Z17" i="64"/>
  <c r="X17" i="64"/>
  <c r="T17" i="64"/>
  <c r="P17" i="64"/>
  <c r="H17" i="64"/>
  <c r="N17" i="64" s="1"/>
  <c r="D17" i="64"/>
  <c r="B17" i="64"/>
  <c r="T16" i="64"/>
  <c r="P16" i="64"/>
  <c r="X16" i="64" s="1"/>
  <c r="Z16" i="64" s="1"/>
  <c r="N16" i="64"/>
  <c r="H16" i="64"/>
  <c r="D16" i="64"/>
  <c r="B16" i="64"/>
  <c r="T15" i="64"/>
  <c r="Z15" i="64" s="1"/>
  <c r="P15" i="64"/>
  <c r="X15" i="64" s="1"/>
  <c r="H15" i="64"/>
  <c r="N15" i="64" s="1"/>
  <c r="D15" i="64"/>
  <c r="L15" i="64" s="1"/>
  <c r="B15" i="64"/>
  <c r="T14" i="64"/>
  <c r="Z14" i="64" s="1"/>
  <c r="P14" i="64"/>
  <c r="X14" i="64" s="1"/>
  <c r="L14" i="64"/>
  <c r="H14" i="64"/>
  <c r="D14" i="64"/>
  <c r="B14" i="64"/>
  <c r="T13" i="64"/>
  <c r="P13" i="64"/>
  <c r="N13" i="64"/>
  <c r="L13" i="64"/>
  <c r="H13" i="64"/>
  <c r="D13" i="64"/>
  <c r="B13" i="64"/>
  <c r="P12" i="64"/>
  <c r="R55" i="64" s="1"/>
  <c r="D6" i="64"/>
  <c r="D4" i="64"/>
  <c r="Z101" i="62"/>
  <c r="X101" i="62"/>
  <c r="N101" i="62"/>
  <c r="L101" i="62"/>
  <c r="T97" i="62"/>
  <c r="P97" i="62"/>
  <c r="H97" i="62"/>
  <c r="D97" i="62"/>
  <c r="L97" i="62" s="1"/>
  <c r="N97" i="62" s="1"/>
  <c r="B97" i="62"/>
  <c r="J96" i="62"/>
  <c r="H96" i="62"/>
  <c r="X94" i="62"/>
  <c r="Z94" i="62" s="1"/>
  <c r="N94" i="62"/>
  <c r="L94" i="62"/>
  <c r="B94" i="62"/>
  <c r="T93" i="62"/>
  <c r="P93" i="62"/>
  <c r="H93" i="62"/>
  <c r="D93" i="62"/>
  <c r="L93" i="62" s="1"/>
  <c r="B93" i="62"/>
  <c r="X92" i="62"/>
  <c r="Z92" i="62" s="1"/>
  <c r="N92" i="62"/>
  <c r="L92" i="62"/>
  <c r="J92" i="62"/>
  <c r="B92" i="62"/>
  <c r="Z91" i="62"/>
  <c r="X91" i="62"/>
  <c r="N91" i="62"/>
  <c r="L91" i="62"/>
  <c r="B91" i="62"/>
  <c r="X90" i="62"/>
  <c r="Z90" i="62" s="1"/>
  <c r="T90" i="62"/>
  <c r="R90" i="62"/>
  <c r="P90" i="62"/>
  <c r="H90" i="62"/>
  <c r="N90" i="62" s="1"/>
  <c r="D90" i="62"/>
  <c r="B90" i="62"/>
  <c r="Z89" i="62"/>
  <c r="X89" i="62"/>
  <c r="N89" i="62"/>
  <c r="L89" i="62"/>
  <c r="F89" i="62"/>
  <c r="B89" i="62"/>
  <c r="T88" i="62"/>
  <c r="P88" i="62"/>
  <c r="N88" i="62"/>
  <c r="H88" i="62"/>
  <c r="D88" i="62"/>
  <c r="L88" i="62" s="1"/>
  <c r="B88" i="62"/>
  <c r="X87" i="62"/>
  <c r="Z87" i="62" s="1"/>
  <c r="N87" i="62"/>
  <c r="L87" i="62"/>
  <c r="B87" i="62"/>
  <c r="T86" i="62"/>
  <c r="P86" i="62"/>
  <c r="X86" i="62" s="1"/>
  <c r="Z86" i="62" s="1"/>
  <c r="J86" i="62"/>
  <c r="H86" i="62"/>
  <c r="D86" i="62"/>
  <c r="L86" i="62" s="1"/>
  <c r="N86" i="62" s="1"/>
  <c r="B86" i="62"/>
  <c r="X85" i="62"/>
  <c r="Z85" i="62" s="1"/>
  <c r="R85" i="62"/>
  <c r="N85" i="62"/>
  <c r="L85" i="62"/>
  <c r="B85" i="62"/>
  <c r="Z84" i="62"/>
  <c r="X84" i="62"/>
  <c r="V84" i="62"/>
  <c r="N84" i="62"/>
  <c r="L84" i="62"/>
  <c r="B84" i="62"/>
  <c r="X83" i="62"/>
  <c r="Z83" i="62" s="1"/>
  <c r="N83" i="62"/>
  <c r="L83" i="62"/>
  <c r="B83" i="62"/>
  <c r="Z82" i="62"/>
  <c r="X82" i="62"/>
  <c r="L82" i="62"/>
  <c r="N82" i="62" s="1"/>
  <c r="B82" i="62"/>
  <c r="Z81" i="62"/>
  <c r="X81" i="62"/>
  <c r="L81" i="62"/>
  <c r="N81" i="62" s="1"/>
  <c r="F81" i="62"/>
  <c r="B81" i="62"/>
  <c r="X80" i="62"/>
  <c r="Z80" i="62" s="1"/>
  <c r="N80" i="62"/>
  <c r="L80" i="62"/>
  <c r="J80" i="62"/>
  <c r="B80" i="62"/>
  <c r="T79" i="62"/>
  <c r="P79" i="62"/>
  <c r="X79" i="62" s="1"/>
  <c r="H79" i="62"/>
  <c r="D79" i="62"/>
  <c r="L79" i="62" s="1"/>
  <c r="N79" i="62" s="1"/>
  <c r="B79" i="62"/>
  <c r="Z78" i="62"/>
  <c r="X78" i="62"/>
  <c r="N78" i="62"/>
  <c r="L78" i="62"/>
  <c r="B78" i="62"/>
  <c r="Z77" i="62"/>
  <c r="T77" i="62"/>
  <c r="P77" i="62"/>
  <c r="X77" i="62" s="1"/>
  <c r="L77" i="62"/>
  <c r="H77" i="62"/>
  <c r="N77" i="62" s="1"/>
  <c r="D77" i="62"/>
  <c r="B77" i="62"/>
  <c r="Z76" i="62"/>
  <c r="X76" i="62"/>
  <c r="V76" i="62"/>
  <c r="L76" i="62"/>
  <c r="N76" i="62" s="1"/>
  <c r="B76" i="62"/>
  <c r="X75" i="62"/>
  <c r="Z75" i="62" s="1"/>
  <c r="N75" i="62"/>
  <c r="L75" i="62"/>
  <c r="B75" i="62"/>
  <c r="Z74" i="62"/>
  <c r="X74" i="62"/>
  <c r="L74" i="62"/>
  <c r="N74" i="62" s="1"/>
  <c r="B74" i="62"/>
  <c r="T73" i="62"/>
  <c r="P73" i="62"/>
  <c r="X73" i="62" s="1"/>
  <c r="Z73" i="62" s="1"/>
  <c r="L73" i="62"/>
  <c r="H73" i="62"/>
  <c r="N73" i="62" s="1"/>
  <c r="D73" i="62"/>
  <c r="B73" i="62"/>
  <c r="Z72" i="62"/>
  <c r="X72" i="62"/>
  <c r="V72" i="62"/>
  <c r="L72" i="62"/>
  <c r="N72" i="62" s="1"/>
  <c r="B72" i="62"/>
  <c r="X71" i="62"/>
  <c r="Z71" i="62" s="1"/>
  <c r="N71" i="62"/>
  <c r="L71" i="62"/>
  <c r="B71" i="62"/>
  <c r="Z70" i="62"/>
  <c r="X70" i="62"/>
  <c r="N70" i="62"/>
  <c r="L70" i="62"/>
  <c r="B70" i="62"/>
  <c r="Z69" i="62"/>
  <c r="X69" i="62"/>
  <c r="N69" i="62"/>
  <c r="L69" i="62"/>
  <c r="F69" i="62"/>
  <c r="B69" i="62"/>
  <c r="T68" i="62"/>
  <c r="P68" i="62"/>
  <c r="H68" i="62"/>
  <c r="D68" i="62"/>
  <c r="L68" i="62" s="1"/>
  <c r="N68" i="62" s="1"/>
  <c r="B68" i="62"/>
  <c r="X67" i="62"/>
  <c r="Z67" i="62" s="1"/>
  <c r="N67" i="62"/>
  <c r="L67" i="62"/>
  <c r="B67" i="62"/>
  <c r="T66" i="62"/>
  <c r="P66" i="62"/>
  <c r="X66" i="62" s="1"/>
  <c r="Z66" i="62" s="1"/>
  <c r="J66" i="62"/>
  <c r="H66" i="62"/>
  <c r="D66" i="62"/>
  <c r="L66" i="62" s="1"/>
  <c r="N66" i="62" s="1"/>
  <c r="B66" i="62"/>
  <c r="Z65" i="62"/>
  <c r="X65" i="62"/>
  <c r="R65" i="62"/>
  <c r="N65" i="62"/>
  <c r="L65" i="62"/>
  <c r="B65" i="62"/>
  <c r="Z64" i="62"/>
  <c r="V64" i="62"/>
  <c r="T64" i="62"/>
  <c r="P64" i="62"/>
  <c r="X64" i="62" s="1"/>
  <c r="L64" i="62"/>
  <c r="J64" i="62"/>
  <c r="H64" i="62"/>
  <c r="N64" i="62" s="1"/>
  <c r="F64" i="62"/>
  <c r="D64" i="62"/>
  <c r="B64" i="62"/>
  <c r="Z63" i="62"/>
  <c r="X63" i="62"/>
  <c r="R63" i="62"/>
  <c r="L63" i="62"/>
  <c r="N63" i="62" s="1"/>
  <c r="B63" i="62"/>
  <c r="X62" i="62"/>
  <c r="T62" i="62"/>
  <c r="Z62" i="62" s="1"/>
  <c r="R62" i="62"/>
  <c r="P62" i="62"/>
  <c r="H62" i="62"/>
  <c r="F62" i="62"/>
  <c r="D62" i="62"/>
  <c r="B62" i="62"/>
  <c r="Z61" i="62"/>
  <c r="X61" i="62"/>
  <c r="N61" i="62"/>
  <c r="L61" i="62"/>
  <c r="F61" i="62"/>
  <c r="B61" i="62"/>
  <c r="T60" i="62"/>
  <c r="R60" i="62"/>
  <c r="P60" i="62"/>
  <c r="N60" i="62"/>
  <c r="H60" i="62"/>
  <c r="D60" i="62"/>
  <c r="L60" i="62" s="1"/>
  <c r="B60" i="62"/>
  <c r="X59" i="62"/>
  <c r="Z59" i="62" s="1"/>
  <c r="N59" i="62"/>
  <c r="L59" i="62"/>
  <c r="F59" i="62"/>
  <c r="B59" i="62"/>
  <c r="Z58" i="62"/>
  <c r="T58" i="62"/>
  <c r="P58" i="62"/>
  <c r="X58" i="62" s="1"/>
  <c r="J58" i="62"/>
  <c r="H58" i="62"/>
  <c r="D58" i="62"/>
  <c r="L58" i="62" s="1"/>
  <c r="N58" i="62" s="1"/>
  <c r="B58" i="62"/>
  <c r="X57" i="62"/>
  <c r="Z57" i="62" s="1"/>
  <c r="R57" i="62"/>
  <c r="N57" i="62"/>
  <c r="L57" i="62"/>
  <c r="B57" i="62"/>
  <c r="V56" i="62"/>
  <c r="T56" i="62"/>
  <c r="P56" i="62"/>
  <c r="X56" i="62" s="1"/>
  <c r="Z56" i="62" s="1"/>
  <c r="L56" i="62"/>
  <c r="J56" i="62"/>
  <c r="H56" i="62"/>
  <c r="N56" i="62" s="1"/>
  <c r="F56" i="62"/>
  <c r="D56" i="62"/>
  <c r="B56" i="62"/>
  <c r="Z55" i="62"/>
  <c r="X55" i="62"/>
  <c r="R55" i="62"/>
  <c r="N55" i="62"/>
  <c r="L55" i="62"/>
  <c r="B55" i="62"/>
  <c r="X54" i="62"/>
  <c r="T54" i="62"/>
  <c r="Z54" i="62" s="1"/>
  <c r="R54" i="62"/>
  <c r="P54" i="62"/>
  <c r="H54" i="62"/>
  <c r="N54" i="62" s="1"/>
  <c r="F54" i="62"/>
  <c r="D54" i="62"/>
  <c r="B54" i="62"/>
  <c r="Z53" i="62"/>
  <c r="X53" i="62"/>
  <c r="N53" i="62"/>
  <c r="L53" i="62"/>
  <c r="F53" i="62"/>
  <c r="B53" i="62"/>
  <c r="T52" i="62"/>
  <c r="Z52" i="62" s="1"/>
  <c r="R52" i="62"/>
  <c r="P52" i="62"/>
  <c r="N52" i="62"/>
  <c r="H52" i="62"/>
  <c r="D52" i="62"/>
  <c r="L52" i="62" s="1"/>
  <c r="B52" i="62"/>
  <c r="Z51" i="62"/>
  <c r="X51" i="62"/>
  <c r="N51" i="62"/>
  <c r="L51" i="62"/>
  <c r="F51" i="62"/>
  <c r="B51" i="62"/>
  <c r="Z50" i="62"/>
  <c r="X50" i="62"/>
  <c r="N50" i="62"/>
  <c r="L50" i="62"/>
  <c r="J50" i="62"/>
  <c r="B50" i="62"/>
  <c r="Z49" i="62"/>
  <c r="T49" i="62"/>
  <c r="P49" i="62"/>
  <c r="X49" i="62" s="1"/>
  <c r="N49" i="62"/>
  <c r="L49" i="62"/>
  <c r="H49" i="62"/>
  <c r="D49" i="62"/>
  <c r="B49" i="62"/>
  <c r="Z48" i="62"/>
  <c r="X48" i="62"/>
  <c r="V48" i="62"/>
  <c r="L48" i="62"/>
  <c r="N48" i="62" s="1"/>
  <c r="B48" i="62"/>
  <c r="X47" i="62"/>
  <c r="Z47" i="62" s="1"/>
  <c r="N47" i="62"/>
  <c r="L47" i="62"/>
  <c r="F47" i="62"/>
  <c r="B47" i="62"/>
  <c r="Z46" i="62"/>
  <c r="T46" i="62"/>
  <c r="P46" i="62"/>
  <c r="X46" i="62" s="1"/>
  <c r="J46" i="62"/>
  <c r="H46" i="62"/>
  <c r="D46" i="62"/>
  <c r="L46" i="62" s="1"/>
  <c r="N46" i="62" s="1"/>
  <c r="B46" i="62"/>
  <c r="X45" i="62"/>
  <c r="Z45" i="62" s="1"/>
  <c r="R45" i="62"/>
  <c r="N45" i="62"/>
  <c r="L45" i="62"/>
  <c r="B45" i="62"/>
  <c r="V44" i="62"/>
  <c r="T44" i="62"/>
  <c r="P44" i="62"/>
  <c r="X44" i="62" s="1"/>
  <c r="Z44" i="62" s="1"/>
  <c r="L44" i="62"/>
  <c r="J44" i="62"/>
  <c r="H44" i="62"/>
  <c r="N44" i="62" s="1"/>
  <c r="F44" i="62"/>
  <c r="D44" i="62"/>
  <c r="B44" i="62"/>
  <c r="Z43" i="62"/>
  <c r="X43" i="62"/>
  <c r="R43" i="62"/>
  <c r="N43" i="62"/>
  <c r="L43" i="62"/>
  <c r="B43" i="62"/>
  <c r="X42" i="62"/>
  <c r="Z42" i="62" s="1"/>
  <c r="N42" i="62"/>
  <c r="L42" i="62"/>
  <c r="B42" i="62"/>
  <c r="T41" i="62"/>
  <c r="P41" i="62"/>
  <c r="H41" i="62"/>
  <c r="N41" i="62" s="1"/>
  <c r="D41" i="62"/>
  <c r="L41" i="62" s="1"/>
  <c r="B41" i="62"/>
  <c r="X40" i="62"/>
  <c r="Z40" i="62" s="1"/>
  <c r="N40" i="62"/>
  <c r="L40" i="62"/>
  <c r="J40" i="62"/>
  <c r="B40" i="62"/>
  <c r="T39" i="62"/>
  <c r="Z39" i="62" s="1"/>
  <c r="P39" i="62"/>
  <c r="X39" i="62" s="1"/>
  <c r="N39" i="62"/>
  <c r="H39" i="62"/>
  <c r="D39" i="62"/>
  <c r="L39" i="62" s="1"/>
  <c r="B39" i="62"/>
  <c r="Z38" i="62"/>
  <c r="X38" i="62"/>
  <c r="N38" i="62"/>
  <c r="L38" i="62"/>
  <c r="J38" i="62"/>
  <c r="B38" i="62"/>
  <c r="Z37" i="62"/>
  <c r="X37" i="62"/>
  <c r="L37" i="62"/>
  <c r="N37" i="62" s="1"/>
  <c r="F37" i="62"/>
  <c r="B37" i="62"/>
  <c r="X36" i="62"/>
  <c r="Z36" i="62" s="1"/>
  <c r="N36" i="62"/>
  <c r="L36" i="62"/>
  <c r="J36" i="62"/>
  <c r="B36" i="62"/>
  <c r="Z35" i="62"/>
  <c r="X35" i="62"/>
  <c r="R35" i="62"/>
  <c r="L35" i="62"/>
  <c r="N35" i="62" s="1"/>
  <c r="B35" i="62"/>
  <c r="X34" i="62"/>
  <c r="Z34" i="62" s="1"/>
  <c r="N34" i="62"/>
  <c r="L34" i="62"/>
  <c r="B34" i="62"/>
  <c r="X33" i="62"/>
  <c r="Z33" i="62" s="1"/>
  <c r="R33" i="62"/>
  <c r="N33" i="62"/>
  <c r="L33" i="62"/>
  <c r="B33" i="62"/>
  <c r="Z32" i="62"/>
  <c r="X32" i="62"/>
  <c r="V32" i="62"/>
  <c r="L32" i="62"/>
  <c r="N32" i="62" s="1"/>
  <c r="B32" i="62"/>
  <c r="X31" i="62"/>
  <c r="Z31" i="62" s="1"/>
  <c r="T31" i="62"/>
  <c r="P31" i="62"/>
  <c r="H31" i="62"/>
  <c r="D31" i="62"/>
  <c r="B31" i="62"/>
  <c r="X30" i="62"/>
  <c r="Z30" i="62" s="1"/>
  <c r="N30" i="62"/>
  <c r="L30" i="62"/>
  <c r="B30" i="62"/>
  <c r="X29" i="62"/>
  <c r="Z29" i="62" s="1"/>
  <c r="R29" i="62"/>
  <c r="N29" i="62"/>
  <c r="L29" i="62"/>
  <c r="B29" i="62"/>
  <c r="Z28" i="62"/>
  <c r="X28" i="62"/>
  <c r="V28" i="62"/>
  <c r="L28" i="62"/>
  <c r="N28" i="62" s="1"/>
  <c r="B28" i="62"/>
  <c r="X27" i="62"/>
  <c r="Z27" i="62" s="1"/>
  <c r="N27" i="62"/>
  <c r="L27" i="62"/>
  <c r="J27" i="62"/>
  <c r="F27" i="62"/>
  <c r="B27" i="62"/>
  <c r="Z26" i="62"/>
  <c r="X26" i="62"/>
  <c r="N26" i="62"/>
  <c r="L26" i="62"/>
  <c r="J26" i="62"/>
  <c r="B26" i="62"/>
  <c r="Z25" i="62"/>
  <c r="X25" i="62"/>
  <c r="L25" i="62"/>
  <c r="N25" i="62" s="1"/>
  <c r="F25" i="62"/>
  <c r="B25" i="62"/>
  <c r="X24" i="62"/>
  <c r="Z24" i="62" s="1"/>
  <c r="R24" i="62"/>
  <c r="N24" i="62"/>
  <c r="L24" i="62"/>
  <c r="J24" i="62"/>
  <c r="B24" i="62"/>
  <c r="Z23" i="62"/>
  <c r="X23" i="62"/>
  <c r="R23" i="62"/>
  <c r="L23" i="62"/>
  <c r="N23" i="62" s="1"/>
  <c r="B23" i="62"/>
  <c r="X22" i="62"/>
  <c r="Z22" i="62" s="1"/>
  <c r="N22" i="62"/>
  <c r="L22" i="62"/>
  <c r="B22" i="62"/>
  <c r="X21" i="62"/>
  <c r="Z21" i="62" s="1"/>
  <c r="R21" i="62"/>
  <c r="N21" i="62"/>
  <c r="L21" i="62"/>
  <c r="B21" i="62"/>
  <c r="V20" i="62"/>
  <c r="T20" i="62"/>
  <c r="P20" i="62"/>
  <c r="X20" i="62" s="1"/>
  <c r="Z20" i="62" s="1"/>
  <c r="L20" i="62"/>
  <c r="N20" i="62" s="1"/>
  <c r="J20" i="62"/>
  <c r="H20" i="62"/>
  <c r="F20" i="62"/>
  <c r="D20" i="62"/>
  <c r="B20" i="62"/>
  <c r="T19" i="62" a="1"/>
  <c r="T19" i="62" s="1"/>
  <c r="R19" i="62"/>
  <c r="P19" i="62" a="1"/>
  <c r="P19" i="62" s="1"/>
  <c r="J19" i="62"/>
  <c r="H19" i="62" a="1"/>
  <c r="H19" i="62" s="1"/>
  <c r="F19" i="62"/>
  <c r="D19" i="62" a="1"/>
  <c r="D19" i="62" s="1"/>
  <c r="L19" i="62" s="1"/>
  <c r="P17" i="62"/>
  <c r="J17" i="62"/>
  <c r="F17" i="62"/>
  <c r="D17" i="62"/>
  <c r="Z15" i="62"/>
  <c r="X15" i="62"/>
  <c r="N15" i="62"/>
  <c r="L15" i="62"/>
  <c r="J15" i="62"/>
  <c r="F15" i="62"/>
  <c r="B15" i="62"/>
  <c r="Z14" i="62"/>
  <c r="X14" i="62"/>
  <c r="T14" i="62"/>
  <c r="P14" i="62"/>
  <c r="N14" i="62"/>
  <c r="J14" i="62"/>
  <c r="H14" i="62"/>
  <c r="D14" i="62"/>
  <c r="L14" i="62" s="1"/>
  <c r="T12" i="62"/>
  <c r="V106" i="62" s="1"/>
  <c r="P12" i="62"/>
  <c r="R93" i="62" s="1"/>
  <c r="N12" i="62"/>
  <c r="L12" i="62"/>
  <c r="H12" i="62"/>
  <c r="J91" i="62" s="1"/>
  <c r="D12" i="62"/>
  <c r="F106" i="62" s="1"/>
  <c r="D6" i="62"/>
  <c r="D4" i="62"/>
  <c r="V53" i="61"/>
  <c r="F53" i="61"/>
  <c r="R50" i="61"/>
  <c r="Z48" i="61"/>
  <c r="X48" i="61"/>
  <c r="V48" i="61"/>
  <c r="N48" i="61"/>
  <c r="L48" i="61"/>
  <c r="V46" i="61"/>
  <c r="F46" i="61"/>
  <c r="T44" i="61"/>
  <c r="Z44" i="61" s="1"/>
  <c r="R44" i="61"/>
  <c r="P44" i="61"/>
  <c r="X44" i="61" s="1"/>
  <c r="N44" i="61"/>
  <c r="L44" i="61"/>
  <c r="H44" i="61"/>
  <c r="D44" i="61"/>
  <c r="Z42" i="61"/>
  <c r="X42" i="61"/>
  <c r="V42" i="61"/>
  <c r="L42" i="61"/>
  <c r="N42" i="61" s="1"/>
  <c r="B42" i="61"/>
  <c r="X41" i="61"/>
  <c r="V41" i="61"/>
  <c r="T41" i="61"/>
  <c r="P41" i="61"/>
  <c r="H41" i="61"/>
  <c r="D41" i="61"/>
  <c r="B41" i="61"/>
  <c r="Z40" i="61"/>
  <c r="X40" i="61"/>
  <c r="V40" i="61"/>
  <c r="N40" i="61"/>
  <c r="L40" i="61"/>
  <c r="B40" i="61"/>
  <c r="T39" i="61"/>
  <c r="P39" i="61"/>
  <c r="H39" i="61"/>
  <c r="N39" i="61" s="1"/>
  <c r="D39" i="61"/>
  <c r="L39" i="61" s="1"/>
  <c r="B39" i="61"/>
  <c r="Z38" i="61"/>
  <c r="X38" i="61"/>
  <c r="N38" i="61"/>
  <c r="L38" i="61"/>
  <c r="J38" i="61"/>
  <c r="B38" i="61"/>
  <c r="T37" i="61"/>
  <c r="Z37" i="61" s="1"/>
  <c r="P37" i="61"/>
  <c r="X37" i="61" s="1"/>
  <c r="N37" i="61"/>
  <c r="H37" i="61"/>
  <c r="D37" i="61"/>
  <c r="L37" i="61" s="1"/>
  <c r="B37" i="61"/>
  <c r="Z36" i="61"/>
  <c r="X36" i="61"/>
  <c r="N36" i="61"/>
  <c r="L36" i="61"/>
  <c r="B36" i="61"/>
  <c r="T35" i="61"/>
  <c r="P35" i="61"/>
  <c r="X35" i="61" s="1"/>
  <c r="Z35" i="61" s="1"/>
  <c r="L35" i="61"/>
  <c r="H35" i="61"/>
  <c r="N35" i="61" s="1"/>
  <c r="D35" i="61"/>
  <c r="B35" i="61"/>
  <c r="Z34" i="61"/>
  <c r="X34" i="61"/>
  <c r="V34" i="61"/>
  <c r="R34" i="61"/>
  <c r="N34" i="61"/>
  <c r="L34" i="61"/>
  <c r="B34" i="61"/>
  <c r="X33" i="61"/>
  <c r="V33" i="61"/>
  <c r="T33" i="61"/>
  <c r="Z33" i="61" s="1"/>
  <c r="P33" i="61"/>
  <c r="H33" i="61"/>
  <c r="D33" i="61"/>
  <c r="B33" i="61"/>
  <c r="X32" i="61"/>
  <c r="Z32" i="61" s="1"/>
  <c r="V32" i="61"/>
  <c r="N32" i="61"/>
  <c r="L32" i="61"/>
  <c r="B32" i="61"/>
  <c r="X31" i="61"/>
  <c r="Z31" i="61" s="1"/>
  <c r="R31" i="61"/>
  <c r="N31" i="61"/>
  <c r="L31" i="61"/>
  <c r="B31" i="61"/>
  <c r="Z30" i="61"/>
  <c r="X30" i="61"/>
  <c r="V30" i="61"/>
  <c r="R30" i="61"/>
  <c r="N30" i="61"/>
  <c r="L30" i="61"/>
  <c r="B30" i="61"/>
  <c r="X29" i="61"/>
  <c r="Z29" i="61" s="1"/>
  <c r="V29" i="61"/>
  <c r="L29" i="61"/>
  <c r="N29" i="61" s="1"/>
  <c r="F29" i="61"/>
  <c r="B29" i="61"/>
  <c r="Z28" i="61"/>
  <c r="X28" i="61"/>
  <c r="T28" i="61"/>
  <c r="P28" i="61"/>
  <c r="H28" i="61"/>
  <c r="D28" i="61"/>
  <c r="L28" i="61" s="1"/>
  <c r="N28" i="61" s="1"/>
  <c r="B28" i="61"/>
  <c r="Z27" i="61"/>
  <c r="X27" i="61"/>
  <c r="R27" i="61"/>
  <c r="N27" i="61"/>
  <c r="L27" i="61"/>
  <c r="B27" i="61"/>
  <c r="Z26" i="61"/>
  <c r="X26" i="61"/>
  <c r="V26" i="61"/>
  <c r="R26" i="61"/>
  <c r="L26" i="61"/>
  <c r="N26" i="61" s="1"/>
  <c r="B26" i="61"/>
  <c r="X25" i="61"/>
  <c r="Z25" i="61" s="1"/>
  <c r="V25" i="61"/>
  <c r="L25" i="61"/>
  <c r="N25" i="61" s="1"/>
  <c r="F25" i="61"/>
  <c r="B25" i="61"/>
  <c r="Z24" i="61"/>
  <c r="X24" i="61"/>
  <c r="L24" i="61"/>
  <c r="N24" i="61" s="1"/>
  <c r="B24" i="61"/>
  <c r="Z23" i="61"/>
  <c r="X23" i="61"/>
  <c r="L23" i="61"/>
  <c r="N23" i="61" s="1"/>
  <c r="F23" i="61"/>
  <c r="B23" i="61"/>
  <c r="X22" i="61"/>
  <c r="Z22" i="61" s="1"/>
  <c r="N22" i="61"/>
  <c r="L22" i="61"/>
  <c r="B22" i="61"/>
  <c r="X21" i="61"/>
  <c r="Z21" i="61" s="1"/>
  <c r="R21" i="61"/>
  <c r="L21" i="61"/>
  <c r="N21" i="61" s="1"/>
  <c r="B21" i="61"/>
  <c r="X20" i="61"/>
  <c r="Z20" i="61" s="1"/>
  <c r="V20" i="61"/>
  <c r="N20" i="61"/>
  <c r="L20" i="61"/>
  <c r="B20" i="61"/>
  <c r="T19" i="61"/>
  <c r="R19" i="61"/>
  <c r="P19" i="61"/>
  <c r="H19" i="61"/>
  <c r="N19" i="61" s="1"/>
  <c r="D19" i="61"/>
  <c r="L19" i="61" s="1"/>
  <c r="B19" i="61"/>
  <c r="T18" i="61" a="1"/>
  <c r="T18" i="61"/>
  <c r="P18" i="61" a="1"/>
  <c r="P18" i="61" s="1"/>
  <c r="X18" i="61" s="1"/>
  <c r="H18" i="61" a="1"/>
  <c r="H18" i="61"/>
  <c r="D18" i="61" a="1"/>
  <c r="D18" i="61" s="1"/>
  <c r="L18" i="61" s="1"/>
  <c r="R16" i="61"/>
  <c r="Z14" i="61"/>
  <c r="V14" i="61"/>
  <c r="T14" i="61"/>
  <c r="T16" i="61" s="1"/>
  <c r="P14" i="61"/>
  <c r="X14" i="61" s="1"/>
  <c r="H14" i="61"/>
  <c r="N14" i="61" s="1"/>
  <c r="F14" i="61"/>
  <c r="D14" i="61"/>
  <c r="L14" i="61" s="1"/>
  <c r="T12" i="61"/>
  <c r="V36" i="61" s="1"/>
  <c r="P12" i="61"/>
  <c r="R48" i="61" s="1"/>
  <c r="H12" i="61"/>
  <c r="D12" i="61"/>
  <c r="F41" i="61" s="1"/>
  <c r="D6" i="61"/>
  <c r="D4" i="61"/>
  <c r="V53" i="60"/>
  <c r="R53" i="60"/>
  <c r="F53" i="60"/>
  <c r="J50" i="60"/>
  <c r="Z48" i="60"/>
  <c r="X48" i="60"/>
  <c r="V48" i="60"/>
  <c r="N48" i="60"/>
  <c r="L48" i="60"/>
  <c r="V46" i="60"/>
  <c r="R46" i="60"/>
  <c r="F46" i="60"/>
  <c r="Z44" i="60"/>
  <c r="X44" i="60"/>
  <c r="T44" i="60"/>
  <c r="P44" i="60"/>
  <c r="N44" i="60"/>
  <c r="J44" i="60"/>
  <c r="H44" i="60"/>
  <c r="D44" i="60"/>
  <c r="L44" i="60" s="1"/>
  <c r="X42" i="60"/>
  <c r="Z42" i="60" s="1"/>
  <c r="V42" i="60"/>
  <c r="N42" i="60"/>
  <c r="L42" i="60"/>
  <c r="B42" i="60"/>
  <c r="T41" i="60"/>
  <c r="P41" i="60"/>
  <c r="H41" i="60"/>
  <c r="N41" i="60" s="1"/>
  <c r="D41" i="60"/>
  <c r="L41" i="60" s="1"/>
  <c r="B41" i="60"/>
  <c r="X40" i="60"/>
  <c r="Z40" i="60" s="1"/>
  <c r="N40" i="60"/>
  <c r="L40" i="60"/>
  <c r="J40" i="60"/>
  <c r="F40" i="60"/>
  <c r="B40" i="60"/>
  <c r="X39" i="60"/>
  <c r="Z39" i="60" s="1"/>
  <c r="R39" i="60"/>
  <c r="N39" i="60"/>
  <c r="L39" i="60"/>
  <c r="B39" i="60"/>
  <c r="Z38" i="60"/>
  <c r="X38" i="60"/>
  <c r="V38" i="60"/>
  <c r="N38" i="60"/>
  <c r="L38" i="60"/>
  <c r="B38" i="60"/>
  <c r="T37" i="60"/>
  <c r="P37" i="60"/>
  <c r="H37" i="60"/>
  <c r="N37" i="60" s="1"/>
  <c r="D37" i="60"/>
  <c r="L37" i="60" s="1"/>
  <c r="B37" i="60"/>
  <c r="Z36" i="60"/>
  <c r="X36" i="60"/>
  <c r="N36" i="60"/>
  <c r="L36" i="60"/>
  <c r="J36" i="60"/>
  <c r="F36" i="60"/>
  <c r="B36" i="60"/>
  <c r="X35" i="60"/>
  <c r="Z35" i="60" s="1"/>
  <c r="R35" i="60"/>
  <c r="L35" i="60"/>
  <c r="N35" i="60" s="1"/>
  <c r="B35" i="60"/>
  <c r="V34" i="60"/>
  <c r="T34" i="60"/>
  <c r="R34" i="60"/>
  <c r="P34" i="60"/>
  <c r="X34" i="60" s="1"/>
  <c r="Z34" i="60" s="1"/>
  <c r="H34" i="60"/>
  <c r="F34" i="60"/>
  <c r="D34" i="60"/>
  <c r="B34" i="60"/>
  <c r="Z33" i="60"/>
  <c r="X33" i="60"/>
  <c r="L33" i="60"/>
  <c r="N33" i="60" s="1"/>
  <c r="F33" i="60"/>
  <c r="B33" i="60"/>
  <c r="T32" i="60"/>
  <c r="R32" i="60"/>
  <c r="P32" i="60"/>
  <c r="N32" i="60"/>
  <c r="L32" i="60"/>
  <c r="H32" i="60"/>
  <c r="D32" i="60"/>
  <c r="B32" i="60"/>
  <c r="X31" i="60"/>
  <c r="Z31" i="60" s="1"/>
  <c r="V31" i="60"/>
  <c r="N31" i="60"/>
  <c r="L31" i="60"/>
  <c r="F31" i="60"/>
  <c r="B31" i="60"/>
  <c r="Z30" i="60"/>
  <c r="X30" i="60"/>
  <c r="T30" i="60"/>
  <c r="P30" i="60"/>
  <c r="N30" i="60"/>
  <c r="J30" i="60"/>
  <c r="H30" i="60"/>
  <c r="D30" i="60"/>
  <c r="L30" i="60" s="1"/>
  <c r="B30" i="60"/>
  <c r="X29" i="60"/>
  <c r="Z29" i="60" s="1"/>
  <c r="R29" i="60"/>
  <c r="N29" i="60"/>
  <c r="L29" i="60"/>
  <c r="B29" i="60"/>
  <c r="V28" i="60"/>
  <c r="T28" i="60"/>
  <c r="P28" i="60"/>
  <c r="X28" i="60" s="1"/>
  <c r="Z28" i="60" s="1"/>
  <c r="H28" i="60"/>
  <c r="F28" i="60"/>
  <c r="D28" i="60"/>
  <c r="L28" i="60" s="1"/>
  <c r="B28" i="60"/>
  <c r="Z27" i="60"/>
  <c r="X27" i="60"/>
  <c r="R27" i="60"/>
  <c r="L27" i="60"/>
  <c r="N27" i="60" s="1"/>
  <c r="B27" i="60"/>
  <c r="X26" i="60"/>
  <c r="Z26" i="60" s="1"/>
  <c r="V26" i="60"/>
  <c r="N26" i="60"/>
  <c r="L26" i="60"/>
  <c r="B26" i="60"/>
  <c r="X25" i="60"/>
  <c r="Z25" i="60" s="1"/>
  <c r="R25" i="60"/>
  <c r="N25" i="60"/>
  <c r="L25" i="60"/>
  <c r="B25" i="60"/>
  <c r="Z24" i="60"/>
  <c r="X24" i="60"/>
  <c r="V24" i="60"/>
  <c r="R24" i="60"/>
  <c r="L24" i="60"/>
  <c r="N24" i="60" s="1"/>
  <c r="B24" i="60"/>
  <c r="X23" i="60"/>
  <c r="Z23" i="60" s="1"/>
  <c r="V23" i="60"/>
  <c r="N23" i="60"/>
  <c r="L23" i="60"/>
  <c r="F23" i="60"/>
  <c r="B23" i="60"/>
  <c r="Z22" i="60"/>
  <c r="X22" i="60"/>
  <c r="L22" i="60"/>
  <c r="N22" i="60" s="1"/>
  <c r="B22" i="60"/>
  <c r="Z21" i="60"/>
  <c r="X21" i="60"/>
  <c r="L21" i="60"/>
  <c r="N21" i="60" s="1"/>
  <c r="F21" i="60"/>
  <c r="B21" i="60"/>
  <c r="X20" i="60"/>
  <c r="Z20" i="60" s="1"/>
  <c r="N20" i="60"/>
  <c r="L20" i="60"/>
  <c r="J20" i="60"/>
  <c r="F20" i="60"/>
  <c r="B20" i="60"/>
  <c r="V19" i="60"/>
  <c r="T19" i="60"/>
  <c r="P19" i="60"/>
  <c r="X19" i="60" s="1"/>
  <c r="H19" i="60"/>
  <c r="F19" i="60"/>
  <c r="D19" i="60"/>
  <c r="L19" i="60" s="1"/>
  <c r="N19" i="60" s="1"/>
  <c r="B19" i="60"/>
  <c r="T18" i="60" a="1"/>
  <c r="T18" i="60" s="1"/>
  <c r="P18" i="60" a="1"/>
  <c r="P18" i="60" s="1"/>
  <c r="H18" i="60" a="1"/>
  <c r="H18" i="60" s="1"/>
  <c r="F18" i="60"/>
  <c r="D18" i="60" a="1"/>
  <c r="D18" i="60" s="1"/>
  <c r="Z16" i="60"/>
  <c r="T16" i="60"/>
  <c r="J16" i="60"/>
  <c r="D16" i="60"/>
  <c r="D46" i="60" s="1"/>
  <c r="V14" i="60"/>
  <c r="T14" i="60"/>
  <c r="Z14" i="60" s="1"/>
  <c r="R14" i="60"/>
  <c r="P14" i="60"/>
  <c r="X14" i="60" s="1"/>
  <c r="L14" i="60"/>
  <c r="H14" i="60"/>
  <c r="N14" i="60" s="1"/>
  <c r="F14" i="60"/>
  <c r="D14" i="60"/>
  <c r="Z12" i="60"/>
  <c r="X12" i="60"/>
  <c r="T12" i="60"/>
  <c r="V50" i="60" s="1"/>
  <c r="P12" i="60"/>
  <c r="R41" i="60" s="1"/>
  <c r="H12" i="60"/>
  <c r="J39" i="60" s="1"/>
  <c r="D12" i="60"/>
  <c r="F50" i="60" s="1"/>
  <c r="D6" i="60"/>
  <c r="D4" i="60"/>
  <c r="R63" i="59"/>
  <c r="V60" i="59"/>
  <c r="J60" i="59"/>
  <c r="F60" i="59"/>
  <c r="Z58" i="59"/>
  <c r="X58" i="59"/>
  <c r="N58" i="59"/>
  <c r="L58" i="59"/>
  <c r="J58" i="59"/>
  <c r="R56" i="59"/>
  <c r="Z54" i="59"/>
  <c r="V54" i="59"/>
  <c r="T54" i="59"/>
  <c r="P54" i="59"/>
  <c r="X54" i="59" s="1"/>
  <c r="J54" i="59"/>
  <c r="H54" i="59"/>
  <c r="N54" i="59" s="1"/>
  <c r="F54" i="59"/>
  <c r="D54" i="59"/>
  <c r="L54" i="59" s="1"/>
  <c r="Z52" i="59"/>
  <c r="X52" i="59"/>
  <c r="N52" i="59"/>
  <c r="L52" i="59"/>
  <c r="J52" i="59"/>
  <c r="B52" i="59"/>
  <c r="T51" i="59"/>
  <c r="Z51" i="59" s="1"/>
  <c r="P51" i="59"/>
  <c r="X51" i="59" s="1"/>
  <c r="N51" i="59"/>
  <c r="H51" i="59"/>
  <c r="D51" i="59"/>
  <c r="L51" i="59" s="1"/>
  <c r="B51" i="59"/>
  <c r="Z50" i="59"/>
  <c r="X50" i="59"/>
  <c r="L50" i="59"/>
  <c r="N50" i="59" s="1"/>
  <c r="J50" i="59"/>
  <c r="B50" i="59"/>
  <c r="T49" i="59"/>
  <c r="P49" i="59"/>
  <c r="X49" i="59" s="1"/>
  <c r="Z49" i="59" s="1"/>
  <c r="L49" i="59"/>
  <c r="H49" i="59"/>
  <c r="N49" i="59" s="1"/>
  <c r="D49" i="59"/>
  <c r="B49" i="59"/>
  <c r="Z48" i="59"/>
  <c r="X48" i="59"/>
  <c r="V48" i="59"/>
  <c r="L48" i="59"/>
  <c r="N48" i="59" s="1"/>
  <c r="B48" i="59"/>
  <c r="X47" i="59"/>
  <c r="Z47" i="59" s="1"/>
  <c r="N47" i="59"/>
  <c r="L47" i="59"/>
  <c r="F47" i="59"/>
  <c r="B47" i="59"/>
  <c r="Z46" i="59"/>
  <c r="X46" i="59"/>
  <c r="T46" i="59"/>
  <c r="P46" i="59"/>
  <c r="J46" i="59"/>
  <c r="H46" i="59"/>
  <c r="D46" i="59"/>
  <c r="L46" i="59" s="1"/>
  <c r="N46" i="59" s="1"/>
  <c r="B46" i="59"/>
  <c r="X45" i="59"/>
  <c r="Z45" i="59" s="1"/>
  <c r="R45" i="59"/>
  <c r="N45" i="59"/>
  <c r="L45" i="59"/>
  <c r="B45" i="59"/>
  <c r="V44" i="59"/>
  <c r="T44" i="59"/>
  <c r="P44" i="59"/>
  <c r="X44" i="59" s="1"/>
  <c r="Z44" i="59" s="1"/>
  <c r="J44" i="59"/>
  <c r="H44" i="59"/>
  <c r="F44" i="59"/>
  <c r="D44" i="59"/>
  <c r="L44" i="59" s="1"/>
  <c r="B44" i="59"/>
  <c r="Z43" i="59"/>
  <c r="X43" i="59"/>
  <c r="R43" i="59"/>
  <c r="N43" i="59"/>
  <c r="L43" i="59"/>
  <c r="B43" i="59"/>
  <c r="X42" i="59"/>
  <c r="Z42" i="59" s="1"/>
  <c r="N42" i="59"/>
  <c r="L42" i="59"/>
  <c r="B42" i="59"/>
  <c r="Z41" i="59"/>
  <c r="X41" i="59"/>
  <c r="R41" i="59"/>
  <c r="N41" i="59"/>
  <c r="L41" i="59"/>
  <c r="B41" i="59"/>
  <c r="Z40" i="59"/>
  <c r="X40" i="59"/>
  <c r="V40" i="59"/>
  <c r="L40" i="59"/>
  <c r="N40" i="59" s="1"/>
  <c r="B40" i="59"/>
  <c r="X39" i="59"/>
  <c r="T39" i="59"/>
  <c r="Z39" i="59" s="1"/>
  <c r="P39" i="59"/>
  <c r="H39" i="59"/>
  <c r="D39" i="59"/>
  <c r="B39" i="59"/>
  <c r="X38" i="59"/>
  <c r="Z38" i="59" s="1"/>
  <c r="N38" i="59"/>
  <c r="L38" i="59"/>
  <c r="B38" i="59"/>
  <c r="T37" i="59"/>
  <c r="P37" i="59"/>
  <c r="H37" i="59"/>
  <c r="D37" i="59"/>
  <c r="L37" i="59" s="1"/>
  <c r="B37" i="59"/>
  <c r="X36" i="59"/>
  <c r="Z36" i="59" s="1"/>
  <c r="N36" i="59"/>
  <c r="L36" i="59"/>
  <c r="J36" i="59"/>
  <c r="F36" i="59"/>
  <c r="B36" i="59"/>
  <c r="T35" i="59"/>
  <c r="Z35" i="59" s="1"/>
  <c r="P35" i="59"/>
  <c r="X35" i="59" s="1"/>
  <c r="N35" i="59"/>
  <c r="H35" i="59"/>
  <c r="D35" i="59"/>
  <c r="L35" i="59" s="1"/>
  <c r="B35" i="59"/>
  <c r="Z34" i="59"/>
  <c r="X34" i="59"/>
  <c r="L34" i="59"/>
  <c r="N34" i="59" s="1"/>
  <c r="J34" i="59"/>
  <c r="B34" i="59"/>
  <c r="T33" i="59"/>
  <c r="P33" i="59"/>
  <c r="X33" i="59" s="1"/>
  <c r="Z33" i="59" s="1"/>
  <c r="L33" i="59"/>
  <c r="H33" i="59"/>
  <c r="N33" i="59" s="1"/>
  <c r="D33" i="59"/>
  <c r="B33" i="59"/>
  <c r="Z32" i="59"/>
  <c r="X32" i="59"/>
  <c r="V32" i="59"/>
  <c r="N32" i="59"/>
  <c r="L32" i="59"/>
  <c r="B32" i="59"/>
  <c r="X31" i="59"/>
  <c r="Z31" i="59" s="1"/>
  <c r="N31" i="59"/>
  <c r="L31" i="59"/>
  <c r="F31" i="59"/>
  <c r="B31" i="59"/>
  <c r="Z30" i="59"/>
  <c r="X30" i="59"/>
  <c r="L30" i="59"/>
  <c r="N30" i="59" s="1"/>
  <c r="J30" i="59"/>
  <c r="B30" i="59"/>
  <c r="T29" i="59"/>
  <c r="P29" i="59"/>
  <c r="X29" i="59" s="1"/>
  <c r="Z29" i="59" s="1"/>
  <c r="L29" i="59"/>
  <c r="H29" i="59"/>
  <c r="N29" i="59" s="1"/>
  <c r="D29" i="59"/>
  <c r="B29" i="59"/>
  <c r="Z28" i="59"/>
  <c r="X28" i="59"/>
  <c r="V28" i="59"/>
  <c r="R28" i="59"/>
  <c r="L28" i="59"/>
  <c r="N28" i="59" s="1"/>
  <c r="B28" i="59"/>
  <c r="X27" i="59"/>
  <c r="Z27" i="59" s="1"/>
  <c r="N27" i="59"/>
  <c r="L27" i="59"/>
  <c r="F27" i="59"/>
  <c r="B27" i="59"/>
  <c r="Z26" i="59"/>
  <c r="X26" i="59"/>
  <c r="L26" i="59"/>
  <c r="N26" i="59" s="1"/>
  <c r="J26" i="59"/>
  <c r="B26" i="59"/>
  <c r="Z25" i="59"/>
  <c r="X25" i="59"/>
  <c r="N25" i="59"/>
  <c r="L25" i="59"/>
  <c r="F25" i="59"/>
  <c r="B25" i="59"/>
  <c r="X24" i="59"/>
  <c r="Z24" i="59" s="1"/>
  <c r="N24" i="59"/>
  <c r="L24" i="59"/>
  <c r="J24" i="59"/>
  <c r="F24" i="59"/>
  <c r="B24" i="59"/>
  <c r="Z23" i="59"/>
  <c r="X23" i="59"/>
  <c r="R23" i="59"/>
  <c r="L23" i="59"/>
  <c r="N23" i="59" s="1"/>
  <c r="J23" i="59"/>
  <c r="B23" i="59"/>
  <c r="X22" i="59"/>
  <c r="Z22" i="59" s="1"/>
  <c r="N22" i="59"/>
  <c r="L22" i="59"/>
  <c r="B22" i="59"/>
  <c r="X21" i="59"/>
  <c r="Z21" i="59" s="1"/>
  <c r="R21" i="59"/>
  <c r="N21" i="59"/>
  <c r="L21" i="59"/>
  <c r="B21" i="59"/>
  <c r="Z20" i="59"/>
  <c r="X20" i="59"/>
  <c r="V20" i="59"/>
  <c r="R20" i="59"/>
  <c r="L20" i="59"/>
  <c r="N20" i="59" s="1"/>
  <c r="B20" i="59"/>
  <c r="X19" i="59"/>
  <c r="T19" i="59"/>
  <c r="P19" i="59"/>
  <c r="H19" i="59"/>
  <c r="F19" i="59"/>
  <c r="D19" i="59"/>
  <c r="B19" i="59"/>
  <c r="T18" i="59" a="1"/>
  <c r="T18" i="59" s="1"/>
  <c r="R18" i="59"/>
  <c r="P18" i="59" a="1"/>
  <c r="P18" i="59" s="1"/>
  <c r="J18" i="59"/>
  <c r="H18" i="59" a="1"/>
  <c r="H18" i="59"/>
  <c r="F18" i="59"/>
  <c r="D18" i="59" a="1"/>
  <c r="D18" i="59" s="1"/>
  <c r="R16" i="59"/>
  <c r="P16" i="59"/>
  <c r="F16" i="59"/>
  <c r="D16" i="59"/>
  <c r="Z14" i="59"/>
  <c r="X14" i="59"/>
  <c r="T14" i="59"/>
  <c r="P14" i="59"/>
  <c r="N14" i="59"/>
  <c r="J14" i="59"/>
  <c r="H14" i="59"/>
  <c r="L14" i="59" s="1"/>
  <c r="F14" i="59"/>
  <c r="D14" i="59"/>
  <c r="T12" i="59"/>
  <c r="V47" i="59" s="1"/>
  <c r="P12" i="59"/>
  <c r="R48" i="59" s="1"/>
  <c r="N12" i="59"/>
  <c r="L12" i="59"/>
  <c r="H12" i="59"/>
  <c r="J49" i="59" s="1"/>
  <c r="D12" i="59"/>
  <c r="F58" i="59" s="1"/>
  <c r="D6" i="59"/>
  <c r="D4" i="59"/>
  <c r="V76" i="58"/>
  <c r="F76" i="58"/>
  <c r="Z71" i="58"/>
  <c r="X71" i="58"/>
  <c r="V71" i="58"/>
  <c r="N71" i="58"/>
  <c r="L71" i="58"/>
  <c r="V69" i="58"/>
  <c r="F69" i="58"/>
  <c r="Z67" i="58"/>
  <c r="T67" i="58"/>
  <c r="P67" i="58"/>
  <c r="X67" i="58" s="1"/>
  <c r="N67" i="58"/>
  <c r="L67" i="58"/>
  <c r="H67" i="58"/>
  <c r="D67" i="58"/>
  <c r="Z65" i="58"/>
  <c r="X65" i="58"/>
  <c r="V65" i="58"/>
  <c r="N65" i="58"/>
  <c r="L65" i="58"/>
  <c r="B65" i="58"/>
  <c r="X64" i="58"/>
  <c r="T64" i="58"/>
  <c r="P64" i="58"/>
  <c r="H64" i="58"/>
  <c r="D64" i="58"/>
  <c r="B64" i="58"/>
  <c r="X63" i="58"/>
  <c r="Z63" i="58" s="1"/>
  <c r="V63" i="58"/>
  <c r="N63" i="58"/>
  <c r="L63" i="58"/>
  <c r="B63" i="58"/>
  <c r="T62" i="58"/>
  <c r="P62" i="58"/>
  <c r="H62" i="58"/>
  <c r="N62" i="58" s="1"/>
  <c r="D62" i="58"/>
  <c r="L62" i="58" s="1"/>
  <c r="B62" i="58"/>
  <c r="Z61" i="58"/>
  <c r="X61" i="58"/>
  <c r="N61" i="58"/>
  <c r="L61" i="58"/>
  <c r="J61" i="58"/>
  <c r="B61" i="58"/>
  <c r="T60" i="58"/>
  <c r="Z60" i="58" s="1"/>
  <c r="P60" i="58"/>
  <c r="X60" i="58" s="1"/>
  <c r="H60" i="58"/>
  <c r="D60" i="58"/>
  <c r="L60" i="58" s="1"/>
  <c r="N60" i="58" s="1"/>
  <c r="B60" i="58"/>
  <c r="Z59" i="58"/>
  <c r="X59" i="58"/>
  <c r="N59" i="58"/>
  <c r="L59" i="58"/>
  <c r="J59" i="58"/>
  <c r="B59" i="58"/>
  <c r="Z58" i="58"/>
  <c r="X58" i="58"/>
  <c r="N58" i="58"/>
  <c r="L58" i="58"/>
  <c r="F58" i="58"/>
  <c r="B58" i="58"/>
  <c r="Z57" i="58"/>
  <c r="X57" i="58"/>
  <c r="N57" i="58"/>
  <c r="L57" i="58"/>
  <c r="J57" i="58"/>
  <c r="B57" i="58"/>
  <c r="X56" i="58"/>
  <c r="Z56" i="58" s="1"/>
  <c r="N56" i="58"/>
  <c r="L56" i="58"/>
  <c r="B56" i="58"/>
  <c r="V55" i="58"/>
  <c r="T55" i="58"/>
  <c r="Z55" i="58" s="1"/>
  <c r="P55" i="58"/>
  <c r="X55" i="58" s="1"/>
  <c r="N55" i="58"/>
  <c r="H55" i="58"/>
  <c r="F55" i="58"/>
  <c r="D55" i="58"/>
  <c r="L55" i="58" s="1"/>
  <c r="B55" i="58"/>
  <c r="Z54" i="58"/>
  <c r="X54" i="58"/>
  <c r="N54" i="58"/>
  <c r="L54" i="58"/>
  <c r="F54" i="58"/>
  <c r="B54" i="58"/>
  <c r="Z53" i="58"/>
  <c r="X53" i="58"/>
  <c r="N53" i="58"/>
  <c r="L53" i="58"/>
  <c r="J53" i="58"/>
  <c r="B53" i="58"/>
  <c r="T52" i="58"/>
  <c r="Z52" i="58" s="1"/>
  <c r="P52" i="58"/>
  <c r="X52" i="58" s="1"/>
  <c r="N52" i="58"/>
  <c r="H52" i="58"/>
  <c r="D52" i="58"/>
  <c r="L52" i="58" s="1"/>
  <c r="B52" i="58"/>
  <c r="Z51" i="58"/>
  <c r="X51" i="58"/>
  <c r="N51" i="58"/>
  <c r="L51" i="58"/>
  <c r="J51" i="58"/>
  <c r="B51" i="58"/>
  <c r="Z50" i="58"/>
  <c r="X50" i="58"/>
  <c r="L50" i="58"/>
  <c r="N50" i="58" s="1"/>
  <c r="F50" i="58"/>
  <c r="B50" i="58"/>
  <c r="T49" i="58"/>
  <c r="P49" i="58"/>
  <c r="X49" i="58" s="1"/>
  <c r="Z49" i="58" s="1"/>
  <c r="N49" i="58"/>
  <c r="L49" i="58"/>
  <c r="H49" i="58"/>
  <c r="D49" i="58"/>
  <c r="B49" i="58"/>
  <c r="X48" i="58"/>
  <c r="Z48" i="58" s="1"/>
  <c r="N48" i="58"/>
  <c r="L48" i="58"/>
  <c r="F48" i="58"/>
  <c r="B48" i="58"/>
  <c r="Z47" i="58"/>
  <c r="X47" i="58"/>
  <c r="N47" i="58"/>
  <c r="L47" i="58"/>
  <c r="J47" i="58"/>
  <c r="B47" i="58"/>
  <c r="T46" i="58"/>
  <c r="P46" i="58"/>
  <c r="X46" i="58" s="1"/>
  <c r="Z46" i="58" s="1"/>
  <c r="L46" i="58"/>
  <c r="H46" i="58"/>
  <c r="N46" i="58" s="1"/>
  <c r="D46" i="58"/>
  <c r="B46" i="58"/>
  <c r="Z45" i="58"/>
  <c r="X45" i="58"/>
  <c r="V45" i="58"/>
  <c r="N45" i="58"/>
  <c r="L45" i="58"/>
  <c r="B45" i="58"/>
  <c r="X44" i="58"/>
  <c r="T44" i="58"/>
  <c r="Z44" i="58" s="1"/>
  <c r="P44" i="58"/>
  <c r="H44" i="58"/>
  <c r="D44" i="58"/>
  <c r="B44" i="58"/>
  <c r="X43" i="58"/>
  <c r="Z43" i="58" s="1"/>
  <c r="V43" i="58"/>
  <c r="N43" i="58"/>
  <c r="L43" i="58"/>
  <c r="B43" i="58"/>
  <c r="T42" i="58"/>
  <c r="P42" i="58"/>
  <c r="H42" i="58"/>
  <c r="N42" i="58" s="1"/>
  <c r="D42" i="58"/>
  <c r="L42" i="58" s="1"/>
  <c r="B42" i="58"/>
  <c r="X41" i="58"/>
  <c r="Z41" i="58" s="1"/>
  <c r="N41" i="58"/>
  <c r="L41" i="58"/>
  <c r="J41" i="58"/>
  <c r="B41" i="58"/>
  <c r="T40" i="58"/>
  <c r="Z40" i="58" s="1"/>
  <c r="P40" i="58"/>
  <c r="X40" i="58" s="1"/>
  <c r="H40" i="58"/>
  <c r="D40" i="58"/>
  <c r="L40" i="58" s="1"/>
  <c r="N40" i="58" s="1"/>
  <c r="B40" i="58"/>
  <c r="Z39" i="58"/>
  <c r="X39" i="58"/>
  <c r="N39" i="58"/>
  <c r="L39" i="58"/>
  <c r="J39" i="58"/>
  <c r="B39" i="58"/>
  <c r="T38" i="58"/>
  <c r="P38" i="58"/>
  <c r="X38" i="58" s="1"/>
  <c r="Z38" i="58" s="1"/>
  <c r="L38" i="58"/>
  <c r="H38" i="58"/>
  <c r="N38" i="58" s="1"/>
  <c r="D38" i="58"/>
  <c r="B38" i="58"/>
  <c r="Z37" i="58"/>
  <c r="X37" i="58"/>
  <c r="V37" i="58"/>
  <c r="N37" i="58"/>
  <c r="L37" i="58"/>
  <c r="B37" i="58"/>
  <c r="X36" i="58"/>
  <c r="T36" i="58"/>
  <c r="Z36" i="58" s="1"/>
  <c r="P36" i="58"/>
  <c r="H36" i="58"/>
  <c r="D36" i="58"/>
  <c r="B36" i="58"/>
  <c r="X35" i="58"/>
  <c r="Z35" i="58" s="1"/>
  <c r="V35" i="58"/>
  <c r="N35" i="58"/>
  <c r="L35" i="58"/>
  <c r="B35" i="58"/>
  <c r="X34" i="58"/>
  <c r="Z34" i="58" s="1"/>
  <c r="N34" i="58"/>
  <c r="L34" i="58"/>
  <c r="B34" i="58"/>
  <c r="Z33" i="58"/>
  <c r="X33" i="58"/>
  <c r="V33" i="58"/>
  <c r="N33" i="58"/>
  <c r="L33" i="58"/>
  <c r="B33" i="58"/>
  <c r="Z32" i="58"/>
  <c r="X32" i="58"/>
  <c r="N32" i="58"/>
  <c r="L32" i="58"/>
  <c r="F32" i="58"/>
  <c r="B32" i="58"/>
  <c r="Z31" i="58"/>
  <c r="X31" i="58"/>
  <c r="L31" i="58"/>
  <c r="N31" i="58" s="1"/>
  <c r="J31" i="58"/>
  <c r="B31" i="58"/>
  <c r="T30" i="58"/>
  <c r="P30" i="58"/>
  <c r="X30" i="58" s="1"/>
  <c r="Z30" i="58" s="1"/>
  <c r="L30" i="58"/>
  <c r="H30" i="58"/>
  <c r="D30" i="58"/>
  <c r="B30" i="58"/>
  <c r="Z29" i="58"/>
  <c r="X29" i="58"/>
  <c r="V29" i="58"/>
  <c r="N29" i="58"/>
  <c r="L29" i="58"/>
  <c r="B29" i="58"/>
  <c r="X28" i="58"/>
  <c r="Z28" i="58" s="1"/>
  <c r="L28" i="58"/>
  <c r="N28" i="58" s="1"/>
  <c r="F28" i="58"/>
  <c r="B28" i="58"/>
  <c r="Z27" i="58"/>
  <c r="X27" i="58"/>
  <c r="N27" i="58"/>
  <c r="L27" i="58"/>
  <c r="J27" i="58"/>
  <c r="B27" i="58"/>
  <c r="Z26" i="58"/>
  <c r="X26" i="58"/>
  <c r="L26" i="58"/>
  <c r="N26" i="58" s="1"/>
  <c r="F26" i="58"/>
  <c r="B26" i="58"/>
  <c r="Z25" i="58"/>
  <c r="X25" i="58"/>
  <c r="N25" i="58"/>
  <c r="L25" i="58"/>
  <c r="J25" i="58"/>
  <c r="B25" i="58"/>
  <c r="Z24" i="58"/>
  <c r="X24" i="58"/>
  <c r="L24" i="58"/>
  <c r="N24" i="58" s="1"/>
  <c r="B24" i="58"/>
  <c r="Z23" i="58"/>
  <c r="X23" i="58"/>
  <c r="V23" i="58"/>
  <c r="N23" i="58"/>
  <c r="L23" i="58"/>
  <c r="B23" i="58"/>
  <c r="X22" i="58"/>
  <c r="Z22" i="58" s="1"/>
  <c r="N22" i="58"/>
  <c r="L22" i="58"/>
  <c r="B22" i="58"/>
  <c r="Z21" i="58"/>
  <c r="X21" i="58"/>
  <c r="V21" i="58"/>
  <c r="N21" i="58"/>
  <c r="L21" i="58"/>
  <c r="B21" i="58"/>
  <c r="X20" i="58"/>
  <c r="Z20" i="58" s="1"/>
  <c r="N20" i="58"/>
  <c r="L20" i="58"/>
  <c r="F20" i="58"/>
  <c r="B20" i="58"/>
  <c r="Z19" i="58"/>
  <c r="X19" i="58"/>
  <c r="T19" i="58"/>
  <c r="P19" i="58"/>
  <c r="J19" i="58"/>
  <c r="H19" i="58"/>
  <c r="D19" i="58"/>
  <c r="L19" i="58" s="1"/>
  <c r="N19" i="58" s="1"/>
  <c r="B19" i="58"/>
  <c r="T18" i="58" a="1"/>
  <c r="T18" i="58" s="1"/>
  <c r="P18" i="58" a="1"/>
  <c r="P18" i="58" s="1"/>
  <c r="X18" i="58" s="1"/>
  <c r="H18" i="58" a="1"/>
  <c r="H18" i="58" s="1"/>
  <c r="D18" i="58" a="1"/>
  <c r="D18" i="58" s="1"/>
  <c r="T16" i="58"/>
  <c r="H16" i="58"/>
  <c r="N16" i="58" s="1"/>
  <c r="D16" i="58"/>
  <c r="Z14" i="58"/>
  <c r="V14" i="58"/>
  <c r="T14" i="58"/>
  <c r="P14" i="58"/>
  <c r="X14" i="58" s="1"/>
  <c r="N14" i="58"/>
  <c r="L14" i="58"/>
  <c r="H14" i="58"/>
  <c r="F14" i="58"/>
  <c r="D14" i="58"/>
  <c r="T12" i="58"/>
  <c r="V64" i="58" s="1"/>
  <c r="P12" i="58"/>
  <c r="H12" i="58"/>
  <c r="J56" i="58" s="1"/>
  <c r="D12" i="58"/>
  <c r="F64" i="58" s="1"/>
  <c r="D6" i="58"/>
  <c r="D4" i="58"/>
  <c r="Z64" i="57"/>
  <c r="X64" i="57"/>
  <c r="N64" i="57"/>
  <c r="L64" i="57"/>
  <c r="F64" i="57"/>
  <c r="T60" i="57"/>
  <c r="Z60" i="57" s="1"/>
  <c r="P60" i="57"/>
  <c r="X60" i="57" s="1"/>
  <c r="H60" i="57"/>
  <c r="N60" i="57" s="1"/>
  <c r="D60" i="57"/>
  <c r="L60" i="57" s="1"/>
  <c r="X58" i="57"/>
  <c r="Z58" i="57" s="1"/>
  <c r="N58" i="57"/>
  <c r="L58" i="57"/>
  <c r="F58" i="57"/>
  <c r="B58" i="57"/>
  <c r="T57" i="57"/>
  <c r="P57" i="57"/>
  <c r="X57" i="57" s="1"/>
  <c r="Z57" i="57" s="1"/>
  <c r="J57" i="57"/>
  <c r="H57" i="57"/>
  <c r="D57" i="57"/>
  <c r="L57" i="57" s="1"/>
  <c r="N57" i="57" s="1"/>
  <c r="B57" i="57"/>
  <c r="X56" i="57"/>
  <c r="Z56" i="57" s="1"/>
  <c r="R56" i="57"/>
  <c r="N56" i="57"/>
  <c r="L56" i="57"/>
  <c r="B56" i="57"/>
  <c r="V55" i="57"/>
  <c r="T55" i="57"/>
  <c r="P55" i="57"/>
  <c r="X55" i="57" s="1"/>
  <c r="Z55" i="57" s="1"/>
  <c r="J55" i="57"/>
  <c r="H55" i="57"/>
  <c r="N55" i="57" s="1"/>
  <c r="F55" i="57"/>
  <c r="D55" i="57"/>
  <c r="L55" i="57" s="1"/>
  <c r="B55" i="57"/>
  <c r="Z54" i="57"/>
  <c r="X54" i="57"/>
  <c r="L54" i="57"/>
  <c r="N54" i="57" s="1"/>
  <c r="B54" i="57"/>
  <c r="V53" i="57"/>
  <c r="T53" i="57"/>
  <c r="Z53" i="57" s="1"/>
  <c r="R53" i="57"/>
  <c r="P53" i="57"/>
  <c r="X53" i="57" s="1"/>
  <c r="L53" i="57"/>
  <c r="H53" i="57"/>
  <c r="N53" i="57" s="1"/>
  <c r="F53" i="57"/>
  <c r="D53" i="57"/>
  <c r="B53" i="57"/>
  <c r="X52" i="57"/>
  <c r="Z52" i="57" s="1"/>
  <c r="L52" i="57"/>
  <c r="N52" i="57" s="1"/>
  <c r="F52" i="57"/>
  <c r="B52" i="57"/>
  <c r="X51" i="57"/>
  <c r="Z51" i="57" s="1"/>
  <c r="N51" i="57"/>
  <c r="L51" i="57"/>
  <c r="J51" i="57"/>
  <c r="B51" i="57"/>
  <c r="Z50" i="57"/>
  <c r="X50" i="57"/>
  <c r="N50" i="57"/>
  <c r="L50" i="57"/>
  <c r="B50" i="57"/>
  <c r="V49" i="57"/>
  <c r="T49" i="57"/>
  <c r="R49" i="57"/>
  <c r="P49" i="57"/>
  <c r="X49" i="57" s="1"/>
  <c r="L49" i="57"/>
  <c r="N49" i="57" s="1"/>
  <c r="H49" i="57"/>
  <c r="F49" i="57"/>
  <c r="D49" i="57"/>
  <c r="B49" i="57"/>
  <c r="X48" i="57"/>
  <c r="Z48" i="57" s="1"/>
  <c r="L48" i="57"/>
  <c r="N48" i="57" s="1"/>
  <c r="F48" i="57"/>
  <c r="B48" i="57"/>
  <c r="X47" i="57"/>
  <c r="Z47" i="57" s="1"/>
  <c r="T47" i="57"/>
  <c r="P47" i="57"/>
  <c r="H47" i="57"/>
  <c r="L47" i="57" s="1"/>
  <c r="N47" i="57" s="1"/>
  <c r="D47" i="57"/>
  <c r="B47" i="57"/>
  <c r="X46" i="57"/>
  <c r="Z46" i="57" s="1"/>
  <c r="N46" i="57"/>
  <c r="L46" i="57"/>
  <c r="F46" i="57"/>
  <c r="B46" i="57"/>
  <c r="Z45" i="57"/>
  <c r="X45" i="57"/>
  <c r="L45" i="57"/>
  <c r="N45" i="57" s="1"/>
  <c r="J45" i="57"/>
  <c r="B45" i="57"/>
  <c r="X44" i="57"/>
  <c r="Z44" i="57" s="1"/>
  <c r="L44" i="57"/>
  <c r="N44" i="57" s="1"/>
  <c r="F44" i="57"/>
  <c r="B44" i="57"/>
  <c r="X43" i="57"/>
  <c r="Z43" i="57" s="1"/>
  <c r="T43" i="57"/>
  <c r="P43" i="57"/>
  <c r="N43" i="57"/>
  <c r="H43" i="57"/>
  <c r="L43" i="57" s="1"/>
  <c r="D43" i="57"/>
  <c r="B43" i="57"/>
  <c r="X42" i="57"/>
  <c r="Z42" i="57" s="1"/>
  <c r="N42" i="57"/>
  <c r="L42" i="57"/>
  <c r="F42" i="57"/>
  <c r="B42" i="57"/>
  <c r="T41" i="57"/>
  <c r="X41" i="57" s="1"/>
  <c r="Z41" i="57" s="1"/>
  <c r="P41" i="57"/>
  <c r="J41" i="57"/>
  <c r="H41" i="57"/>
  <c r="D41" i="57"/>
  <c r="L41" i="57" s="1"/>
  <c r="N41" i="57" s="1"/>
  <c r="B41" i="57"/>
  <c r="X40" i="57"/>
  <c r="Z40" i="57" s="1"/>
  <c r="N40" i="57"/>
  <c r="L40" i="57"/>
  <c r="B40" i="57"/>
  <c r="Z39" i="57"/>
  <c r="X39" i="57"/>
  <c r="V39" i="57"/>
  <c r="N39" i="57"/>
  <c r="L39" i="57"/>
  <c r="B39" i="57"/>
  <c r="X38" i="57"/>
  <c r="Z38" i="57" s="1"/>
  <c r="T38" i="57"/>
  <c r="P38" i="57"/>
  <c r="H38" i="57"/>
  <c r="D38" i="57"/>
  <c r="B38" i="57"/>
  <c r="X37" i="57"/>
  <c r="Z37" i="57" s="1"/>
  <c r="V37" i="57"/>
  <c r="N37" i="57"/>
  <c r="L37" i="57"/>
  <c r="B37" i="57"/>
  <c r="T36" i="57"/>
  <c r="P36" i="57"/>
  <c r="H36" i="57"/>
  <c r="N36" i="57" s="1"/>
  <c r="D36" i="57"/>
  <c r="L36" i="57" s="1"/>
  <c r="B36" i="57"/>
  <c r="Z35" i="57"/>
  <c r="X35" i="57"/>
  <c r="N35" i="57"/>
  <c r="L35" i="57"/>
  <c r="J35" i="57"/>
  <c r="B35" i="57"/>
  <c r="T34" i="57"/>
  <c r="Z34" i="57" s="1"/>
  <c r="P34" i="57"/>
  <c r="X34" i="57" s="1"/>
  <c r="N34" i="57"/>
  <c r="H34" i="57"/>
  <c r="D34" i="57"/>
  <c r="L34" i="57" s="1"/>
  <c r="B34" i="57"/>
  <c r="Z33" i="57"/>
  <c r="X33" i="57"/>
  <c r="L33" i="57"/>
  <c r="N33" i="57" s="1"/>
  <c r="J33" i="57"/>
  <c r="B33" i="57"/>
  <c r="T32" i="57"/>
  <c r="P32" i="57"/>
  <c r="X32" i="57" s="1"/>
  <c r="Z32" i="57" s="1"/>
  <c r="L32" i="57"/>
  <c r="H32" i="57"/>
  <c r="D32" i="57"/>
  <c r="B32" i="57"/>
  <c r="Z31" i="57"/>
  <c r="X31" i="57"/>
  <c r="V31" i="57"/>
  <c r="N31" i="57"/>
  <c r="L31" i="57"/>
  <c r="B31" i="57"/>
  <c r="X30" i="57"/>
  <c r="Z30" i="57" s="1"/>
  <c r="N30" i="57"/>
  <c r="L30" i="57"/>
  <c r="F30" i="57"/>
  <c r="B30" i="57"/>
  <c r="Z29" i="57"/>
  <c r="X29" i="57"/>
  <c r="L29" i="57"/>
  <c r="N29" i="57" s="1"/>
  <c r="J29" i="57"/>
  <c r="B29" i="57"/>
  <c r="T28" i="57"/>
  <c r="P28" i="57"/>
  <c r="X28" i="57" s="1"/>
  <c r="Z28" i="57" s="1"/>
  <c r="L28" i="57"/>
  <c r="N28" i="57" s="1"/>
  <c r="H28" i="57"/>
  <c r="D28" i="57"/>
  <c r="B28" i="57"/>
  <c r="Z27" i="57"/>
  <c r="X27" i="57"/>
  <c r="V27" i="57"/>
  <c r="L27" i="57"/>
  <c r="N27" i="57" s="1"/>
  <c r="B27" i="57"/>
  <c r="X26" i="57"/>
  <c r="Z26" i="57" s="1"/>
  <c r="N26" i="57"/>
  <c r="L26" i="57"/>
  <c r="F26" i="57"/>
  <c r="B26" i="57"/>
  <c r="Z25" i="57"/>
  <c r="X25" i="57"/>
  <c r="L25" i="57"/>
  <c r="N25" i="57" s="1"/>
  <c r="J25" i="57"/>
  <c r="B25" i="57"/>
  <c r="X24" i="57"/>
  <c r="Z24" i="57" s="1"/>
  <c r="V24" i="57"/>
  <c r="L24" i="57"/>
  <c r="N24" i="57" s="1"/>
  <c r="F24" i="57"/>
  <c r="B24" i="57"/>
  <c r="X23" i="57"/>
  <c r="Z23" i="57" s="1"/>
  <c r="N23" i="57"/>
  <c r="L23" i="57"/>
  <c r="J23" i="57"/>
  <c r="B23" i="57"/>
  <c r="Z22" i="57"/>
  <c r="X22" i="57"/>
  <c r="L22" i="57"/>
  <c r="N22" i="57" s="1"/>
  <c r="B22" i="57"/>
  <c r="X21" i="57"/>
  <c r="Z21" i="57" s="1"/>
  <c r="V21" i="57"/>
  <c r="N21" i="57"/>
  <c r="L21" i="57"/>
  <c r="F21" i="57"/>
  <c r="B21" i="57"/>
  <c r="X20" i="57"/>
  <c r="Z20" i="57" s="1"/>
  <c r="R20" i="57"/>
  <c r="L20" i="57"/>
  <c r="N20" i="57" s="1"/>
  <c r="B20" i="57"/>
  <c r="V19" i="57"/>
  <c r="T19" i="57"/>
  <c r="P19" i="57"/>
  <c r="X19" i="57" s="1"/>
  <c r="Z19" i="57" s="1"/>
  <c r="J19" i="57"/>
  <c r="H19" i="57"/>
  <c r="F19" i="57"/>
  <c r="D19" i="57"/>
  <c r="L19" i="57" s="1"/>
  <c r="B19" i="57"/>
  <c r="T18" i="57" a="1"/>
  <c r="T18" i="57" s="1"/>
  <c r="R18" i="57"/>
  <c r="P18" i="57" a="1"/>
  <c r="P18" i="57" s="1"/>
  <c r="H18" i="57" a="1"/>
  <c r="H18" i="57" s="1"/>
  <c r="F18" i="57"/>
  <c r="D18" i="57" a="1"/>
  <c r="D18" i="57" s="1"/>
  <c r="T16" i="57"/>
  <c r="P16" i="57"/>
  <c r="D16" i="57"/>
  <c r="Z14" i="57"/>
  <c r="X14" i="57"/>
  <c r="V14" i="57"/>
  <c r="T14" i="57"/>
  <c r="P14" i="57"/>
  <c r="H14" i="57"/>
  <c r="N14" i="57" s="1"/>
  <c r="F14" i="57"/>
  <c r="D14" i="57"/>
  <c r="Z12" i="57"/>
  <c r="T12" i="57"/>
  <c r="V69" i="57" s="1"/>
  <c r="P12" i="57"/>
  <c r="L12" i="57"/>
  <c r="H12" i="57"/>
  <c r="J54" i="57" s="1"/>
  <c r="D12" i="57"/>
  <c r="F69" i="57" s="1"/>
  <c r="D6" i="57"/>
  <c r="D4" i="57"/>
  <c r="Z69" i="56"/>
  <c r="X69" i="56"/>
  <c r="N69" i="56"/>
  <c r="L69" i="56"/>
  <c r="D67" i="56"/>
  <c r="Z65" i="56"/>
  <c r="T65" i="56"/>
  <c r="P65" i="56"/>
  <c r="X65" i="56" s="1"/>
  <c r="L65" i="56"/>
  <c r="H65" i="56"/>
  <c r="N65" i="56" s="1"/>
  <c r="D65" i="56"/>
  <c r="X63" i="56"/>
  <c r="Z63" i="56" s="1"/>
  <c r="N63" i="56"/>
  <c r="L63" i="56"/>
  <c r="B63" i="56"/>
  <c r="V62" i="56"/>
  <c r="T62" i="56"/>
  <c r="P62" i="56"/>
  <c r="X62" i="56" s="1"/>
  <c r="Z62" i="56" s="1"/>
  <c r="H62" i="56"/>
  <c r="N62" i="56" s="1"/>
  <c r="F62" i="56"/>
  <c r="D62" i="56"/>
  <c r="L62" i="56" s="1"/>
  <c r="B62" i="56"/>
  <c r="Z61" i="56"/>
  <c r="X61" i="56"/>
  <c r="R61" i="56"/>
  <c r="L61" i="56"/>
  <c r="N61" i="56" s="1"/>
  <c r="B61" i="56"/>
  <c r="T60" i="56"/>
  <c r="Z60" i="56" s="1"/>
  <c r="P60" i="56"/>
  <c r="X60" i="56" s="1"/>
  <c r="L60" i="56"/>
  <c r="H60" i="56"/>
  <c r="N60" i="56" s="1"/>
  <c r="F60" i="56"/>
  <c r="D60" i="56"/>
  <c r="B60" i="56"/>
  <c r="Z59" i="56"/>
  <c r="X59" i="56"/>
  <c r="L59" i="56"/>
  <c r="N59" i="56" s="1"/>
  <c r="F59" i="56"/>
  <c r="B59" i="56"/>
  <c r="X58" i="56"/>
  <c r="Z58" i="56" s="1"/>
  <c r="N58" i="56"/>
  <c r="L58" i="56"/>
  <c r="B58" i="56"/>
  <c r="T57" i="56"/>
  <c r="P57" i="56"/>
  <c r="X57" i="56" s="1"/>
  <c r="H57" i="56"/>
  <c r="D57" i="56"/>
  <c r="L57" i="56" s="1"/>
  <c r="N57" i="56" s="1"/>
  <c r="B57" i="56"/>
  <c r="Z56" i="56"/>
  <c r="X56" i="56"/>
  <c r="N56" i="56"/>
  <c r="L56" i="56"/>
  <c r="B56" i="56"/>
  <c r="T55" i="56"/>
  <c r="P55" i="56"/>
  <c r="X55" i="56" s="1"/>
  <c r="Z55" i="56" s="1"/>
  <c r="L55" i="56"/>
  <c r="H55" i="56"/>
  <c r="N55" i="56" s="1"/>
  <c r="D55" i="56"/>
  <c r="B55" i="56"/>
  <c r="Z54" i="56"/>
  <c r="X54" i="56"/>
  <c r="V54" i="56"/>
  <c r="N54" i="56"/>
  <c r="L54" i="56"/>
  <c r="B54" i="56"/>
  <c r="X53" i="56"/>
  <c r="Z53" i="56" s="1"/>
  <c r="N53" i="56"/>
  <c r="L53" i="56"/>
  <c r="F53" i="56"/>
  <c r="B53" i="56"/>
  <c r="Z52" i="56"/>
  <c r="X52" i="56"/>
  <c r="L52" i="56"/>
  <c r="N52" i="56" s="1"/>
  <c r="B52" i="56"/>
  <c r="T51" i="56"/>
  <c r="P51" i="56"/>
  <c r="X51" i="56" s="1"/>
  <c r="Z51" i="56" s="1"/>
  <c r="L51" i="56"/>
  <c r="N51" i="56" s="1"/>
  <c r="H51" i="56"/>
  <c r="D51" i="56"/>
  <c r="B51" i="56"/>
  <c r="Z50" i="56"/>
  <c r="X50" i="56"/>
  <c r="V50" i="56"/>
  <c r="N50" i="56"/>
  <c r="L50" i="56"/>
  <c r="B50" i="56"/>
  <c r="X49" i="56"/>
  <c r="Z49" i="56" s="1"/>
  <c r="N49" i="56"/>
  <c r="L49" i="56"/>
  <c r="F49" i="56"/>
  <c r="B49" i="56"/>
  <c r="Z48" i="56"/>
  <c r="X48" i="56"/>
  <c r="N48" i="56"/>
  <c r="L48" i="56"/>
  <c r="B48" i="56"/>
  <c r="T47" i="56"/>
  <c r="P47" i="56"/>
  <c r="X47" i="56" s="1"/>
  <c r="Z47" i="56" s="1"/>
  <c r="N47" i="56"/>
  <c r="L47" i="56"/>
  <c r="H47" i="56"/>
  <c r="D47" i="56"/>
  <c r="B47" i="56"/>
  <c r="Z46" i="56"/>
  <c r="X46" i="56"/>
  <c r="V46" i="56"/>
  <c r="N46" i="56"/>
  <c r="L46" i="56"/>
  <c r="B46" i="56"/>
  <c r="X45" i="56"/>
  <c r="Z45" i="56" s="1"/>
  <c r="T45" i="56"/>
  <c r="P45" i="56"/>
  <c r="H45" i="56"/>
  <c r="D45" i="56"/>
  <c r="B45" i="56"/>
  <c r="X44" i="56"/>
  <c r="Z44" i="56" s="1"/>
  <c r="N44" i="56"/>
  <c r="L44" i="56"/>
  <c r="B44" i="56"/>
  <c r="T43" i="56"/>
  <c r="P43" i="56"/>
  <c r="H43" i="56"/>
  <c r="D43" i="56"/>
  <c r="B43" i="56"/>
  <c r="X42" i="56"/>
  <c r="Z42" i="56" s="1"/>
  <c r="N42" i="56"/>
  <c r="L42" i="56"/>
  <c r="J42" i="56"/>
  <c r="B42" i="56"/>
  <c r="T41" i="56"/>
  <c r="P41" i="56"/>
  <c r="H41" i="56"/>
  <c r="N41" i="56" s="1"/>
  <c r="D41" i="56"/>
  <c r="L41" i="56" s="1"/>
  <c r="B41" i="56"/>
  <c r="Z40" i="56"/>
  <c r="X40" i="56"/>
  <c r="N40" i="56"/>
  <c r="L40" i="56"/>
  <c r="B40" i="56"/>
  <c r="T39" i="56"/>
  <c r="Z39" i="56" s="1"/>
  <c r="P39" i="56"/>
  <c r="X39" i="56" s="1"/>
  <c r="N39" i="56"/>
  <c r="L39" i="56"/>
  <c r="H39" i="56"/>
  <c r="D39" i="56"/>
  <c r="B39" i="56"/>
  <c r="Z38" i="56"/>
  <c r="X38" i="56"/>
  <c r="V38" i="56"/>
  <c r="N38" i="56"/>
  <c r="L38" i="56"/>
  <c r="B38" i="56"/>
  <c r="X37" i="56"/>
  <c r="Z37" i="56" s="1"/>
  <c r="T37" i="56"/>
  <c r="P37" i="56"/>
  <c r="H37" i="56"/>
  <c r="N37" i="56" s="1"/>
  <c r="D37" i="56"/>
  <c r="B37" i="56"/>
  <c r="Z36" i="56"/>
  <c r="X36" i="56"/>
  <c r="N36" i="56"/>
  <c r="L36" i="56"/>
  <c r="B36" i="56"/>
  <c r="T35" i="56"/>
  <c r="P35" i="56"/>
  <c r="H35" i="56"/>
  <c r="D35" i="56"/>
  <c r="B35" i="56"/>
  <c r="Z34" i="56"/>
  <c r="X34" i="56"/>
  <c r="N34" i="56"/>
  <c r="L34" i="56"/>
  <c r="B34" i="56"/>
  <c r="T33" i="56"/>
  <c r="P33" i="56"/>
  <c r="X33" i="56" s="1"/>
  <c r="H33" i="56"/>
  <c r="N33" i="56" s="1"/>
  <c r="D33" i="56"/>
  <c r="L33" i="56" s="1"/>
  <c r="B33" i="56"/>
  <c r="Z32" i="56"/>
  <c r="X32" i="56"/>
  <c r="N32" i="56"/>
  <c r="L32" i="56"/>
  <c r="B32" i="56"/>
  <c r="Z31" i="56"/>
  <c r="X31" i="56"/>
  <c r="N31" i="56"/>
  <c r="L31" i="56"/>
  <c r="F31" i="56"/>
  <c r="B31" i="56"/>
  <c r="Z30" i="56"/>
  <c r="X30" i="56"/>
  <c r="N30" i="56"/>
  <c r="L30" i="56"/>
  <c r="J30" i="56"/>
  <c r="B30" i="56"/>
  <c r="X29" i="56"/>
  <c r="Z29" i="56" s="1"/>
  <c r="L29" i="56"/>
  <c r="N29" i="56" s="1"/>
  <c r="B29" i="56"/>
  <c r="V28" i="56"/>
  <c r="T28" i="56"/>
  <c r="R28" i="56"/>
  <c r="P28" i="56"/>
  <c r="X28" i="56" s="1"/>
  <c r="Z28" i="56" s="1"/>
  <c r="H28" i="56"/>
  <c r="F28" i="56"/>
  <c r="D28" i="56"/>
  <c r="L28" i="56" s="1"/>
  <c r="N28" i="56" s="1"/>
  <c r="B28" i="56"/>
  <c r="X27" i="56"/>
  <c r="Z27" i="56" s="1"/>
  <c r="L27" i="56"/>
  <c r="N27" i="56" s="1"/>
  <c r="F27" i="56"/>
  <c r="B27" i="56"/>
  <c r="Z26" i="56"/>
  <c r="X26" i="56"/>
  <c r="N26" i="56"/>
  <c r="L26" i="56"/>
  <c r="B26" i="56"/>
  <c r="X25" i="56"/>
  <c r="Z25" i="56" s="1"/>
  <c r="L25" i="56"/>
  <c r="N25" i="56" s="1"/>
  <c r="B25" i="56"/>
  <c r="Z24" i="56"/>
  <c r="X24" i="56"/>
  <c r="V24" i="56"/>
  <c r="N24" i="56"/>
  <c r="L24" i="56"/>
  <c r="B24" i="56"/>
  <c r="X23" i="56"/>
  <c r="Z23" i="56" s="1"/>
  <c r="L23" i="56"/>
  <c r="N23" i="56" s="1"/>
  <c r="B23" i="56"/>
  <c r="Z22" i="56"/>
  <c r="X22" i="56"/>
  <c r="V22" i="56"/>
  <c r="N22" i="56"/>
  <c r="L22" i="56"/>
  <c r="B22" i="56"/>
  <c r="X21" i="56"/>
  <c r="Z21" i="56" s="1"/>
  <c r="L21" i="56"/>
  <c r="N21" i="56" s="1"/>
  <c r="F21" i="56"/>
  <c r="B21" i="56"/>
  <c r="Z20" i="56"/>
  <c r="X20" i="56"/>
  <c r="N20" i="56"/>
  <c r="L20" i="56"/>
  <c r="B20" i="56"/>
  <c r="T19" i="56"/>
  <c r="Z19" i="56" s="1"/>
  <c r="P19" i="56"/>
  <c r="X19" i="56" s="1"/>
  <c r="L19" i="56"/>
  <c r="H19" i="56"/>
  <c r="D19" i="56"/>
  <c r="B19" i="56"/>
  <c r="T18" i="56" a="1"/>
  <c r="T18" i="56" s="1"/>
  <c r="P18" i="56" a="1"/>
  <c r="P18" i="56" s="1"/>
  <c r="H18" i="56" a="1"/>
  <c r="H18" i="56" s="1"/>
  <c r="D18" i="56" a="1"/>
  <c r="D18" i="56" s="1"/>
  <c r="F16" i="56"/>
  <c r="D16" i="56"/>
  <c r="Z14" i="56"/>
  <c r="T14" i="56"/>
  <c r="P14" i="56"/>
  <c r="X14" i="56" s="1"/>
  <c r="N14" i="56"/>
  <c r="L14" i="56"/>
  <c r="H14" i="56"/>
  <c r="F14" i="56"/>
  <c r="D14" i="56"/>
  <c r="Z12" i="56"/>
  <c r="T12" i="56"/>
  <c r="P12" i="56"/>
  <c r="R63" i="56" s="1"/>
  <c r="H12" i="56"/>
  <c r="J62" i="56" s="1"/>
  <c r="D12" i="56"/>
  <c r="F58" i="56" s="1"/>
  <c r="D6" i="56"/>
  <c r="D4" i="56"/>
  <c r="Z32" i="55"/>
  <c r="X32" i="55"/>
  <c r="N32" i="55"/>
  <c r="L32" i="55"/>
  <c r="R30" i="55"/>
  <c r="J30" i="55"/>
  <c r="Z28" i="55"/>
  <c r="T28" i="55"/>
  <c r="P28" i="55"/>
  <c r="X28" i="55" s="1"/>
  <c r="H28" i="55"/>
  <c r="N28" i="55" s="1"/>
  <c r="D28" i="55"/>
  <c r="L28" i="55" s="1"/>
  <c r="X26" i="55"/>
  <c r="Z26" i="55" s="1"/>
  <c r="N26" i="55"/>
  <c r="L26" i="55"/>
  <c r="B26" i="55"/>
  <c r="T25" i="55"/>
  <c r="P25" i="55"/>
  <c r="N25" i="55"/>
  <c r="H25" i="55"/>
  <c r="D25" i="55"/>
  <c r="L25" i="55" s="1"/>
  <c r="B25" i="55"/>
  <c r="Z24" i="55"/>
  <c r="X24" i="55"/>
  <c r="N24" i="55"/>
  <c r="L24" i="55"/>
  <c r="J24" i="55"/>
  <c r="B24" i="55"/>
  <c r="X23" i="55"/>
  <c r="Z23" i="55" s="1"/>
  <c r="T23" i="55"/>
  <c r="P23" i="55"/>
  <c r="H23" i="55"/>
  <c r="D23" i="55"/>
  <c r="B23" i="55"/>
  <c r="Z22" i="55"/>
  <c r="X22" i="55"/>
  <c r="R22" i="55"/>
  <c r="N22" i="55"/>
  <c r="L22" i="55"/>
  <c r="J22" i="55"/>
  <c r="B22" i="55"/>
  <c r="T21" i="55"/>
  <c r="R21" i="55"/>
  <c r="P21" i="55"/>
  <c r="X21" i="55" s="1"/>
  <c r="H21" i="55"/>
  <c r="N21" i="55" s="1"/>
  <c r="D21" i="55"/>
  <c r="L21" i="55" s="1"/>
  <c r="B21" i="55"/>
  <c r="Z20" i="55"/>
  <c r="X20" i="55"/>
  <c r="N20" i="55"/>
  <c r="L20" i="55"/>
  <c r="J20" i="55"/>
  <c r="B20" i="55"/>
  <c r="T19" i="55"/>
  <c r="Z19" i="55" s="1"/>
  <c r="R19" i="55"/>
  <c r="P19" i="55"/>
  <c r="X19" i="55" s="1"/>
  <c r="L19" i="55"/>
  <c r="N19" i="55" s="1"/>
  <c r="H19" i="55"/>
  <c r="D19" i="55"/>
  <c r="B19" i="55"/>
  <c r="V18" i="55"/>
  <c r="T18" i="55" a="1"/>
  <c r="T18" i="55"/>
  <c r="P18" i="55" a="1"/>
  <c r="P18" i="55" s="1"/>
  <c r="J18" i="55"/>
  <c r="H18" i="55" a="1"/>
  <c r="H18" i="55"/>
  <c r="D18" i="55" a="1"/>
  <c r="D18" i="55" s="1"/>
  <c r="V16" i="55"/>
  <c r="R16" i="55"/>
  <c r="J16" i="55"/>
  <c r="F16" i="55"/>
  <c r="Z14" i="55"/>
  <c r="T14" i="55"/>
  <c r="R14" i="55"/>
  <c r="P14" i="55"/>
  <c r="X14" i="55" s="1"/>
  <c r="N14" i="55"/>
  <c r="H14" i="55"/>
  <c r="F14" i="55"/>
  <c r="D14" i="55"/>
  <c r="L14" i="55" s="1"/>
  <c r="T12" i="55"/>
  <c r="P12" i="55"/>
  <c r="R37" i="55" s="1"/>
  <c r="H12" i="55"/>
  <c r="J32" i="55" s="1"/>
  <c r="D12" i="55"/>
  <c r="F28" i="55" s="1"/>
  <c r="D6" i="55"/>
  <c r="D4" i="55"/>
  <c r="J31" i="54"/>
  <c r="F31" i="54"/>
  <c r="T29" i="54"/>
  <c r="X29" i="54" s="1"/>
  <c r="Z29" i="54" s="1"/>
  <c r="R29" i="54"/>
  <c r="P29" i="54"/>
  <c r="H29" i="54"/>
  <c r="F29" i="54"/>
  <c r="D29" i="54"/>
  <c r="L29" i="54" s="1"/>
  <c r="N29" i="54" s="1"/>
  <c r="Z28" i="54"/>
  <c r="T28" i="54"/>
  <c r="P28" i="54"/>
  <c r="X28" i="54" s="1"/>
  <c r="N28" i="54"/>
  <c r="L28" i="54"/>
  <c r="J28" i="54"/>
  <c r="H28" i="54"/>
  <c r="F28" i="54"/>
  <c r="D28" i="54"/>
  <c r="R26" i="54"/>
  <c r="F26" i="54"/>
  <c r="Z24" i="54"/>
  <c r="X24" i="54"/>
  <c r="N24" i="54"/>
  <c r="L24" i="54"/>
  <c r="J24" i="54"/>
  <c r="F24" i="54"/>
  <c r="J22" i="54"/>
  <c r="F22" i="54"/>
  <c r="Z20" i="54"/>
  <c r="T20" i="54"/>
  <c r="X20" i="54" s="1"/>
  <c r="R20" i="54"/>
  <c r="P20" i="54"/>
  <c r="N20" i="54"/>
  <c r="H20" i="54"/>
  <c r="F20" i="54"/>
  <c r="D20" i="54"/>
  <c r="L20" i="54" s="1"/>
  <c r="Z18" i="54"/>
  <c r="T18" i="54"/>
  <c r="P18" i="54"/>
  <c r="X18" i="54" s="1"/>
  <c r="N18" i="54"/>
  <c r="L18" i="54"/>
  <c r="J18" i="54"/>
  <c r="H18" i="54"/>
  <c r="F18" i="54"/>
  <c r="D18" i="54"/>
  <c r="R16" i="54"/>
  <c r="J16" i="54"/>
  <c r="F16" i="54"/>
  <c r="D16" i="54"/>
  <c r="D22" i="54" s="1"/>
  <c r="Z14" i="54"/>
  <c r="T14" i="54"/>
  <c r="P14" i="54"/>
  <c r="X14" i="54" s="1"/>
  <c r="N14" i="54"/>
  <c r="L14" i="54"/>
  <c r="J14" i="54"/>
  <c r="H14" i="54"/>
  <c r="F14" i="54"/>
  <c r="D14" i="54"/>
  <c r="T12" i="54"/>
  <c r="V31" i="54" s="1"/>
  <c r="P12" i="54"/>
  <c r="P16" i="54" s="1"/>
  <c r="N12" i="54"/>
  <c r="H12" i="54"/>
  <c r="J29" i="54" s="1"/>
  <c r="D12" i="54"/>
  <c r="L12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D25" i="53"/>
  <c r="B25" i="53"/>
  <c r="T24" i="53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31" i="53" s="1"/>
  <c r="P12" i="53"/>
  <c r="R31" i="53" s="1"/>
  <c r="H12" i="53"/>
  <c r="J22" i="53" s="1"/>
  <c r="D12" i="53"/>
  <c r="F18" i="53" s="1"/>
  <c r="D5" i="53"/>
  <c r="D4" i="53"/>
  <c r="B39" i="52"/>
  <c r="B38" i="52"/>
  <c r="T34" i="52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D21" i="52"/>
  <c r="B21" i="52"/>
  <c r="T20" i="52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4" i="52" s="1"/>
  <c r="P12" i="52"/>
  <c r="R34" i="52" s="1"/>
  <c r="H12" i="52"/>
  <c r="J36" i="52" s="1"/>
  <c r="D12" i="52"/>
  <c r="F21" i="52" s="1"/>
  <c r="D5" i="52"/>
  <c r="D4" i="52"/>
  <c r="Z102" i="51"/>
  <c r="X102" i="51"/>
  <c r="N102" i="51"/>
  <c r="L102" i="51"/>
  <c r="T98" i="51"/>
  <c r="X98" i="51" s="1"/>
  <c r="Z98" i="51" s="1"/>
  <c r="P98" i="51"/>
  <c r="H98" i="51"/>
  <c r="D98" i="51"/>
  <c r="L98" i="51" s="1"/>
  <c r="B98" i="51"/>
  <c r="T97" i="51"/>
  <c r="Z97" i="51" s="1"/>
  <c r="P97" i="51"/>
  <c r="X97" i="51" s="1"/>
  <c r="N97" i="51"/>
  <c r="L97" i="51"/>
  <c r="H97" i="51"/>
  <c r="D97" i="51"/>
  <c r="B97" i="51"/>
  <c r="Z96" i="51"/>
  <c r="X96" i="51"/>
  <c r="T96" i="51"/>
  <c r="P96" i="51"/>
  <c r="H96" i="51"/>
  <c r="L96" i="51" s="1"/>
  <c r="N96" i="51" s="1"/>
  <c r="D96" i="51"/>
  <c r="B96" i="51"/>
  <c r="T95" i="51"/>
  <c r="P95" i="51"/>
  <c r="X95" i="51" s="1"/>
  <c r="H95" i="51"/>
  <c r="N95" i="51" s="1"/>
  <c r="D95" i="51"/>
  <c r="L95" i="51" s="1"/>
  <c r="X93" i="51"/>
  <c r="Z93" i="51" s="1"/>
  <c r="N93" i="51"/>
  <c r="L93" i="51"/>
  <c r="B93" i="51"/>
  <c r="T92" i="51"/>
  <c r="P92" i="51"/>
  <c r="X92" i="51" s="1"/>
  <c r="Z92" i="51" s="1"/>
  <c r="N92" i="51"/>
  <c r="L92" i="51"/>
  <c r="H92" i="51"/>
  <c r="D92" i="51"/>
  <c r="B92" i="51"/>
  <c r="X91" i="51"/>
  <c r="Z91" i="51" s="1"/>
  <c r="L91" i="51"/>
  <c r="N91" i="51" s="1"/>
  <c r="B91" i="51"/>
  <c r="Z90" i="51"/>
  <c r="X90" i="51"/>
  <c r="T90" i="51"/>
  <c r="P90" i="51"/>
  <c r="H90" i="51"/>
  <c r="L90" i="51" s="1"/>
  <c r="N90" i="51" s="1"/>
  <c r="D90" i="51"/>
  <c r="B90" i="51"/>
  <c r="Z89" i="51"/>
  <c r="X89" i="51"/>
  <c r="N89" i="51"/>
  <c r="L89" i="51"/>
  <c r="B89" i="51"/>
  <c r="Z88" i="51"/>
  <c r="X88" i="51"/>
  <c r="N88" i="51"/>
  <c r="L88" i="51"/>
  <c r="B88" i="51"/>
  <c r="X87" i="51"/>
  <c r="Z87" i="51" s="1"/>
  <c r="N87" i="51"/>
  <c r="L87" i="51"/>
  <c r="B87" i="51"/>
  <c r="Z86" i="51"/>
  <c r="X86" i="51"/>
  <c r="N86" i="51"/>
  <c r="L86" i="51"/>
  <c r="B86" i="51"/>
  <c r="X85" i="51"/>
  <c r="Z85" i="51" s="1"/>
  <c r="T85" i="51"/>
  <c r="P85" i="51"/>
  <c r="H85" i="51"/>
  <c r="D85" i="51"/>
  <c r="B85" i="51"/>
  <c r="Z84" i="51"/>
  <c r="X84" i="51"/>
  <c r="N84" i="51"/>
  <c r="L84" i="51"/>
  <c r="B84" i="51"/>
  <c r="T83" i="51"/>
  <c r="P83" i="51"/>
  <c r="H83" i="51"/>
  <c r="D83" i="51"/>
  <c r="L83" i="51" s="1"/>
  <c r="B83" i="51"/>
  <c r="Z82" i="51"/>
  <c r="X82" i="51"/>
  <c r="N82" i="51"/>
  <c r="L82" i="51"/>
  <c r="B82" i="51"/>
  <c r="T81" i="51"/>
  <c r="P81" i="51"/>
  <c r="X81" i="51" s="1"/>
  <c r="H81" i="51"/>
  <c r="D81" i="51"/>
  <c r="L81" i="51" s="1"/>
  <c r="B81" i="51"/>
  <c r="Z80" i="51"/>
  <c r="X80" i="51"/>
  <c r="N80" i="51"/>
  <c r="L80" i="51"/>
  <c r="B80" i="51"/>
  <c r="T79" i="51"/>
  <c r="P79" i="51"/>
  <c r="X79" i="51" s="1"/>
  <c r="N79" i="51"/>
  <c r="L79" i="51"/>
  <c r="H79" i="51"/>
  <c r="D79" i="51"/>
  <c r="B79" i="51"/>
  <c r="Z78" i="51"/>
  <c r="X78" i="51"/>
  <c r="N78" i="51"/>
  <c r="L78" i="51"/>
  <c r="B78" i="51"/>
  <c r="X77" i="51"/>
  <c r="Z77" i="51" s="1"/>
  <c r="L77" i="51"/>
  <c r="N77" i="51" s="1"/>
  <c r="B77" i="51"/>
  <c r="Z76" i="51"/>
  <c r="T76" i="51"/>
  <c r="P76" i="51"/>
  <c r="X76" i="51" s="1"/>
  <c r="N76" i="51"/>
  <c r="L76" i="51"/>
  <c r="H76" i="51"/>
  <c r="D76" i="51"/>
  <c r="B76" i="51"/>
  <c r="Z75" i="51"/>
  <c r="X75" i="51"/>
  <c r="N75" i="51"/>
  <c r="L75" i="51"/>
  <c r="B75" i="51"/>
  <c r="Z74" i="51"/>
  <c r="X74" i="51"/>
  <c r="T74" i="51"/>
  <c r="P74" i="51"/>
  <c r="N74" i="51"/>
  <c r="H74" i="51"/>
  <c r="L74" i="51" s="1"/>
  <c r="D74" i="51"/>
  <c r="B74" i="51"/>
  <c r="X73" i="51"/>
  <c r="Z73" i="51" s="1"/>
  <c r="L73" i="51"/>
  <c r="N73" i="51" s="1"/>
  <c r="B73" i="51"/>
  <c r="T72" i="51"/>
  <c r="X72" i="51" s="1"/>
  <c r="Z72" i="51" s="1"/>
  <c r="P72" i="51"/>
  <c r="H72" i="51"/>
  <c r="N72" i="51" s="1"/>
  <c r="D72" i="51"/>
  <c r="L72" i="51" s="1"/>
  <c r="B72" i="51"/>
  <c r="X71" i="51"/>
  <c r="Z71" i="51" s="1"/>
  <c r="N71" i="51"/>
  <c r="L71" i="51"/>
  <c r="B71" i="51"/>
  <c r="T70" i="51"/>
  <c r="Z70" i="51" s="1"/>
  <c r="P70" i="51"/>
  <c r="X70" i="51" s="1"/>
  <c r="N70" i="51"/>
  <c r="H70" i="51"/>
  <c r="D70" i="51"/>
  <c r="L70" i="51" s="1"/>
  <c r="B70" i="51"/>
  <c r="Z69" i="51"/>
  <c r="X69" i="51"/>
  <c r="N69" i="51"/>
  <c r="L69" i="51"/>
  <c r="B69" i="51"/>
  <c r="Z68" i="51"/>
  <c r="X68" i="51"/>
  <c r="N68" i="51"/>
  <c r="L68" i="51"/>
  <c r="B68" i="51"/>
  <c r="Z67" i="51"/>
  <c r="X67" i="51"/>
  <c r="N67" i="51"/>
  <c r="L67" i="51"/>
  <c r="B67" i="51"/>
  <c r="Z66" i="51"/>
  <c r="X66" i="51"/>
  <c r="N66" i="51"/>
  <c r="L66" i="51"/>
  <c r="J66" i="51"/>
  <c r="B66" i="51"/>
  <c r="X65" i="51"/>
  <c r="Z65" i="51" s="1"/>
  <c r="L65" i="51"/>
  <c r="N65" i="51" s="1"/>
  <c r="B65" i="51"/>
  <c r="T64" i="51"/>
  <c r="X64" i="51" s="1"/>
  <c r="Z64" i="51" s="1"/>
  <c r="P64" i="51"/>
  <c r="H64" i="51"/>
  <c r="N64" i="51" s="1"/>
  <c r="D64" i="51"/>
  <c r="L64" i="51" s="1"/>
  <c r="B64" i="51"/>
  <c r="X63" i="51"/>
  <c r="Z63" i="51" s="1"/>
  <c r="L63" i="51"/>
  <c r="N63" i="51" s="1"/>
  <c r="B63" i="51"/>
  <c r="Z62" i="51"/>
  <c r="X62" i="51"/>
  <c r="N62" i="51"/>
  <c r="L62" i="51"/>
  <c r="B62" i="51"/>
  <c r="X61" i="51"/>
  <c r="Z61" i="51" s="1"/>
  <c r="L61" i="51"/>
  <c r="N61" i="51" s="1"/>
  <c r="B61" i="51"/>
  <c r="Z60" i="51"/>
  <c r="X60" i="51"/>
  <c r="N60" i="51"/>
  <c r="L60" i="51"/>
  <c r="B60" i="51"/>
  <c r="X59" i="51"/>
  <c r="Z59" i="51" s="1"/>
  <c r="L59" i="51"/>
  <c r="N59" i="51" s="1"/>
  <c r="B59" i="51"/>
  <c r="Z58" i="51"/>
  <c r="X58" i="51"/>
  <c r="N58" i="51"/>
  <c r="L58" i="51"/>
  <c r="B58" i="51"/>
  <c r="X57" i="51"/>
  <c r="Z57" i="51" s="1"/>
  <c r="L57" i="51"/>
  <c r="N57" i="51" s="1"/>
  <c r="B57" i="51"/>
  <c r="Z56" i="51"/>
  <c r="X56" i="51"/>
  <c r="N56" i="51"/>
  <c r="L56" i="51"/>
  <c r="B56" i="51"/>
  <c r="X55" i="51"/>
  <c r="Z55" i="51" s="1"/>
  <c r="L55" i="51"/>
  <c r="N55" i="51" s="1"/>
  <c r="B55" i="51"/>
  <c r="T54" i="51"/>
  <c r="P54" i="51"/>
  <c r="X54" i="51" s="1"/>
  <c r="N54" i="51"/>
  <c r="H54" i="51"/>
  <c r="D54" i="51"/>
  <c r="L54" i="51" s="1"/>
  <c r="B54" i="51"/>
  <c r="T53" i="51" a="1"/>
  <c r="T53" i="51" s="1"/>
  <c r="P53" i="51" a="1"/>
  <c r="P53" i="51"/>
  <c r="H53" i="51" a="1"/>
  <c r="H53" i="51" s="1"/>
  <c r="D53" i="51" a="1"/>
  <c r="D53" i="51" s="1"/>
  <c r="H51" i="51"/>
  <c r="X49" i="51"/>
  <c r="Z49" i="51" s="1"/>
  <c r="N49" i="51"/>
  <c r="L49" i="51"/>
  <c r="B49" i="51"/>
  <c r="X48" i="51"/>
  <c r="Z48" i="51" s="1"/>
  <c r="N48" i="51"/>
  <c r="L48" i="51"/>
  <c r="B48" i="51"/>
  <c r="X47" i="51"/>
  <c r="Z47" i="51" s="1"/>
  <c r="N47" i="51"/>
  <c r="L47" i="51"/>
  <c r="B47" i="51"/>
  <c r="Z46" i="51"/>
  <c r="X46" i="51"/>
  <c r="N46" i="51"/>
  <c r="L46" i="51"/>
  <c r="B46" i="51"/>
  <c r="X45" i="51"/>
  <c r="Z45" i="51" s="1"/>
  <c r="N45" i="51"/>
  <c r="L45" i="51"/>
  <c r="B45" i="51"/>
  <c r="Z44" i="51"/>
  <c r="X44" i="51"/>
  <c r="N44" i="51"/>
  <c r="L44" i="51"/>
  <c r="B44" i="51"/>
  <c r="X43" i="51"/>
  <c r="Z43" i="51" s="1"/>
  <c r="L43" i="51"/>
  <c r="N43" i="51" s="1"/>
  <c r="B43" i="51"/>
  <c r="Z42" i="51"/>
  <c r="X42" i="51"/>
  <c r="N42" i="51"/>
  <c r="L42" i="51"/>
  <c r="B42" i="51"/>
  <c r="X41" i="51"/>
  <c r="Z41" i="51" s="1"/>
  <c r="L41" i="51"/>
  <c r="N41" i="51" s="1"/>
  <c r="B41" i="51"/>
  <c r="X40" i="51"/>
  <c r="Z40" i="51" s="1"/>
  <c r="N40" i="51"/>
  <c r="L40" i="51"/>
  <c r="B40" i="51"/>
  <c r="X39" i="51"/>
  <c r="Z39" i="51" s="1"/>
  <c r="L39" i="51"/>
  <c r="N39" i="51" s="1"/>
  <c r="B39" i="51"/>
  <c r="Z38" i="51"/>
  <c r="X38" i="51"/>
  <c r="N38" i="51"/>
  <c r="L38" i="51"/>
  <c r="B38" i="51"/>
  <c r="X37" i="51"/>
  <c r="Z37" i="51" s="1"/>
  <c r="L37" i="51"/>
  <c r="N37" i="51" s="1"/>
  <c r="B37" i="51"/>
  <c r="Z36" i="51"/>
  <c r="X36" i="51"/>
  <c r="N36" i="51"/>
  <c r="L36" i="51"/>
  <c r="B36" i="51"/>
  <c r="T35" i="51"/>
  <c r="Z35" i="51" s="1"/>
  <c r="P35" i="51"/>
  <c r="X35" i="51" s="1"/>
  <c r="L35" i="51"/>
  <c r="H35" i="51"/>
  <c r="N35" i="51" s="1"/>
  <c r="D35" i="51"/>
  <c r="Z33" i="51"/>
  <c r="T33" i="51"/>
  <c r="P33" i="51"/>
  <c r="X33" i="51" s="1"/>
  <c r="N33" i="51"/>
  <c r="H33" i="51"/>
  <c r="D33" i="51"/>
  <c r="L33" i="51" s="1"/>
  <c r="B33" i="51"/>
  <c r="T32" i="51"/>
  <c r="P32" i="51"/>
  <c r="H32" i="51"/>
  <c r="N32" i="51" s="1"/>
  <c r="D32" i="51"/>
  <c r="L32" i="51" s="1"/>
  <c r="B32" i="51"/>
  <c r="Z31" i="51"/>
  <c r="X31" i="51"/>
  <c r="T31" i="51"/>
  <c r="P31" i="51"/>
  <c r="H31" i="51"/>
  <c r="N31" i="51" s="1"/>
  <c r="D31" i="51"/>
  <c r="L31" i="51" s="1"/>
  <c r="B31" i="51"/>
  <c r="Z30" i="51"/>
  <c r="T30" i="51"/>
  <c r="P30" i="51"/>
  <c r="X30" i="51" s="1"/>
  <c r="H30" i="51"/>
  <c r="D30" i="51"/>
  <c r="B30" i="51"/>
  <c r="T29" i="51"/>
  <c r="Z29" i="51" s="1"/>
  <c r="P29" i="51"/>
  <c r="X29" i="51" s="1"/>
  <c r="H29" i="51"/>
  <c r="D29" i="51"/>
  <c r="L29" i="51" s="1"/>
  <c r="N29" i="51" s="1"/>
  <c r="B29" i="51"/>
  <c r="T28" i="51"/>
  <c r="P28" i="51"/>
  <c r="X28" i="51" s="1"/>
  <c r="H28" i="51"/>
  <c r="D28" i="51"/>
  <c r="B28" i="51"/>
  <c r="T27" i="51"/>
  <c r="Z27" i="51" s="1"/>
  <c r="P27" i="51"/>
  <c r="X27" i="51" s="1"/>
  <c r="L27" i="51"/>
  <c r="N27" i="51" s="1"/>
  <c r="H27" i="51"/>
  <c r="D27" i="51"/>
  <c r="B27" i="51"/>
  <c r="T26" i="51"/>
  <c r="P26" i="51"/>
  <c r="N26" i="51"/>
  <c r="H26" i="51"/>
  <c r="D26" i="51"/>
  <c r="L26" i="51" s="1"/>
  <c r="B26" i="51"/>
  <c r="Z25" i="51"/>
  <c r="T25" i="51"/>
  <c r="P25" i="51"/>
  <c r="X25" i="51" s="1"/>
  <c r="H25" i="51"/>
  <c r="N25" i="51" s="1"/>
  <c r="D25" i="51"/>
  <c r="L25" i="51" s="1"/>
  <c r="B25" i="51"/>
  <c r="T24" i="51"/>
  <c r="P24" i="51"/>
  <c r="H24" i="51"/>
  <c r="N24" i="51" s="1"/>
  <c r="D24" i="51"/>
  <c r="L24" i="51" s="1"/>
  <c r="B24" i="51"/>
  <c r="X23" i="51"/>
  <c r="Z23" i="51" s="1"/>
  <c r="T23" i="51"/>
  <c r="P23" i="51"/>
  <c r="H23" i="51"/>
  <c r="D23" i="51"/>
  <c r="L23" i="51" s="1"/>
  <c r="B23" i="51"/>
  <c r="Z22" i="51"/>
  <c r="T22" i="51"/>
  <c r="P22" i="51"/>
  <c r="X22" i="51" s="1"/>
  <c r="H22" i="51"/>
  <c r="D22" i="51"/>
  <c r="B22" i="51"/>
  <c r="T21" i="51"/>
  <c r="P21" i="51"/>
  <c r="X21" i="51" s="1"/>
  <c r="H21" i="51"/>
  <c r="D21" i="51"/>
  <c r="L21" i="51" s="1"/>
  <c r="N21" i="51" s="1"/>
  <c r="B21" i="51"/>
  <c r="T20" i="51"/>
  <c r="Z20" i="51" s="1"/>
  <c r="P20" i="51"/>
  <c r="X20" i="51" s="1"/>
  <c r="H20" i="51"/>
  <c r="D20" i="51"/>
  <c r="B20" i="51"/>
  <c r="T19" i="51"/>
  <c r="Z19" i="51" s="1"/>
  <c r="P19" i="51"/>
  <c r="X19" i="51" s="1"/>
  <c r="N19" i="51"/>
  <c r="L19" i="51"/>
  <c r="H19" i="51"/>
  <c r="D19" i="51"/>
  <c r="B19" i="51"/>
  <c r="T18" i="51"/>
  <c r="P18" i="51"/>
  <c r="N18" i="51"/>
  <c r="H18" i="51"/>
  <c r="D18" i="51"/>
  <c r="L18" i="51" s="1"/>
  <c r="B18" i="51"/>
  <c r="T17" i="51"/>
  <c r="P17" i="51"/>
  <c r="H17" i="51"/>
  <c r="N17" i="51" s="1"/>
  <c r="D17" i="51"/>
  <c r="L17" i="51" s="1"/>
  <c r="B17" i="51"/>
  <c r="T16" i="51"/>
  <c r="P16" i="51"/>
  <c r="H16" i="51"/>
  <c r="D16" i="51"/>
  <c r="L16" i="51" s="1"/>
  <c r="B16" i="51"/>
  <c r="X15" i="51"/>
  <c r="Z15" i="51" s="1"/>
  <c r="T15" i="51"/>
  <c r="P15" i="51"/>
  <c r="H15" i="51"/>
  <c r="D15" i="51"/>
  <c r="L15" i="51" s="1"/>
  <c r="B15" i="51"/>
  <c r="T14" i="51"/>
  <c r="P14" i="51"/>
  <c r="X14" i="51" s="1"/>
  <c r="Z14" i="51" s="1"/>
  <c r="H14" i="51"/>
  <c r="D14" i="51"/>
  <c r="B14" i="51"/>
  <c r="T13" i="51"/>
  <c r="Z13" i="51" s="1"/>
  <c r="P13" i="51"/>
  <c r="X13" i="51" s="1"/>
  <c r="H13" i="51"/>
  <c r="D13" i="51"/>
  <c r="B13" i="51"/>
  <c r="H12" i="51"/>
  <c r="D4" i="51"/>
  <c r="B39" i="50"/>
  <c r="B38" i="50"/>
  <c r="T34" i="50"/>
  <c r="Z34" i="50" s="1"/>
  <c r="P34" i="50"/>
  <c r="H34" i="50"/>
  <c r="N34" i="50" s="1"/>
  <c r="D34" i="50"/>
  <c r="T33" i="50"/>
  <c r="P33" i="50"/>
  <c r="H33" i="50"/>
  <c r="N33" i="50" s="1"/>
  <c r="D33" i="50"/>
  <c r="T29" i="50"/>
  <c r="P29" i="50"/>
  <c r="H29" i="50"/>
  <c r="N29" i="50" s="1"/>
  <c r="D29" i="50"/>
  <c r="T25" i="50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0" i="50" s="1"/>
  <c r="P12" i="50"/>
  <c r="H12" i="50"/>
  <c r="J16" i="50" s="1"/>
  <c r="D12" i="50"/>
  <c r="F22" i="50" s="1"/>
  <c r="D5" i="50"/>
  <c r="D4" i="50"/>
  <c r="B39" i="49"/>
  <c r="B38" i="49"/>
  <c r="T34" i="49"/>
  <c r="Z34" i="49" s="1"/>
  <c r="P34" i="49"/>
  <c r="H34" i="49"/>
  <c r="N34" i="49" s="1"/>
  <c r="D34" i="49"/>
  <c r="L34" i="49" s="1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D15" i="49"/>
  <c r="T13" i="49"/>
  <c r="Z13" i="49" s="1"/>
  <c r="P13" i="49"/>
  <c r="H13" i="49"/>
  <c r="D13" i="49"/>
  <c r="B13" i="49"/>
  <c r="T12" i="49"/>
  <c r="P12" i="49"/>
  <c r="H12" i="49"/>
  <c r="J20" i="49" s="1"/>
  <c r="D12" i="49"/>
  <c r="F33" i="49" s="1"/>
  <c r="D5" i="49"/>
  <c r="D4" i="49"/>
  <c r="X66" i="48"/>
  <c r="Z66" i="48" s="1"/>
  <c r="R66" i="48"/>
  <c r="L66" i="48"/>
  <c r="N66" i="48" s="1"/>
  <c r="T62" i="48"/>
  <c r="P62" i="48"/>
  <c r="X62" i="48" s="1"/>
  <c r="L62" i="48"/>
  <c r="H62" i="48"/>
  <c r="N62" i="48" s="1"/>
  <c r="D62" i="48"/>
  <c r="D61" i="48" s="1"/>
  <c r="B62" i="48"/>
  <c r="F61" i="48"/>
  <c r="Z59" i="48"/>
  <c r="X59" i="48"/>
  <c r="N59" i="48"/>
  <c r="L59" i="48"/>
  <c r="B59" i="48"/>
  <c r="T58" i="48"/>
  <c r="Z58" i="48" s="1"/>
  <c r="P58" i="48"/>
  <c r="X58" i="48" s="1"/>
  <c r="H58" i="48"/>
  <c r="N58" i="48" s="1"/>
  <c r="D58" i="48"/>
  <c r="L58" i="48" s="1"/>
  <c r="B58" i="48"/>
  <c r="Z57" i="48"/>
  <c r="X57" i="48"/>
  <c r="L57" i="48"/>
  <c r="N57" i="48" s="1"/>
  <c r="B57" i="48"/>
  <c r="T56" i="48"/>
  <c r="P56" i="48"/>
  <c r="X56" i="48" s="1"/>
  <c r="L56" i="48"/>
  <c r="H56" i="48"/>
  <c r="D56" i="48"/>
  <c r="B56" i="48"/>
  <c r="Z55" i="48"/>
  <c r="X55" i="48"/>
  <c r="N55" i="48"/>
  <c r="L55" i="48"/>
  <c r="B55" i="48"/>
  <c r="X54" i="48"/>
  <c r="Z54" i="48" s="1"/>
  <c r="L54" i="48"/>
  <c r="N54" i="48" s="1"/>
  <c r="B54" i="48"/>
  <c r="T53" i="48"/>
  <c r="P53" i="48"/>
  <c r="X53" i="48" s="1"/>
  <c r="Z53" i="48" s="1"/>
  <c r="N53" i="48"/>
  <c r="L53" i="48"/>
  <c r="H53" i="48"/>
  <c r="D53" i="48"/>
  <c r="B53" i="48"/>
  <c r="X52" i="48"/>
  <c r="Z52" i="48" s="1"/>
  <c r="R52" i="48"/>
  <c r="N52" i="48"/>
  <c r="L52" i="48"/>
  <c r="B52" i="48"/>
  <c r="Z51" i="48"/>
  <c r="X51" i="48"/>
  <c r="N51" i="48"/>
  <c r="L51" i="48"/>
  <c r="B51" i="48"/>
  <c r="Z50" i="48"/>
  <c r="X50" i="48"/>
  <c r="N50" i="48"/>
  <c r="L50" i="48"/>
  <c r="B50" i="48"/>
  <c r="Z49" i="48"/>
  <c r="X49" i="48"/>
  <c r="N49" i="48"/>
  <c r="L49" i="48"/>
  <c r="B49" i="48"/>
  <c r="T48" i="48"/>
  <c r="P48" i="48"/>
  <c r="X48" i="48" s="1"/>
  <c r="L48" i="48"/>
  <c r="N48" i="48" s="1"/>
  <c r="H48" i="48"/>
  <c r="D48" i="48"/>
  <c r="B48" i="48"/>
  <c r="Z47" i="48"/>
  <c r="X47" i="48"/>
  <c r="N47" i="48"/>
  <c r="L47" i="48"/>
  <c r="B47" i="48"/>
  <c r="X46" i="48"/>
  <c r="T46" i="48"/>
  <c r="Z46" i="48" s="1"/>
  <c r="P46" i="48"/>
  <c r="H46" i="48"/>
  <c r="D46" i="48"/>
  <c r="B46" i="48"/>
  <c r="Z45" i="48"/>
  <c r="X45" i="48"/>
  <c r="N45" i="48"/>
  <c r="L45" i="48"/>
  <c r="B45" i="48"/>
  <c r="T44" i="48"/>
  <c r="P44" i="48"/>
  <c r="H44" i="48"/>
  <c r="N44" i="48" s="1"/>
  <c r="D44" i="48"/>
  <c r="L44" i="48" s="1"/>
  <c r="B44" i="48"/>
  <c r="Z43" i="48"/>
  <c r="X43" i="48"/>
  <c r="N43" i="48"/>
  <c r="L43" i="48"/>
  <c r="B43" i="48"/>
  <c r="X42" i="48"/>
  <c r="Z42" i="48" s="1"/>
  <c r="R42" i="48"/>
  <c r="N42" i="48"/>
  <c r="L42" i="48"/>
  <c r="B42" i="48"/>
  <c r="T41" i="48"/>
  <c r="X41" i="48" s="1"/>
  <c r="Z41" i="48" s="1"/>
  <c r="R41" i="48"/>
  <c r="P41" i="48"/>
  <c r="N41" i="48"/>
  <c r="H41" i="48"/>
  <c r="D41" i="48"/>
  <c r="L41" i="48" s="1"/>
  <c r="B41" i="48"/>
  <c r="X40" i="48"/>
  <c r="Z40" i="48" s="1"/>
  <c r="L40" i="48"/>
  <c r="N40" i="48" s="1"/>
  <c r="F40" i="48"/>
  <c r="B40" i="48"/>
  <c r="T39" i="48"/>
  <c r="R39" i="48"/>
  <c r="P39" i="48"/>
  <c r="X39" i="48" s="1"/>
  <c r="Z39" i="48" s="1"/>
  <c r="H39" i="48"/>
  <c r="D39" i="48"/>
  <c r="L39" i="48" s="1"/>
  <c r="N39" i="48" s="1"/>
  <c r="B39" i="48"/>
  <c r="Z38" i="48"/>
  <c r="X38" i="48"/>
  <c r="N38" i="48"/>
  <c r="L38" i="48"/>
  <c r="B38" i="48"/>
  <c r="Z37" i="48"/>
  <c r="T37" i="48"/>
  <c r="P37" i="48"/>
  <c r="X37" i="48" s="1"/>
  <c r="N37" i="48"/>
  <c r="L37" i="48"/>
  <c r="H37" i="48"/>
  <c r="D37" i="48"/>
  <c r="B37" i="48"/>
  <c r="X36" i="48"/>
  <c r="Z36" i="48" s="1"/>
  <c r="R36" i="48"/>
  <c r="N36" i="48"/>
  <c r="L36" i="48"/>
  <c r="B36" i="48"/>
  <c r="Z35" i="48"/>
  <c r="X35" i="48"/>
  <c r="N35" i="48"/>
  <c r="L35" i="48"/>
  <c r="B35" i="48"/>
  <c r="X34" i="48"/>
  <c r="Z34" i="48" s="1"/>
  <c r="L34" i="48"/>
  <c r="N34" i="48" s="1"/>
  <c r="B34" i="48"/>
  <c r="Z33" i="48"/>
  <c r="X33" i="48"/>
  <c r="N33" i="48"/>
  <c r="L33" i="48"/>
  <c r="B33" i="48"/>
  <c r="X32" i="48"/>
  <c r="Z32" i="48" s="1"/>
  <c r="L32" i="48"/>
  <c r="N32" i="48" s="1"/>
  <c r="F32" i="48"/>
  <c r="B32" i="48"/>
  <c r="Z31" i="48"/>
  <c r="X31" i="48"/>
  <c r="N31" i="48"/>
  <c r="L31" i="48"/>
  <c r="B31" i="48"/>
  <c r="T30" i="48"/>
  <c r="P30" i="48"/>
  <c r="X30" i="48" s="1"/>
  <c r="H30" i="48"/>
  <c r="D30" i="48"/>
  <c r="L30" i="48" s="1"/>
  <c r="B30" i="48"/>
  <c r="Z29" i="48"/>
  <c r="X29" i="48"/>
  <c r="N29" i="48"/>
  <c r="L29" i="48"/>
  <c r="B29" i="48"/>
  <c r="X28" i="48"/>
  <c r="Z28" i="48" s="1"/>
  <c r="L28" i="48"/>
  <c r="N28" i="48" s="1"/>
  <c r="F28" i="48"/>
  <c r="B28" i="48"/>
  <c r="Z27" i="48"/>
  <c r="X27" i="48"/>
  <c r="N27" i="48"/>
  <c r="L27" i="48"/>
  <c r="B27" i="48"/>
  <c r="X26" i="48"/>
  <c r="Z26" i="48" s="1"/>
  <c r="R26" i="48"/>
  <c r="L26" i="48"/>
  <c r="N26" i="48" s="1"/>
  <c r="B26" i="48"/>
  <c r="Z25" i="48"/>
  <c r="X25" i="48"/>
  <c r="N25" i="48"/>
  <c r="L25" i="48"/>
  <c r="B25" i="48"/>
  <c r="X24" i="48"/>
  <c r="Z24" i="48" s="1"/>
  <c r="R24" i="48"/>
  <c r="L24" i="48"/>
  <c r="N24" i="48" s="1"/>
  <c r="B24" i="48"/>
  <c r="Z23" i="48"/>
  <c r="X23" i="48"/>
  <c r="N23" i="48"/>
  <c r="L23" i="48"/>
  <c r="B23" i="48"/>
  <c r="X22" i="48"/>
  <c r="Z22" i="48" s="1"/>
  <c r="L22" i="48"/>
  <c r="N22" i="48" s="1"/>
  <c r="B22" i="48"/>
  <c r="Z21" i="48"/>
  <c r="X21" i="48"/>
  <c r="N21" i="48"/>
  <c r="L21" i="48"/>
  <c r="B21" i="48"/>
  <c r="T20" i="48"/>
  <c r="P20" i="48"/>
  <c r="X20" i="48" s="1"/>
  <c r="L20" i="48"/>
  <c r="N20" i="48" s="1"/>
  <c r="H20" i="48"/>
  <c r="D20" i="48"/>
  <c r="B20" i="48"/>
  <c r="T19" i="48" a="1"/>
  <c r="T19" i="48" s="1"/>
  <c r="P19" i="48" a="1"/>
  <c r="P19" i="48" s="1"/>
  <c r="H19" i="48" a="1"/>
  <c r="H19" i="48" s="1"/>
  <c r="D19" i="48" a="1"/>
  <c r="D19" i="48" s="1"/>
  <c r="L19" i="48" s="1"/>
  <c r="N19" i="48" s="1"/>
  <c r="Z15" i="48"/>
  <c r="T15" i="48"/>
  <c r="R15" i="48"/>
  <c r="P15" i="48"/>
  <c r="X15" i="48" s="1"/>
  <c r="N15" i="48"/>
  <c r="H15" i="48"/>
  <c r="D15" i="48"/>
  <c r="L15" i="48" s="1"/>
  <c r="T13" i="48"/>
  <c r="P13" i="48"/>
  <c r="H13" i="48"/>
  <c r="D13" i="48"/>
  <c r="L13" i="48" s="1"/>
  <c r="B13" i="48"/>
  <c r="P12" i="48"/>
  <c r="D12" i="48"/>
  <c r="F59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X33" i="47" s="1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D21" i="47"/>
  <c r="B21" i="47"/>
  <c r="T20" i="47"/>
  <c r="P20" i="47"/>
  <c r="H20" i="47"/>
  <c r="N20" i="47" s="1"/>
  <c r="D20" i="47"/>
  <c r="T16" i="47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P13" i="47"/>
  <c r="H13" i="47"/>
  <c r="N13" i="47" s="1"/>
  <c r="D13" i="47"/>
  <c r="B13" i="47"/>
  <c r="T12" i="47"/>
  <c r="V24" i="47" s="1"/>
  <c r="P12" i="47"/>
  <c r="R20" i="47" s="1"/>
  <c r="H12" i="47"/>
  <c r="J34" i="47" s="1"/>
  <c r="D12" i="47"/>
  <c r="F24" i="47" s="1"/>
  <c r="D5" i="47"/>
  <c r="D4" i="47"/>
  <c r="B39" i="46"/>
  <c r="B38" i="46"/>
  <c r="T34" i="46"/>
  <c r="Z34" i="46" s="1"/>
  <c r="P34" i="46"/>
  <c r="H34" i="46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P12" i="46"/>
  <c r="R34" i="46" s="1"/>
  <c r="H12" i="46"/>
  <c r="D12" i="46"/>
  <c r="D5" i="46"/>
  <c r="D4" i="46"/>
  <c r="Z96" i="45"/>
  <c r="X96" i="45"/>
  <c r="N96" i="45"/>
  <c r="L96" i="45"/>
  <c r="Z92" i="45"/>
  <c r="X92" i="45"/>
  <c r="T92" i="45"/>
  <c r="P92" i="45"/>
  <c r="H92" i="45"/>
  <c r="N92" i="45" s="1"/>
  <c r="D92" i="45"/>
  <c r="Z90" i="45"/>
  <c r="X90" i="45"/>
  <c r="N90" i="45"/>
  <c r="L90" i="45"/>
  <c r="B90" i="45"/>
  <c r="Z89" i="45"/>
  <c r="X89" i="45"/>
  <c r="N89" i="45"/>
  <c r="L89" i="45"/>
  <c r="B89" i="45"/>
  <c r="T88" i="45"/>
  <c r="Z88" i="45" s="1"/>
  <c r="P88" i="45"/>
  <c r="N88" i="45"/>
  <c r="H88" i="45"/>
  <c r="D88" i="45"/>
  <c r="L88" i="45" s="1"/>
  <c r="B88" i="45"/>
  <c r="X87" i="45"/>
  <c r="Z87" i="45" s="1"/>
  <c r="L87" i="45"/>
  <c r="N87" i="45" s="1"/>
  <c r="B87" i="45"/>
  <c r="T86" i="45"/>
  <c r="P86" i="45"/>
  <c r="X86" i="45" s="1"/>
  <c r="Z86" i="45" s="1"/>
  <c r="H86" i="45"/>
  <c r="D86" i="45"/>
  <c r="L86" i="45" s="1"/>
  <c r="N86" i="45" s="1"/>
  <c r="B86" i="45"/>
  <c r="X85" i="45"/>
  <c r="Z85" i="45" s="1"/>
  <c r="L85" i="45"/>
  <c r="N85" i="45" s="1"/>
  <c r="B85" i="45"/>
  <c r="Z84" i="45"/>
  <c r="T84" i="45"/>
  <c r="P84" i="45"/>
  <c r="X84" i="45" s="1"/>
  <c r="N84" i="45"/>
  <c r="L84" i="45"/>
  <c r="H84" i="45"/>
  <c r="D84" i="45"/>
  <c r="B84" i="45"/>
  <c r="X83" i="45"/>
  <c r="Z83" i="45" s="1"/>
  <c r="N83" i="45"/>
  <c r="L83" i="45"/>
  <c r="B83" i="45"/>
  <c r="Z82" i="45"/>
  <c r="X82" i="45"/>
  <c r="N82" i="45"/>
  <c r="L82" i="45"/>
  <c r="B82" i="45"/>
  <c r="X81" i="45"/>
  <c r="Z81" i="45" s="1"/>
  <c r="L81" i="45"/>
  <c r="N81" i="45" s="1"/>
  <c r="F81" i="45"/>
  <c r="B81" i="45"/>
  <c r="Z80" i="45"/>
  <c r="X80" i="45"/>
  <c r="N80" i="45"/>
  <c r="L80" i="45"/>
  <c r="B80" i="45"/>
  <c r="X79" i="45"/>
  <c r="Z79" i="45" s="1"/>
  <c r="L79" i="45"/>
  <c r="N79" i="45" s="1"/>
  <c r="F79" i="45"/>
  <c r="B79" i="45"/>
  <c r="Z78" i="45"/>
  <c r="X78" i="45"/>
  <c r="N78" i="45"/>
  <c r="L78" i="45"/>
  <c r="B78" i="45"/>
  <c r="X77" i="45"/>
  <c r="Z77" i="45" s="1"/>
  <c r="N77" i="45"/>
  <c r="L77" i="45"/>
  <c r="B77" i="45"/>
  <c r="Z76" i="45"/>
  <c r="X76" i="45"/>
  <c r="N76" i="45"/>
  <c r="L76" i="45"/>
  <c r="B76" i="45"/>
  <c r="T75" i="45"/>
  <c r="P75" i="45"/>
  <c r="H75" i="45"/>
  <c r="D75" i="45"/>
  <c r="B75" i="45"/>
  <c r="Z74" i="45"/>
  <c r="X74" i="45"/>
  <c r="N74" i="45"/>
  <c r="L74" i="45"/>
  <c r="B74" i="45"/>
  <c r="T73" i="45"/>
  <c r="P73" i="45"/>
  <c r="X73" i="45" s="1"/>
  <c r="H73" i="45"/>
  <c r="N73" i="45" s="1"/>
  <c r="D73" i="45"/>
  <c r="L73" i="45" s="1"/>
  <c r="B73" i="45"/>
  <c r="Z72" i="45"/>
  <c r="X72" i="45"/>
  <c r="N72" i="45"/>
  <c r="L72" i="45"/>
  <c r="B72" i="45"/>
  <c r="X71" i="45"/>
  <c r="Z71" i="45" s="1"/>
  <c r="L71" i="45"/>
  <c r="N71" i="45" s="1"/>
  <c r="B71" i="45"/>
  <c r="Z70" i="45"/>
  <c r="X70" i="45"/>
  <c r="N70" i="45"/>
  <c r="L70" i="45"/>
  <c r="B70" i="45"/>
  <c r="X69" i="45"/>
  <c r="Z69" i="45" s="1"/>
  <c r="L69" i="45"/>
  <c r="N69" i="45" s="1"/>
  <c r="B69" i="45"/>
  <c r="V68" i="45"/>
  <c r="T68" i="45"/>
  <c r="P68" i="45"/>
  <c r="H68" i="45"/>
  <c r="D68" i="45"/>
  <c r="L68" i="45" s="1"/>
  <c r="N68" i="45" s="1"/>
  <c r="B68" i="45"/>
  <c r="X67" i="45"/>
  <c r="Z67" i="45" s="1"/>
  <c r="N67" i="45"/>
  <c r="L67" i="45"/>
  <c r="B67" i="45"/>
  <c r="Z66" i="45"/>
  <c r="X66" i="45"/>
  <c r="N66" i="45"/>
  <c r="L66" i="45"/>
  <c r="B66" i="45"/>
  <c r="X65" i="45"/>
  <c r="Z65" i="45" s="1"/>
  <c r="L65" i="45"/>
  <c r="N65" i="45" s="1"/>
  <c r="B65" i="45"/>
  <c r="T64" i="45"/>
  <c r="P64" i="45"/>
  <c r="H64" i="45"/>
  <c r="D64" i="45"/>
  <c r="L64" i="45" s="1"/>
  <c r="N64" i="45" s="1"/>
  <c r="B64" i="45"/>
  <c r="X63" i="45"/>
  <c r="Z63" i="45" s="1"/>
  <c r="L63" i="45"/>
  <c r="N63" i="45" s="1"/>
  <c r="B63" i="45"/>
  <c r="T62" i="45"/>
  <c r="P62" i="45"/>
  <c r="X62" i="45" s="1"/>
  <c r="Z62" i="45" s="1"/>
  <c r="H62" i="45"/>
  <c r="D62" i="45"/>
  <c r="L62" i="45" s="1"/>
  <c r="N62" i="45" s="1"/>
  <c r="B62" i="45"/>
  <c r="X61" i="45"/>
  <c r="Z61" i="45" s="1"/>
  <c r="L61" i="45"/>
  <c r="N61" i="45" s="1"/>
  <c r="B61" i="45"/>
  <c r="T60" i="45"/>
  <c r="P60" i="45"/>
  <c r="X60" i="45" s="1"/>
  <c r="Z60" i="45" s="1"/>
  <c r="N60" i="45"/>
  <c r="L60" i="45"/>
  <c r="H60" i="45"/>
  <c r="D60" i="45"/>
  <c r="B60" i="45"/>
  <c r="X59" i="45"/>
  <c r="Z59" i="45" s="1"/>
  <c r="L59" i="45"/>
  <c r="N59" i="45" s="1"/>
  <c r="B59" i="45"/>
  <c r="Z58" i="45"/>
  <c r="X58" i="45"/>
  <c r="T58" i="45"/>
  <c r="P58" i="45"/>
  <c r="H58" i="45"/>
  <c r="D58" i="45"/>
  <c r="B58" i="45"/>
  <c r="X57" i="45"/>
  <c r="Z57" i="45" s="1"/>
  <c r="L57" i="45"/>
  <c r="N57" i="45" s="1"/>
  <c r="B57" i="45"/>
  <c r="T56" i="45"/>
  <c r="P56" i="45"/>
  <c r="H56" i="45"/>
  <c r="F56" i="45"/>
  <c r="D56" i="45"/>
  <c r="L56" i="45" s="1"/>
  <c r="N56" i="45" s="1"/>
  <c r="B56" i="45"/>
  <c r="Z55" i="45"/>
  <c r="X55" i="45"/>
  <c r="N55" i="45"/>
  <c r="L55" i="45"/>
  <c r="B55" i="45"/>
  <c r="Z54" i="45"/>
  <c r="T54" i="45"/>
  <c r="P54" i="45"/>
  <c r="X54" i="45" s="1"/>
  <c r="N54" i="45"/>
  <c r="H54" i="45"/>
  <c r="D54" i="45"/>
  <c r="L54" i="45" s="1"/>
  <c r="B54" i="45"/>
  <c r="X53" i="45"/>
  <c r="Z53" i="45" s="1"/>
  <c r="L53" i="45"/>
  <c r="N53" i="45" s="1"/>
  <c r="B53" i="45"/>
  <c r="T52" i="45"/>
  <c r="P52" i="45"/>
  <c r="X52" i="45" s="1"/>
  <c r="Z52" i="45" s="1"/>
  <c r="N52" i="45"/>
  <c r="L52" i="45"/>
  <c r="H52" i="45"/>
  <c r="D52" i="45"/>
  <c r="B52" i="45"/>
  <c r="X51" i="45"/>
  <c r="Z51" i="45" s="1"/>
  <c r="L51" i="45"/>
  <c r="N51" i="45" s="1"/>
  <c r="B51" i="45"/>
  <c r="Z50" i="45"/>
  <c r="X50" i="45"/>
  <c r="T50" i="45"/>
  <c r="P50" i="45"/>
  <c r="H50" i="45"/>
  <c r="D50" i="45"/>
  <c r="B50" i="45"/>
  <c r="X49" i="45"/>
  <c r="Z49" i="45" s="1"/>
  <c r="L49" i="45"/>
  <c r="N49" i="45" s="1"/>
  <c r="B49" i="45"/>
  <c r="T48" i="45"/>
  <c r="P48" i="45"/>
  <c r="H48" i="45"/>
  <c r="D48" i="45"/>
  <c r="L48" i="45" s="1"/>
  <c r="N48" i="45" s="1"/>
  <c r="B48" i="45"/>
  <c r="X47" i="45"/>
  <c r="Z47" i="45" s="1"/>
  <c r="N47" i="45"/>
  <c r="L47" i="45"/>
  <c r="B47" i="45"/>
  <c r="T46" i="45"/>
  <c r="P46" i="45"/>
  <c r="X46" i="45" s="1"/>
  <c r="Z46" i="45" s="1"/>
  <c r="N46" i="45"/>
  <c r="H46" i="45"/>
  <c r="D46" i="45"/>
  <c r="L46" i="45" s="1"/>
  <c r="B46" i="45"/>
  <c r="X45" i="45"/>
  <c r="Z45" i="45" s="1"/>
  <c r="N45" i="45"/>
  <c r="L45" i="45"/>
  <c r="B45" i="45"/>
  <c r="Z44" i="45"/>
  <c r="T44" i="45"/>
  <c r="P44" i="45"/>
  <c r="X44" i="45" s="1"/>
  <c r="N44" i="45"/>
  <c r="L44" i="45"/>
  <c r="H44" i="45"/>
  <c r="D44" i="45"/>
  <c r="B44" i="45"/>
  <c r="X43" i="45"/>
  <c r="Z43" i="45" s="1"/>
  <c r="N43" i="45"/>
  <c r="L43" i="45"/>
  <c r="B43" i="45"/>
  <c r="Z42" i="45"/>
  <c r="X42" i="45"/>
  <c r="N42" i="45"/>
  <c r="L42" i="45"/>
  <c r="B42" i="45"/>
  <c r="X41" i="45"/>
  <c r="Z41" i="45" s="1"/>
  <c r="L41" i="45"/>
  <c r="N41" i="45" s="1"/>
  <c r="B41" i="45"/>
  <c r="Z40" i="45"/>
  <c r="X40" i="45"/>
  <c r="N40" i="45"/>
  <c r="L40" i="45"/>
  <c r="F40" i="45"/>
  <c r="B40" i="45"/>
  <c r="X39" i="45"/>
  <c r="Z39" i="45" s="1"/>
  <c r="L39" i="45"/>
  <c r="N39" i="45" s="1"/>
  <c r="B39" i="45"/>
  <c r="Z38" i="45"/>
  <c r="X38" i="45"/>
  <c r="L38" i="45"/>
  <c r="N38" i="45" s="1"/>
  <c r="B38" i="45"/>
  <c r="X37" i="45"/>
  <c r="Z37" i="45" s="1"/>
  <c r="L37" i="45"/>
  <c r="N37" i="45" s="1"/>
  <c r="B37" i="45"/>
  <c r="T36" i="45"/>
  <c r="P36" i="45"/>
  <c r="H36" i="45"/>
  <c r="D36" i="45"/>
  <c r="L36" i="45" s="1"/>
  <c r="N36" i="45" s="1"/>
  <c r="B36" i="45"/>
  <c r="X35" i="45"/>
  <c r="Z35" i="45" s="1"/>
  <c r="L35" i="45"/>
  <c r="N35" i="45" s="1"/>
  <c r="B35" i="45"/>
  <c r="Z34" i="45"/>
  <c r="X34" i="45"/>
  <c r="L34" i="45"/>
  <c r="N34" i="45" s="1"/>
  <c r="B34" i="45"/>
  <c r="X33" i="45"/>
  <c r="Z33" i="45" s="1"/>
  <c r="L33" i="45"/>
  <c r="N33" i="45" s="1"/>
  <c r="B33" i="45"/>
  <c r="Z32" i="45"/>
  <c r="X32" i="45"/>
  <c r="N32" i="45"/>
  <c r="L32" i="45"/>
  <c r="B32" i="45"/>
  <c r="X31" i="45"/>
  <c r="Z31" i="45" s="1"/>
  <c r="L31" i="45"/>
  <c r="N31" i="45" s="1"/>
  <c r="B31" i="45"/>
  <c r="X30" i="45"/>
  <c r="Z30" i="45" s="1"/>
  <c r="N30" i="45"/>
  <c r="L30" i="45"/>
  <c r="B30" i="45"/>
  <c r="Z29" i="45"/>
  <c r="X29" i="45"/>
  <c r="L29" i="45"/>
  <c r="N29" i="45" s="1"/>
  <c r="B29" i="45"/>
  <c r="Z28" i="45"/>
  <c r="X28" i="45"/>
  <c r="N28" i="45"/>
  <c r="L28" i="45"/>
  <c r="B28" i="45"/>
  <c r="X27" i="45"/>
  <c r="Z27" i="45" s="1"/>
  <c r="L27" i="45"/>
  <c r="N27" i="45" s="1"/>
  <c r="B27" i="45"/>
  <c r="T26" i="45"/>
  <c r="P26" i="45"/>
  <c r="X26" i="45" s="1"/>
  <c r="Z26" i="45" s="1"/>
  <c r="H26" i="45"/>
  <c r="D26" i="45"/>
  <c r="L26" i="45" s="1"/>
  <c r="N26" i="45" s="1"/>
  <c r="B26" i="45"/>
  <c r="T25" i="45" a="1"/>
  <c r="T25" i="45" s="1"/>
  <c r="P25" i="45" a="1"/>
  <c r="P25" i="45"/>
  <c r="H25" i="45" a="1"/>
  <c r="H25" i="45" s="1"/>
  <c r="L25" i="45" s="1"/>
  <c r="N25" i="45" s="1"/>
  <c r="D25" i="45" a="1"/>
  <c r="D25" i="45" s="1"/>
  <c r="X21" i="45"/>
  <c r="Z21" i="45" s="1"/>
  <c r="L21" i="45"/>
  <c r="N21" i="45" s="1"/>
  <c r="B21" i="45"/>
  <c r="X20" i="45"/>
  <c r="Z20" i="45" s="1"/>
  <c r="N20" i="45"/>
  <c r="L20" i="45"/>
  <c r="B20" i="45"/>
  <c r="T19" i="45"/>
  <c r="Z19" i="45" s="1"/>
  <c r="P19" i="45"/>
  <c r="X19" i="45" s="1"/>
  <c r="L19" i="45"/>
  <c r="H19" i="45"/>
  <c r="D19" i="45"/>
  <c r="T17" i="45"/>
  <c r="Z17" i="45" s="1"/>
  <c r="P17" i="45"/>
  <c r="X17" i="45" s="1"/>
  <c r="N17" i="45"/>
  <c r="H17" i="45"/>
  <c r="L17" i="45" s="1"/>
  <c r="D17" i="45"/>
  <c r="B17" i="45"/>
  <c r="T16" i="45"/>
  <c r="P16" i="45"/>
  <c r="H16" i="45"/>
  <c r="L16" i="45" s="1"/>
  <c r="N16" i="45" s="1"/>
  <c r="D16" i="45"/>
  <c r="B16" i="45"/>
  <c r="T15" i="45"/>
  <c r="T12" i="45" s="1"/>
  <c r="V36" i="45" s="1"/>
  <c r="P15" i="45"/>
  <c r="X15" i="45" s="1"/>
  <c r="N15" i="45"/>
  <c r="L15" i="45"/>
  <c r="H15" i="45"/>
  <c r="D15" i="45"/>
  <c r="B15" i="45"/>
  <c r="T14" i="45"/>
  <c r="Z14" i="45" s="1"/>
  <c r="P14" i="45"/>
  <c r="X14" i="45" s="1"/>
  <c r="H14" i="45"/>
  <c r="N14" i="45" s="1"/>
  <c r="D14" i="45"/>
  <c r="B14" i="45"/>
  <c r="T13" i="45"/>
  <c r="P13" i="45"/>
  <c r="L13" i="45"/>
  <c r="H13" i="45"/>
  <c r="N13" i="45" s="1"/>
  <c r="D13" i="45"/>
  <c r="B13" i="45"/>
  <c r="D12" i="45"/>
  <c r="F67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P20" i="44"/>
  <c r="H20" i="44"/>
  <c r="N20" i="44" s="1"/>
  <c r="D20" i="44"/>
  <c r="T16" i="44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P13" i="44"/>
  <c r="H13" i="44"/>
  <c r="N13" i="44" s="1"/>
  <c r="D13" i="44"/>
  <c r="B13" i="44"/>
  <c r="T12" i="44"/>
  <c r="V15" i="44" s="1"/>
  <c r="P12" i="44"/>
  <c r="R24" i="44" s="1"/>
  <c r="H12" i="44"/>
  <c r="D12" i="44"/>
  <c r="F20" i="44" s="1"/>
  <c r="D5" i="44"/>
  <c r="D4" i="44"/>
  <c r="B39" i="43"/>
  <c r="B38" i="43"/>
  <c r="T34" i="43"/>
  <c r="Z34" i="43" s="1"/>
  <c r="P34" i="43"/>
  <c r="H34" i="43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34" i="43" s="1"/>
  <c r="P12" i="43"/>
  <c r="H12" i="43"/>
  <c r="J21" i="43" s="1"/>
  <c r="D12" i="43"/>
  <c r="F20" i="43" s="1"/>
  <c r="D5" i="43"/>
  <c r="D4" i="43"/>
  <c r="Z107" i="42"/>
  <c r="X107" i="42"/>
  <c r="N107" i="42"/>
  <c r="L107" i="42"/>
  <c r="Z103" i="42"/>
  <c r="X103" i="42"/>
  <c r="T103" i="42"/>
  <c r="P103" i="42"/>
  <c r="H103" i="42"/>
  <c r="N103" i="42" s="1"/>
  <c r="D103" i="42"/>
  <c r="B103" i="42"/>
  <c r="T102" i="42"/>
  <c r="P102" i="42"/>
  <c r="H102" i="42"/>
  <c r="N102" i="42" s="1"/>
  <c r="D102" i="42"/>
  <c r="L102" i="42" s="1"/>
  <c r="B102" i="42"/>
  <c r="Z101" i="42"/>
  <c r="T101" i="42"/>
  <c r="P101" i="42"/>
  <c r="X101" i="42" s="1"/>
  <c r="N101" i="42"/>
  <c r="L101" i="42"/>
  <c r="H101" i="42"/>
  <c r="D101" i="42"/>
  <c r="B101" i="42"/>
  <c r="T100" i="42"/>
  <c r="H100" i="42"/>
  <c r="N100" i="42" s="1"/>
  <c r="D100" i="42"/>
  <c r="L100" i="42" s="1"/>
  <c r="X98" i="42"/>
  <c r="Z98" i="42" s="1"/>
  <c r="L98" i="42"/>
  <c r="N98" i="42" s="1"/>
  <c r="B98" i="42"/>
  <c r="T97" i="42"/>
  <c r="P97" i="42"/>
  <c r="X97" i="42" s="1"/>
  <c r="Z97" i="42" s="1"/>
  <c r="N97" i="42"/>
  <c r="H97" i="42"/>
  <c r="D97" i="42"/>
  <c r="L97" i="42" s="1"/>
  <c r="B97" i="42"/>
  <c r="X96" i="42"/>
  <c r="Z96" i="42" s="1"/>
  <c r="N96" i="42"/>
  <c r="L96" i="42"/>
  <c r="B96" i="42"/>
  <c r="Z95" i="42"/>
  <c r="X95" i="42"/>
  <c r="N95" i="42"/>
  <c r="L95" i="42"/>
  <c r="B95" i="42"/>
  <c r="T94" i="42"/>
  <c r="Z94" i="42" s="1"/>
  <c r="P94" i="42"/>
  <c r="X94" i="42" s="1"/>
  <c r="L94" i="42"/>
  <c r="H94" i="42"/>
  <c r="N94" i="42" s="1"/>
  <c r="D94" i="42"/>
  <c r="B94" i="42"/>
  <c r="Z93" i="42"/>
  <c r="X93" i="42"/>
  <c r="N93" i="42"/>
  <c r="L93" i="42"/>
  <c r="B93" i="42"/>
  <c r="X92" i="42"/>
  <c r="T92" i="42"/>
  <c r="P92" i="42"/>
  <c r="H92" i="42"/>
  <c r="D92" i="42"/>
  <c r="B92" i="42"/>
  <c r="X91" i="42"/>
  <c r="Z91" i="42" s="1"/>
  <c r="N91" i="42"/>
  <c r="L91" i="42"/>
  <c r="B91" i="42"/>
  <c r="T90" i="42"/>
  <c r="P90" i="42"/>
  <c r="H90" i="42"/>
  <c r="N90" i="42" s="1"/>
  <c r="D90" i="42"/>
  <c r="L90" i="42" s="1"/>
  <c r="B90" i="42"/>
  <c r="Z89" i="42"/>
  <c r="X89" i="42"/>
  <c r="N89" i="42"/>
  <c r="L89" i="42"/>
  <c r="B89" i="42"/>
  <c r="Z88" i="42"/>
  <c r="X88" i="42"/>
  <c r="N88" i="42"/>
  <c r="L88" i="42"/>
  <c r="B88" i="42"/>
  <c r="Z87" i="42"/>
  <c r="X87" i="42"/>
  <c r="N87" i="42"/>
  <c r="L87" i="42"/>
  <c r="B87" i="42"/>
  <c r="X86" i="42"/>
  <c r="Z86" i="42" s="1"/>
  <c r="L86" i="42"/>
  <c r="N86" i="42" s="1"/>
  <c r="B86" i="42"/>
  <c r="Z85" i="42"/>
  <c r="X85" i="42"/>
  <c r="N85" i="42"/>
  <c r="L85" i="42"/>
  <c r="B85" i="42"/>
  <c r="X84" i="42"/>
  <c r="Z84" i="42" s="1"/>
  <c r="N84" i="42"/>
  <c r="L84" i="42"/>
  <c r="B84" i="42"/>
  <c r="Z83" i="42"/>
  <c r="X83" i="42"/>
  <c r="N83" i="42"/>
  <c r="L83" i="42"/>
  <c r="B83" i="42"/>
  <c r="X82" i="42"/>
  <c r="Z82" i="42" s="1"/>
  <c r="N82" i="42"/>
  <c r="L82" i="42"/>
  <c r="B82" i="42"/>
  <c r="Z81" i="42"/>
  <c r="X81" i="42"/>
  <c r="N81" i="42"/>
  <c r="L81" i="42"/>
  <c r="B81" i="42"/>
  <c r="T80" i="42"/>
  <c r="P80" i="42"/>
  <c r="X80" i="42" s="1"/>
  <c r="H80" i="42"/>
  <c r="N80" i="42" s="1"/>
  <c r="D80" i="42"/>
  <c r="L80" i="42" s="1"/>
  <c r="B80" i="42"/>
  <c r="Z79" i="42"/>
  <c r="X79" i="42"/>
  <c r="N79" i="42"/>
  <c r="L79" i="42"/>
  <c r="B79" i="42"/>
  <c r="T78" i="42"/>
  <c r="Z78" i="42" s="1"/>
  <c r="P78" i="42"/>
  <c r="X78" i="42" s="1"/>
  <c r="L78" i="42"/>
  <c r="H78" i="42"/>
  <c r="N78" i="42" s="1"/>
  <c r="D78" i="42"/>
  <c r="B78" i="42"/>
  <c r="Z77" i="42"/>
  <c r="X77" i="42"/>
  <c r="N77" i="42"/>
  <c r="L77" i="42"/>
  <c r="B77" i="42"/>
  <c r="X76" i="42"/>
  <c r="Z76" i="42" s="1"/>
  <c r="L76" i="42"/>
  <c r="N76" i="42" s="1"/>
  <c r="B76" i="42"/>
  <c r="Z75" i="42"/>
  <c r="X75" i="42"/>
  <c r="N75" i="42"/>
  <c r="L75" i="42"/>
  <c r="B75" i="42"/>
  <c r="X74" i="42"/>
  <c r="Z74" i="42" s="1"/>
  <c r="L74" i="42"/>
  <c r="N74" i="42" s="1"/>
  <c r="B74" i="42"/>
  <c r="T73" i="42"/>
  <c r="P73" i="42"/>
  <c r="X73" i="42" s="1"/>
  <c r="Z73" i="42" s="1"/>
  <c r="H73" i="42"/>
  <c r="D73" i="42"/>
  <c r="L73" i="42" s="1"/>
  <c r="N73" i="42" s="1"/>
  <c r="B73" i="42"/>
  <c r="Z72" i="42"/>
  <c r="X72" i="42"/>
  <c r="N72" i="42"/>
  <c r="L72" i="42"/>
  <c r="B72" i="42"/>
  <c r="Z71" i="42"/>
  <c r="T71" i="42"/>
  <c r="P71" i="42"/>
  <c r="X71" i="42" s="1"/>
  <c r="N71" i="42"/>
  <c r="L71" i="42"/>
  <c r="H71" i="42"/>
  <c r="D71" i="42"/>
  <c r="B71" i="42"/>
  <c r="X70" i="42"/>
  <c r="Z70" i="42" s="1"/>
  <c r="L70" i="42"/>
  <c r="N70" i="42" s="1"/>
  <c r="B70" i="42"/>
  <c r="Z69" i="42"/>
  <c r="X69" i="42"/>
  <c r="N69" i="42"/>
  <c r="L69" i="42"/>
  <c r="B69" i="42"/>
  <c r="X68" i="42"/>
  <c r="Z68" i="42" s="1"/>
  <c r="L68" i="42"/>
  <c r="N68" i="42" s="1"/>
  <c r="B68" i="42"/>
  <c r="Z67" i="42"/>
  <c r="X67" i="42"/>
  <c r="N67" i="42"/>
  <c r="L67" i="42"/>
  <c r="B67" i="42"/>
  <c r="T66" i="42"/>
  <c r="P66" i="42"/>
  <c r="X66" i="42" s="1"/>
  <c r="L66" i="42"/>
  <c r="H66" i="42"/>
  <c r="D66" i="42"/>
  <c r="B66" i="42"/>
  <c r="Z65" i="42"/>
  <c r="X65" i="42"/>
  <c r="N65" i="42"/>
  <c r="L65" i="42"/>
  <c r="B65" i="42"/>
  <c r="X64" i="42"/>
  <c r="T64" i="42"/>
  <c r="Z64" i="42" s="1"/>
  <c r="P64" i="42"/>
  <c r="H64" i="42"/>
  <c r="D64" i="42"/>
  <c r="B64" i="42"/>
  <c r="X63" i="42"/>
  <c r="Z63" i="42" s="1"/>
  <c r="N63" i="42"/>
  <c r="L63" i="42"/>
  <c r="B63" i="42"/>
  <c r="T62" i="42"/>
  <c r="P62" i="42"/>
  <c r="H62" i="42"/>
  <c r="D62" i="42"/>
  <c r="L62" i="42" s="1"/>
  <c r="B62" i="42"/>
  <c r="Z61" i="42"/>
  <c r="X61" i="42"/>
  <c r="N61" i="42"/>
  <c r="L61" i="42"/>
  <c r="B61" i="42"/>
  <c r="T60" i="42"/>
  <c r="Z60" i="42" s="1"/>
  <c r="P60" i="42"/>
  <c r="X60" i="42" s="1"/>
  <c r="H60" i="42"/>
  <c r="N60" i="42" s="1"/>
  <c r="D60" i="42"/>
  <c r="L60" i="42" s="1"/>
  <c r="B60" i="42"/>
  <c r="Z59" i="42"/>
  <c r="X59" i="42"/>
  <c r="N59" i="42"/>
  <c r="L59" i="42"/>
  <c r="B59" i="42"/>
  <c r="T58" i="42"/>
  <c r="Z58" i="42" s="1"/>
  <c r="P58" i="42"/>
  <c r="X58" i="42" s="1"/>
  <c r="L58" i="42"/>
  <c r="H58" i="42"/>
  <c r="N58" i="42" s="1"/>
  <c r="D58" i="42"/>
  <c r="B58" i="42"/>
  <c r="Z57" i="42"/>
  <c r="X57" i="42"/>
  <c r="N57" i="42"/>
  <c r="L57" i="42"/>
  <c r="B57" i="42"/>
  <c r="X56" i="42"/>
  <c r="T56" i="42"/>
  <c r="P56" i="42"/>
  <c r="H56" i="42"/>
  <c r="D56" i="42"/>
  <c r="B56" i="42"/>
  <c r="Z55" i="42"/>
  <c r="X55" i="42"/>
  <c r="N55" i="42"/>
  <c r="L55" i="42"/>
  <c r="B55" i="42"/>
  <c r="T54" i="42"/>
  <c r="P54" i="42"/>
  <c r="H54" i="42"/>
  <c r="D54" i="42"/>
  <c r="L54" i="42" s="1"/>
  <c r="B54" i="42"/>
  <c r="Z53" i="42"/>
  <c r="X53" i="42"/>
  <c r="N53" i="42"/>
  <c r="L53" i="42"/>
  <c r="B53" i="42"/>
  <c r="T52" i="42"/>
  <c r="P52" i="42"/>
  <c r="X52" i="42" s="1"/>
  <c r="H52" i="42"/>
  <c r="N52" i="42" s="1"/>
  <c r="D52" i="42"/>
  <c r="L52" i="42" s="1"/>
  <c r="B52" i="42"/>
  <c r="Z51" i="42"/>
  <c r="X51" i="42"/>
  <c r="N51" i="42"/>
  <c r="L51" i="42"/>
  <c r="B51" i="42"/>
  <c r="X50" i="42"/>
  <c r="Z50" i="42" s="1"/>
  <c r="L50" i="42"/>
  <c r="N50" i="42" s="1"/>
  <c r="F50" i="42"/>
  <c r="B50" i="42"/>
  <c r="T49" i="42"/>
  <c r="P49" i="42"/>
  <c r="X49" i="42" s="1"/>
  <c r="Z49" i="42" s="1"/>
  <c r="H49" i="42"/>
  <c r="D49" i="42"/>
  <c r="L49" i="42" s="1"/>
  <c r="N49" i="42" s="1"/>
  <c r="B49" i="42"/>
  <c r="X48" i="42"/>
  <c r="Z48" i="42" s="1"/>
  <c r="L48" i="42"/>
  <c r="N48" i="42" s="1"/>
  <c r="B48" i="42"/>
  <c r="T47" i="42"/>
  <c r="P47" i="42"/>
  <c r="X47" i="42" s="1"/>
  <c r="Z47" i="42" s="1"/>
  <c r="N47" i="42"/>
  <c r="L47" i="42"/>
  <c r="H47" i="42"/>
  <c r="D47" i="42"/>
  <c r="B47" i="42"/>
  <c r="X46" i="42"/>
  <c r="Z46" i="42" s="1"/>
  <c r="L46" i="42"/>
  <c r="N46" i="42" s="1"/>
  <c r="B46" i="42"/>
  <c r="Z45" i="42"/>
  <c r="X45" i="42"/>
  <c r="T45" i="42"/>
  <c r="P45" i="42"/>
  <c r="H45" i="42"/>
  <c r="L45" i="42" s="1"/>
  <c r="N45" i="42" s="1"/>
  <c r="F45" i="42"/>
  <c r="D45" i="42"/>
  <c r="B45" i="42"/>
  <c r="X44" i="42"/>
  <c r="Z44" i="42" s="1"/>
  <c r="L44" i="42"/>
  <c r="N44" i="42" s="1"/>
  <c r="B44" i="42"/>
  <c r="T43" i="42"/>
  <c r="X43" i="42" s="1"/>
  <c r="Z43" i="42" s="1"/>
  <c r="P43" i="42"/>
  <c r="H43" i="42"/>
  <c r="D43" i="42"/>
  <c r="L43" i="42" s="1"/>
  <c r="N43" i="42" s="1"/>
  <c r="B43" i="42"/>
  <c r="Z42" i="42"/>
  <c r="X42" i="42"/>
  <c r="N42" i="42"/>
  <c r="L42" i="42"/>
  <c r="F42" i="42"/>
  <c r="B42" i="42"/>
  <c r="Z41" i="42"/>
  <c r="X41" i="42"/>
  <c r="N41" i="42"/>
  <c r="L41" i="42"/>
  <c r="B41" i="42"/>
  <c r="X40" i="42"/>
  <c r="Z40" i="42" s="1"/>
  <c r="L40" i="42"/>
  <c r="N40" i="42" s="1"/>
  <c r="B40" i="42"/>
  <c r="Z39" i="42"/>
  <c r="X39" i="42"/>
  <c r="N39" i="42"/>
  <c r="L39" i="42"/>
  <c r="B39" i="42"/>
  <c r="X38" i="42"/>
  <c r="Z38" i="42" s="1"/>
  <c r="L38" i="42"/>
  <c r="N38" i="42" s="1"/>
  <c r="B38" i="42"/>
  <c r="Z37" i="42"/>
  <c r="X37" i="42"/>
  <c r="N37" i="42"/>
  <c r="L37" i="42"/>
  <c r="B37" i="42"/>
  <c r="X36" i="42"/>
  <c r="T36" i="42"/>
  <c r="P36" i="42"/>
  <c r="H36" i="42"/>
  <c r="D36" i="42"/>
  <c r="B36" i="42"/>
  <c r="Z35" i="42"/>
  <c r="X35" i="42"/>
  <c r="N35" i="42"/>
  <c r="L35" i="42"/>
  <c r="B35" i="42"/>
  <c r="X34" i="42"/>
  <c r="Z34" i="42" s="1"/>
  <c r="L34" i="42"/>
  <c r="N34" i="42" s="1"/>
  <c r="B34" i="42"/>
  <c r="Z33" i="42"/>
  <c r="X33" i="42"/>
  <c r="N33" i="42"/>
  <c r="L33" i="42"/>
  <c r="B33" i="42"/>
  <c r="Z32" i="42"/>
  <c r="X32" i="42"/>
  <c r="N32" i="42"/>
  <c r="L32" i="42"/>
  <c r="B32" i="42"/>
  <c r="Z31" i="42"/>
  <c r="X31" i="42"/>
  <c r="N31" i="42"/>
  <c r="L31" i="42"/>
  <c r="B31" i="42"/>
  <c r="X30" i="42"/>
  <c r="Z30" i="42" s="1"/>
  <c r="L30" i="42"/>
  <c r="N30" i="42" s="1"/>
  <c r="B30" i="42"/>
  <c r="Z29" i="42"/>
  <c r="X29" i="42"/>
  <c r="N29" i="42"/>
  <c r="L29" i="42"/>
  <c r="B29" i="42"/>
  <c r="X28" i="42"/>
  <c r="Z28" i="42" s="1"/>
  <c r="L28" i="42"/>
  <c r="N28" i="42" s="1"/>
  <c r="B28" i="42"/>
  <c r="Z27" i="42"/>
  <c r="X27" i="42"/>
  <c r="N27" i="42"/>
  <c r="L27" i="42"/>
  <c r="B27" i="42"/>
  <c r="T26" i="42"/>
  <c r="P26" i="42"/>
  <c r="H26" i="42"/>
  <c r="D26" i="42"/>
  <c r="L26" i="42" s="1"/>
  <c r="B26" i="42"/>
  <c r="T25" i="42" a="1"/>
  <c r="T25" i="42"/>
  <c r="P25" i="42" a="1"/>
  <c r="P25" i="42" s="1"/>
  <c r="H25" i="42" a="1"/>
  <c r="H25" i="42" s="1"/>
  <c r="D25" i="42" a="1"/>
  <c r="D25" i="42" s="1"/>
  <c r="L25" i="42" s="1"/>
  <c r="Z21" i="42"/>
  <c r="X21" i="42"/>
  <c r="N21" i="42"/>
  <c r="L21" i="42"/>
  <c r="B21" i="42"/>
  <c r="X20" i="42"/>
  <c r="Z20" i="42" s="1"/>
  <c r="L20" i="42"/>
  <c r="N20" i="42" s="1"/>
  <c r="B20" i="42"/>
  <c r="T19" i="42"/>
  <c r="P19" i="42"/>
  <c r="X19" i="42" s="1"/>
  <c r="Z19" i="42" s="1"/>
  <c r="N19" i="42"/>
  <c r="L19" i="42"/>
  <c r="H19" i="42"/>
  <c r="D19" i="42"/>
  <c r="T17" i="42"/>
  <c r="P17" i="42"/>
  <c r="N17" i="42"/>
  <c r="H17" i="42"/>
  <c r="L17" i="42" s="1"/>
  <c r="D17" i="42"/>
  <c r="B17" i="42"/>
  <c r="T16" i="42"/>
  <c r="P16" i="42"/>
  <c r="X16" i="42" s="1"/>
  <c r="Z16" i="42" s="1"/>
  <c r="N16" i="42"/>
  <c r="L16" i="42"/>
  <c r="H16" i="42"/>
  <c r="D16" i="42"/>
  <c r="B16" i="42"/>
  <c r="T15" i="42"/>
  <c r="P15" i="42"/>
  <c r="N15" i="42"/>
  <c r="H15" i="42"/>
  <c r="D15" i="42"/>
  <c r="L15" i="42" s="1"/>
  <c r="B15" i="42"/>
  <c r="X14" i="42"/>
  <c r="Z14" i="42" s="1"/>
  <c r="T14" i="42"/>
  <c r="P14" i="42"/>
  <c r="H14" i="42"/>
  <c r="D14" i="42"/>
  <c r="L14" i="42" s="1"/>
  <c r="B14" i="42"/>
  <c r="T13" i="42"/>
  <c r="T12" i="42" s="1"/>
  <c r="P13" i="42"/>
  <c r="X13" i="42" s="1"/>
  <c r="Z13" i="42" s="1"/>
  <c r="H13" i="42"/>
  <c r="D13" i="42"/>
  <c r="B13" i="42"/>
  <c r="D12" i="42"/>
  <c r="F103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L24" i="41" s="1"/>
  <c r="T22" i="4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D20" i="41"/>
  <c r="T16" i="41"/>
  <c r="Z16" i="41" s="1"/>
  <c r="P16" i="41"/>
  <c r="H16" i="41"/>
  <c r="D16" i="41"/>
  <c r="B16" i="41"/>
  <c r="T15" i="41"/>
  <c r="P15" i="41"/>
  <c r="H15" i="41"/>
  <c r="N15" i="41" s="1"/>
  <c r="D15" i="41"/>
  <c r="T13" i="41"/>
  <c r="P13" i="41"/>
  <c r="H13" i="41"/>
  <c r="N13" i="41" s="1"/>
  <c r="D13" i="41"/>
  <c r="B13" i="41"/>
  <c r="T12" i="41"/>
  <c r="V20" i="41" s="1"/>
  <c r="P12" i="41"/>
  <c r="R36" i="41" s="1"/>
  <c r="H12" i="41"/>
  <c r="D12" i="41"/>
  <c r="D5" i="41"/>
  <c r="D4" i="41"/>
  <c r="B39" i="40"/>
  <c r="B38" i="40"/>
  <c r="T34" i="40"/>
  <c r="Z34" i="40" s="1"/>
  <c r="P34" i="40"/>
  <c r="H34" i="40"/>
  <c r="D34" i="40"/>
  <c r="T33" i="40"/>
  <c r="P33" i="40"/>
  <c r="H33" i="40"/>
  <c r="N33" i="40" s="1"/>
  <c r="D33" i="40"/>
  <c r="T29" i="40"/>
  <c r="P29" i="40"/>
  <c r="H29" i="40"/>
  <c r="N29" i="40" s="1"/>
  <c r="D29" i="40"/>
  <c r="T25" i="40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X21" i="40" s="1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Z12" i="40" s="1"/>
  <c r="P12" i="40"/>
  <c r="H12" i="40"/>
  <c r="J16" i="40" s="1"/>
  <c r="D12" i="40"/>
  <c r="F34" i="40" s="1"/>
  <c r="D5" i="40"/>
  <c r="D4" i="40"/>
  <c r="X118" i="39"/>
  <c r="Z118" i="39" s="1"/>
  <c r="N118" i="39"/>
  <c r="L118" i="39"/>
  <c r="Z114" i="39"/>
  <c r="T114" i="39"/>
  <c r="P114" i="39"/>
  <c r="X114" i="39" s="1"/>
  <c r="N114" i="39"/>
  <c r="L114" i="39"/>
  <c r="H114" i="39"/>
  <c r="D114" i="39"/>
  <c r="B114" i="39"/>
  <c r="T113" i="39"/>
  <c r="P113" i="39"/>
  <c r="P111" i="39" s="1"/>
  <c r="H113" i="39"/>
  <c r="N113" i="39" s="1"/>
  <c r="D113" i="39"/>
  <c r="B113" i="39"/>
  <c r="T112" i="39"/>
  <c r="Z112" i="39" s="1"/>
  <c r="P112" i="39"/>
  <c r="X112" i="39" s="1"/>
  <c r="N112" i="39"/>
  <c r="H112" i="39"/>
  <c r="D112" i="39"/>
  <c r="L112" i="39" s="1"/>
  <c r="B112" i="39"/>
  <c r="H111" i="39"/>
  <c r="X109" i="39"/>
  <c r="Z109" i="39" s="1"/>
  <c r="L109" i="39"/>
  <c r="N109" i="39" s="1"/>
  <c r="B109" i="39"/>
  <c r="X108" i="39"/>
  <c r="T108" i="39"/>
  <c r="Z108" i="39" s="1"/>
  <c r="P108" i="39"/>
  <c r="H108" i="39"/>
  <c r="D108" i="39"/>
  <c r="L108" i="39" s="1"/>
  <c r="N108" i="39" s="1"/>
  <c r="B108" i="39"/>
  <c r="X107" i="39"/>
  <c r="Z107" i="39" s="1"/>
  <c r="N107" i="39"/>
  <c r="L107" i="39"/>
  <c r="B107" i="39"/>
  <c r="Z106" i="39"/>
  <c r="X106" i="39"/>
  <c r="N106" i="39"/>
  <c r="L106" i="39"/>
  <c r="B106" i="39"/>
  <c r="T105" i="39"/>
  <c r="P105" i="39"/>
  <c r="X105" i="39" s="1"/>
  <c r="H105" i="39"/>
  <c r="N105" i="39" s="1"/>
  <c r="D105" i="39"/>
  <c r="L105" i="39" s="1"/>
  <c r="B105" i="39"/>
  <c r="Z104" i="39"/>
  <c r="X104" i="39"/>
  <c r="N104" i="39"/>
  <c r="L104" i="39"/>
  <c r="B104" i="39"/>
  <c r="T103" i="39"/>
  <c r="P103" i="39"/>
  <c r="X103" i="39" s="1"/>
  <c r="L103" i="39"/>
  <c r="H103" i="39"/>
  <c r="N103" i="39" s="1"/>
  <c r="D103" i="39"/>
  <c r="B103" i="39"/>
  <c r="Z102" i="39"/>
  <c r="X102" i="39"/>
  <c r="N102" i="39"/>
  <c r="L102" i="39"/>
  <c r="B102" i="39"/>
  <c r="X101" i="39"/>
  <c r="T101" i="39"/>
  <c r="P101" i="39"/>
  <c r="H101" i="39"/>
  <c r="D101" i="39"/>
  <c r="B101" i="39"/>
  <c r="Z100" i="39"/>
  <c r="X100" i="39"/>
  <c r="N100" i="39"/>
  <c r="L100" i="39"/>
  <c r="B100" i="39"/>
  <c r="X99" i="39"/>
  <c r="Z99" i="39" s="1"/>
  <c r="N99" i="39"/>
  <c r="L99" i="39"/>
  <c r="B99" i="39"/>
  <c r="Z98" i="39"/>
  <c r="X98" i="39"/>
  <c r="N98" i="39"/>
  <c r="L98" i="39"/>
  <c r="B98" i="39"/>
  <c r="X97" i="39"/>
  <c r="Z97" i="39" s="1"/>
  <c r="L97" i="39"/>
  <c r="N97" i="39" s="1"/>
  <c r="B97" i="39"/>
  <c r="Z96" i="39"/>
  <c r="X96" i="39"/>
  <c r="N96" i="39"/>
  <c r="L96" i="39"/>
  <c r="B96" i="39"/>
  <c r="X95" i="39"/>
  <c r="Z95" i="39" s="1"/>
  <c r="N95" i="39"/>
  <c r="L95" i="39"/>
  <c r="B95" i="39"/>
  <c r="Z94" i="39"/>
  <c r="X94" i="39"/>
  <c r="N94" i="39"/>
  <c r="L94" i="39"/>
  <c r="B94" i="39"/>
  <c r="X93" i="39"/>
  <c r="Z93" i="39" s="1"/>
  <c r="N93" i="39"/>
  <c r="L93" i="39"/>
  <c r="B93" i="39"/>
  <c r="X92" i="39"/>
  <c r="Z92" i="39" s="1"/>
  <c r="N92" i="39"/>
  <c r="L92" i="39"/>
  <c r="B92" i="39"/>
  <c r="T91" i="39"/>
  <c r="P91" i="39"/>
  <c r="H91" i="39"/>
  <c r="N91" i="39" s="1"/>
  <c r="D91" i="39"/>
  <c r="L91" i="39" s="1"/>
  <c r="B91" i="39"/>
  <c r="Z90" i="39"/>
  <c r="X90" i="39"/>
  <c r="N90" i="39"/>
  <c r="L90" i="39"/>
  <c r="B90" i="39"/>
  <c r="T89" i="39"/>
  <c r="P89" i="39"/>
  <c r="X89" i="39" s="1"/>
  <c r="H89" i="39"/>
  <c r="D89" i="39"/>
  <c r="L89" i="39" s="1"/>
  <c r="B89" i="39"/>
  <c r="Z88" i="39"/>
  <c r="X88" i="39"/>
  <c r="N88" i="39"/>
  <c r="L88" i="39"/>
  <c r="B88" i="39"/>
  <c r="X87" i="39"/>
  <c r="Z87" i="39" s="1"/>
  <c r="L87" i="39"/>
  <c r="N87" i="39" s="1"/>
  <c r="B87" i="39"/>
  <c r="Z86" i="39"/>
  <c r="X86" i="39"/>
  <c r="N86" i="39"/>
  <c r="L86" i="39"/>
  <c r="B86" i="39"/>
  <c r="X85" i="39"/>
  <c r="Z85" i="39" s="1"/>
  <c r="L85" i="39"/>
  <c r="N85" i="39" s="1"/>
  <c r="B85" i="39"/>
  <c r="X84" i="39"/>
  <c r="Z84" i="39" s="1"/>
  <c r="T84" i="39"/>
  <c r="P84" i="39"/>
  <c r="H84" i="39"/>
  <c r="D84" i="39"/>
  <c r="L84" i="39" s="1"/>
  <c r="N84" i="39" s="1"/>
  <c r="B84" i="39"/>
  <c r="X83" i="39"/>
  <c r="Z83" i="39" s="1"/>
  <c r="N83" i="39"/>
  <c r="L83" i="39"/>
  <c r="B83" i="39"/>
  <c r="T82" i="39"/>
  <c r="P82" i="39"/>
  <c r="X82" i="39" s="1"/>
  <c r="Z82" i="39" s="1"/>
  <c r="N82" i="39"/>
  <c r="H82" i="39"/>
  <c r="D82" i="39"/>
  <c r="L82" i="39" s="1"/>
  <c r="B82" i="39"/>
  <c r="X81" i="39"/>
  <c r="Z81" i="39" s="1"/>
  <c r="L81" i="39"/>
  <c r="N81" i="39" s="1"/>
  <c r="B81" i="39"/>
  <c r="Z80" i="39"/>
  <c r="X80" i="39"/>
  <c r="L80" i="39"/>
  <c r="N80" i="39" s="1"/>
  <c r="B80" i="39"/>
  <c r="X79" i="39"/>
  <c r="Z79" i="39" s="1"/>
  <c r="L79" i="39"/>
  <c r="N79" i="39" s="1"/>
  <c r="B79" i="39"/>
  <c r="Z78" i="39"/>
  <c r="X78" i="39"/>
  <c r="N78" i="39"/>
  <c r="L78" i="39"/>
  <c r="B78" i="39"/>
  <c r="T77" i="39"/>
  <c r="P77" i="39"/>
  <c r="X77" i="39" s="1"/>
  <c r="H77" i="39"/>
  <c r="N77" i="39" s="1"/>
  <c r="D77" i="39"/>
  <c r="L77" i="39" s="1"/>
  <c r="B77" i="39"/>
  <c r="Z76" i="39"/>
  <c r="X76" i="39"/>
  <c r="N76" i="39"/>
  <c r="L76" i="39"/>
  <c r="B76" i="39"/>
  <c r="T75" i="39"/>
  <c r="Z75" i="39" s="1"/>
  <c r="P75" i="39"/>
  <c r="X75" i="39" s="1"/>
  <c r="L75" i="39"/>
  <c r="H75" i="39"/>
  <c r="N75" i="39" s="1"/>
  <c r="D75" i="39"/>
  <c r="B75" i="39"/>
  <c r="Z74" i="39"/>
  <c r="X74" i="39"/>
  <c r="N74" i="39"/>
  <c r="L74" i="39"/>
  <c r="B74" i="39"/>
  <c r="X73" i="39"/>
  <c r="T73" i="39"/>
  <c r="Z73" i="39" s="1"/>
  <c r="P73" i="39"/>
  <c r="H73" i="39"/>
  <c r="D73" i="39"/>
  <c r="B73" i="39"/>
  <c r="X72" i="39"/>
  <c r="Z72" i="39" s="1"/>
  <c r="N72" i="39"/>
  <c r="L72" i="39"/>
  <c r="B72" i="39"/>
  <c r="T71" i="39"/>
  <c r="P71" i="39"/>
  <c r="H71" i="39"/>
  <c r="N71" i="39" s="1"/>
  <c r="D71" i="39"/>
  <c r="L71" i="39" s="1"/>
  <c r="B71" i="39"/>
  <c r="Z70" i="39"/>
  <c r="X70" i="39"/>
  <c r="N70" i="39"/>
  <c r="L70" i="39"/>
  <c r="B70" i="39"/>
  <c r="T69" i="39"/>
  <c r="P69" i="39"/>
  <c r="X69" i="39" s="1"/>
  <c r="H69" i="39"/>
  <c r="N69" i="39" s="1"/>
  <c r="D69" i="39"/>
  <c r="L69" i="39" s="1"/>
  <c r="B69" i="39"/>
  <c r="Z68" i="39"/>
  <c r="X68" i="39"/>
  <c r="N68" i="39"/>
  <c r="L68" i="39"/>
  <c r="B68" i="39"/>
  <c r="X67" i="39"/>
  <c r="Z67" i="39" s="1"/>
  <c r="L67" i="39"/>
  <c r="N67" i="39" s="1"/>
  <c r="B67" i="39"/>
  <c r="T66" i="39"/>
  <c r="P66" i="39"/>
  <c r="X66" i="39" s="1"/>
  <c r="Z66" i="39" s="1"/>
  <c r="H66" i="39"/>
  <c r="D66" i="39"/>
  <c r="L66" i="39" s="1"/>
  <c r="N66" i="39" s="1"/>
  <c r="B66" i="39"/>
  <c r="X65" i="39"/>
  <c r="Z65" i="39" s="1"/>
  <c r="L65" i="39"/>
  <c r="N65" i="39" s="1"/>
  <c r="B65" i="39"/>
  <c r="Z64" i="39"/>
  <c r="T64" i="39"/>
  <c r="P64" i="39"/>
  <c r="X64" i="39" s="1"/>
  <c r="N64" i="39"/>
  <c r="L64" i="39"/>
  <c r="H64" i="39"/>
  <c r="D64" i="39"/>
  <c r="B64" i="39"/>
  <c r="X63" i="39"/>
  <c r="Z63" i="39" s="1"/>
  <c r="N63" i="39"/>
  <c r="L63" i="39"/>
  <c r="B63" i="39"/>
  <c r="Z62" i="39"/>
  <c r="X62" i="39"/>
  <c r="T62" i="39"/>
  <c r="P62" i="39"/>
  <c r="N62" i="39"/>
  <c r="L62" i="39"/>
  <c r="H62" i="39"/>
  <c r="D62" i="39"/>
  <c r="B62" i="39"/>
  <c r="X61" i="39"/>
  <c r="Z61" i="39" s="1"/>
  <c r="L61" i="39"/>
  <c r="N61" i="39" s="1"/>
  <c r="B61" i="39"/>
  <c r="X60" i="39"/>
  <c r="Z60" i="39" s="1"/>
  <c r="N60" i="39"/>
  <c r="L60" i="39"/>
  <c r="B60" i="39"/>
  <c r="T59" i="39"/>
  <c r="P59" i="39"/>
  <c r="H59" i="39"/>
  <c r="D59" i="39"/>
  <c r="L59" i="39" s="1"/>
  <c r="B59" i="39"/>
  <c r="Z58" i="39"/>
  <c r="X58" i="39"/>
  <c r="N58" i="39"/>
  <c r="L58" i="39"/>
  <c r="B58" i="39"/>
  <c r="T57" i="39"/>
  <c r="Z57" i="39" s="1"/>
  <c r="P57" i="39"/>
  <c r="X57" i="39" s="1"/>
  <c r="H57" i="39"/>
  <c r="N57" i="39" s="1"/>
  <c r="D57" i="39"/>
  <c r="L57" i="39" s="1"/>
  <c r="B57" i="39"/>
  <c r="Z56" i="39"/>
  <c r="X56" i="39"/>
  <c r="L56" i="39"/>
  <c r="N56" i="39" s="1"/>
  <c r="B56" i="39"/>
  <c r="T55" i="39"/>
  <c r="P55" i="39"/>
  <c r="X55" i="39" s="1"/>
  <c r="L55" i="39"/>
  <c r="H55" i="39"/>
  <c r="N55" i="39" s="1"/>
  <c r="D55" i="39"/>
  <c r="B55" i="39"/>
  <c r="Z54" i="39"/>
  <c r="X54" i="39"/>
  <c r="N54" i="39"/>
  <c r="L54" i="39"/>
  <c r="B54" i="39"/>
  <c r="X53" i="39"/>
  <c r="T53" i="39"/>
  <c r="P53" i="39"/>
  <c r="H53" i="39"/>
  <c r="D53" i="39"/>
  <c r="B53" i="39"/>
  <c r="Z52" i="39"/>
  <c r="X52" i="39"/>
  <c r="N52" i="39"/>
  <c r="L52" i="39"/>
  <c r="B52" i="39"/>
  <c r="X51" i="39"/>
  <c r="Z51" i="39" s="1"/>
  <c r="L51" i="39"/>
  <c r="N51" i="39" s="1"/>
  <c r="B51" i="39"/>
  <c r="Z50" i="39"/>
  <c r="X50" i="39"/>
  <c r="N50" i="39"/>
  <c r="L50" i="39"/>
  <c r="B50" i="39"/>
  <c r="X49" i="39"/>
  <c r="Z49" i="39" s="1"/>
  <c r="L49" i="39"/>
  <c r="N49" i="39" s="1"/>
  <c r="B49" i="39"/>
  <c r="Z48" i="39"/>
  <c r="X48" i="39"/>
  <c r="L48" i="39"/>
  <c r="N48" i="39" s="1"/>
  <c r="B48" i="39"/>
  <c r="X47" i="39"/>
  <c r="Z47" i="39" s="1"/>
  <c r="L47" i="39"/>
  <c r="N47" i="39" s="1"/>
  <c r="B47" i="39"/>
  <c r="Z46" i="39"/>
  <c r="X46" i="39"/>
  <c r="N46" i="39"/>
  <c r="L46" i="39"/>
  <c r="B46" i="39"/>
  <c r="T45" i="39"/>
  <c r="P45" i="39"/>
  <c r="X45" i="39" s="1"/>
  <c r="H45" i="39"/>
  <c r="N45" i="39" s="1"/>
  <c r="D45" i="39"/>
  <c r="L45" i="39" s="1"/>
  <c r="B45" i="39"/>
  <c r="Z44" i="39"/>
  <c r="X44" i="39"/>
  <c r="L44" i="39"/>
  <c r="N44" i="39" s="1"/>
  <c r="B44" i="39"/>
  <c r="X43" i="39"/>
  <c r="Z43" i="39" s="1"/>
  <c r="L43" i="39"/>
  <c r="N43" i="39" s="1"/>
  <c r="B43" i="39"/>
  <c r="Z42" i="39"/>
  <c r="X42" i="39"/>
  <c r="N42" i="39"/>
  <c r="L42" i="39"/>
  <c r="B42" i="39"/>
  <c r="Z41" i="39"/>
  <c r="X41" i="39"/>
  <c r="N41" i="39"/>
  <c r="L41" i="39"/>
  <c r="B41" i="39"/>
  <c r="X40" i="39"/>
  <c r="Z40" i="39" s="1"/>
  <c r="N40" i="39"/>
  <c r="L40" i="39"/>
  <c r="B40" i="39"/>
  <c r="X39" i="39"/>
  <c r="Z39" i="39" s="1"/>
  <c r="L39" i="39"/>
  <c r="N39" i="39" s="1"/>
  <c r="B39" i="39"/>
  <c r="Z38" i="39"/>
  <c r="X38" i="39"/>
  <c r="N38" i="39"/>
  <c r="L38" i="39"/>
  <c r="B38" i="39"/>
  <c r="X37" i="39"/>
  <c r="Z37" i="39" s="1"/>
  <c r="L37" i="39"/>
  <c r="N37" i="39" s="1"/>
  <c r="B37" i="39"/>
  <c r="Z36" i="39"/>
  <c r="X36" i="39"/>
  <c r="L36" i="39"/>
  <c r="N36" i="39" s="1"/>
  <c r="B36" i="39"/>
  <c r="T35" i="39"/>
  <c r="P35" i="39"/>
  <c r="X35" i="39" s="1"/>
  <c r="L35" i="39"/>
  <c r="H35" i="39"/>
  <c r="N35" i="39" s="1"/>
  <c r="D35" i="39"/>
  <c r="B35" i="39"/>
  <c r="T34" i="39" a="1"/>
  <c r="T34" i="39" s="1"/>
  <c r="P34" i="39" a="1"/>
  <c r="P34" i="39" s="1"/>
  <c r="H34" i="39" a="1"/>
  <c r="H34" i="39" s="1"/>
  <c r="D34" i="39" a="1"/>
  <c r="D34" i="39" s="1"/>
  <c r="Z30" i="39"/>
  <c r="X30" i="39"/>
  <c r="N30" i="39"/>
  <c r="L30" i="39"/>
  <c r="B30" i="39"/>
  <c r="X29" i="39"/>
  <c r="Z29" i="39" s="1"/>
  <c r="R29" i="39"/>
  <c r="L29" i="39"/>
  <c r="N29" i="39" s="1"/>
  <c r="B29" i="39"/>
  <c r="Z28" i="39"/>
  <c r="X28" i="39"/>
  <c r="N28" i="39"/>
  <c r="L28" i="39"/>
  <c r="B28" i="39"/>
  <c r="X27" i="39"/>
  <c r="T27" i="39"/>
  <c r="P27" i="39"/>
  <c r="H27" i="39"/>
  <c r="D27" i="39"/>
  <c r="T25" i="39"/>
  <c r="P25" i="39"/>
  <c r="X25" i="39" s="1"/>
  <c r="Z25" i="39" s="1"/>
  <c r="L25" i="39"/>
  <c r="N25" i="39" s="1"/>
  <c r="H25" i="39"/>
  <c r="D25" i="39"/>
  <c r="B25" i="39"/>
  <c r="T24" i="39"/>
  <c r="Z24" i="39" s="1"/>
  <c r="P24" i="39"/>
  <c r="X24" i="39" s="1"/>
  <c r="N24" i="39"/>
  <c r="H24" i="39"/>
  <c r="L24" i="39" s="1"/>
  <c r="D24" i="39"/>
  <c r="B24" i="39"/>
  <c r="T23" i="39"/>
  <c r="Z23" i="39" s="1"/>
  <c r="P23" i="39"/>
  <c r="X23" i="39" s="1"/>
  <c r="N23" i="39"/>
  <c r="L23" i="39"/>
  <c r="H23" i="39"/>
  <c r="D23" i="39"/>
  <c r="B23" i="39"/>
  <c r="T22" i="39"/>
  <c r="P22" i="39"/>
  <c r="N22" i="39"/>
  <c r="H22" i="39"/>
  <c r="L22" i="39" s="1"/>
  <c r="D22" i="39"/>
  <c r="B22" i="39"/>
  <c r="T21" i="39"/>
  <c r="P21" i="39"/>
  <c r="X21" i="39" s="1"/>
  <c r="Z21" i="39" s="1"/>
  <c r="N21" i="39"/>
  <c r="H21" i="39"/>
  <c r="D21" i="39"/>
  <c r="L21" i="39" s="1"/>
  <c r="B21" i="39"/>
  <c r="Z20" i="39"/>
  <c r="T20" i="39"/>
  <c r="X20" i="39" s="1"/>
  <c r="P20" i="39"/>
  <c r="H20" i="39"/>
  <c r="N20" i="39" s="1"/>
  <c r="D20" i="39"/>
  <c r="L20" i="39" s="1"/>
  <c r="B20" i="39"/>
  <c r="X19" i="39"/>
  <c r="Z19" i="39" s="1"/>
  <c r="T19" i="39"/>
  <c r="P19" i="39"/>
  <c r="H19" i="39"/>
  <c r="N19" i="39" s="1"/>
  <c r="D19" i="39"/>
  <c r="L19" i="39" s="1"/>
  <c r="B19" i="39"/>
  <c r="Z18" i="39"/>
  <c r="T18" i="39"/>
  <c r="X18" i="39" s="1"/>
  <c r="P18" i="39"/>
  <c r="H18" i="39"/>
  <c r="D18" i="39"/>
  <c r="B18" i="39"/>
  <c r="T17" i="39"/>
  <c r="P17" i="39"/>
  <c r="X17" i="39" s="1"/>
  <c r="Z17" i="39" s="1"/>
  <c r="H17" i="39"/>
  <c r="D17" i="39"/>
  <c r="L17" i="39" s="1"/>
  <c r="N17" i="39" s="1"/>
  <c r="B17" i="39"/>
  <c r="T16" i="39"/>
  <c r="Z16" i="39" s="1"/>
  <c r="P16" i="39"/>
  <c r="X16" i="39" s="1"/>
  <c r="H16" i="39"/>
  <c r="D16" i="39"/>
  <c r="B16" i="39"/>
  <c r="T15" i="39"/>
  <c r="Z15" i="39" s="1"/>
  <c r="P15" i="39"/>
  <c r="X15" i="39" s="1"/>
  <c r="N15" i="39"/>
  <c r="L15" i="39"/>
  <c r="H15" i="39"/>
  <c r="D15" i="39"/>
  <c r="B15" i="39"/>
  <c r="T14" i="39"/>
  <c r="P14" i="39"/>
  <c r="N14" i="39"/>
  <c r="H14" i="39"/>
  <c r="L14" i="39" s="1"/>
  <c r="D14" i="39"/>
  <c r="B14" i="39"/>
  <c r="Z13" i="39"/>
  <c r="T13" i="39"/>
  <c r="P13" i="39"/>
  <c r="P12" i="39" s="1"/>
  <c r="R99" i="39" s="1"/>
  <c r="N13" i="39"/>
  <c r="H13" i="39"/>
  <c r="D13" i="39"/>
  <c r="L13" i="39" s="1"/>
  <c r="B13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Z12" i="38" s="1"/>
  <c r="P12" i="38"/>
  <c r="R34" i="38" s="1"/>
  <c r="H12" i="38"/>
  <c r="J18" i="38" s="1"/>
  <c r="D12" i="38"/>
  <c r="F21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16" i="37" s="1"/>
  <c r="P12" i="37"/>
  <c r="R20" i="37" s="1"/>
  <c r="H12" i="37"/>
  <c r="J18" i="37" s="1"/>
  <c r="D12" i="37"/>
  <c r="F15" i="37" s="1"/>
  <c r="D5" i="37"/>
  <c r="D4" i="37"/>
  <c r="X116" i="36"/>
  <c r="Z116" i="36" s="1"/>
  <c r="L116" i="36"/>
  <c r="N116" i="36" s="1"/>
  <c r="X112" i="36"/>
  <c r="T112" i="36"/>
  <c r="P112" i="36"/>
  <c r="H112" i="36"/>
  <c r="N112" i="36" s="1"/>
  <c r="D112" i="36"/>
  <c r="L112" i="36" s="1"/>
  <c r="B112" i="36"/>
  <c r="Z111" i="36"/>
  <c r="T111" i="36"/>
  <c r="P111" i="36"/>
  <c r="X111" i="36" s="1"/>
  <c r="N111" i="36"/>
  <c r="H111" i="36"/>
  <c r="D111" i="36"/>
  <c r="L111" i="36" s="1"/>
  <c r="B111" i="36"/>
  <c r="T110" i="36"/>
  <c r="P110" i="36"/>
  <c r="P109" i="36" s="1"/>
  <c r="H110" i="36"/>
  <c r="D110" i="36"/>
  <c r="D109" i="36" s="1"/>
  <c r="B110" i="36"/>
  <c r="Z107" i="36"/>
  <c r="X107" i="36"/>
  <c r="N107" i="36"/>
  <c r="L107" i="36"/>
  <c r="B107" i="36"/>
  <c r="T106" i="36"/>
  <c r="P106" i="36"/>
  <c r="X106" i="36" s="1"/>
  <c r="L106" i="36"/>
  <c r="H106" i="36"/>
  <c r="D106" i="36"/>
  <c r="B106" i="36"/>
  <c r="Z105" i="36"/>
  <c r="X105" i="36"/>
  <c r="N105" i="36"/>
  <c r="L105" i="36"/>
  <c r="B105" i="36"/>
  <c r="Z104" i="36"/>
  <c r="X104" i="36"/>
  <c r="N104" i="36"/>
  <c r="L104" i="36"/>
  <c r="B104" i="36"/>
  <c r="T103" i="36"/>
  <c r="P103" i="36"/>
  <c r="X103" i="36" s="1"/>
  <c r="Z103" i="36" s="1"/>
  <c r="N103" i="36"/>
  <c r="L103" i="36"/>
  <c r="H103" i="36"/>
  <c r="D103" i="36"/>
  <c r="B103" i="36"/>
  <c r="X102" i="36"/>
  <c r="Z102" i="36" s="1"/>
  <c r="L102" i="36"/>
  <c r="N102" i="36" s="1"/>
  <c r="B102" i="36"/>
  <c r="Z101" i="36"/>
  <c r="X101" i="36"/>
  <c r="T101" i="36"/>
  <c r="P101" i="36"/>
  <c r="L101" i="36"/>
  <c r="N101" i="36" s="1"/>
  <c r="H101" i="36"/>
  <c r="D101" i="36"/>
  <c r="B101" i="36"/>
  <c r="X100" i="36"/>
  <c r="Z100" i="36" s="1"/>
  <c r="L100" i="36"/>
  <c r="N100" i="36" s="1"/>
  <c r="B100" i="36"/>
  <c r="Z99" i="36"/>
  <c r="X99" i="36"/>
  <c r="T99" i="36"/>
  <c r="P99" i="36"/>
  <c r="H99" i="36"/>
  <c r="D99" i="36"/>
  <c r="B99" i="36"/>
  <c r="X98" i="36"/>
  <c r="Z98" i="36" s="1"/>
  <c r="N98" i="36"/>
  <c r="L98" i="36"/>
  <c r="B98" i="36"/>
  <c r="Z97" i="36"/>
  <c r="X97" i="36"/>
  <c r="N97" i="36"/>
  <c r="L97" i="36"/>
  <c r="B97" i="36"/>
  <c r="Z96" i="36"/>
  <c r="X96" i="36"/>
  <c r="N96" i="36"/>
  <c r="L96" i="36"/>
  <c r="B96" i="36"/>
  <c r="X95" i="36"/>
  <c r="Z95" i="36" s="1"/>
  <c r="N95" i="36"/>
  <c r="L95" i="36"/>
  <c r="B95" i="36"/>
  <c r="Z94" i="36"/>
  <c r="X94" i="36"/>
  <c r="L94" i="36"/>
  <c r="N94" i="36" s="1"/>
  <c r="B94" i="36"/>
  <c r="Z93" i="36"/>
  <c r="X93" i="36"/>
  <c r="N93" i="36"/>
  <c r="L93" i="36"/>
  <c r="B93" i="36"/>
  <c r="X92" i="36"/>
  <c r="Z92" i="36" s="1"/>
  <c r="L92" i="36"/>
  <c r="N92" i="36" s="1"/>
  <c r="B92" i="36"/>
  <c r="Z91" i="36"/>
  <c r="X91" i="36"/>
  <c r="N91" i="36"/>
  <c r="L91" i="36"/>
  <c r="B91" i="36"/>
  <c r="X90" i="36"/>
  <c r="Z90" i="36" s="1"/>
  <c r="N90" i="36"/>
  <c r="L90" i="36"/>
  <c r="B90" i="36"/>
  <c r="T89" i="36"/>
  <c r="P89" i="36"/>
  <c r="H89" i="36"/>
  <c r="D89" i="36"/>
  <c r="L89" i="36" s="1"/>
  <c r="N89" i="36" s="1"/>
  <c r="B89" i="36"/>
  <c r="Z88" i="36"/>
  <c r="X88" i="36"/>
  <c r="L88" i="36"/>
  <c r="N88" i="36" s="1"/>
  <c r="B88" i="36"/>
  <c r="Z87" i="36"/>
  <c r="X87" i="36"/>
  <c r="N87" i="36"/>
  <c r="L87" i="36"/>
  <c r="B87" i="36"/>
  <c r="T86" i="36"/>
  <c r="P86" i="36"/>
  <c r="H86" i="36"/>
  <c r="D86" i="36"/>
  <c r="L86" i="36" s="1"/>
  <c r="B86" i="36"/>
  <c r="Z85" i="36"/>
  <c r="X85" i="36"/>
  <c r="N85" i="36"/>
  <c r="L85" i="36"/>
  <c r="B85" i="36"/>
  <c r="Z84" i="36"/>
  <c r="X84" i="36"/>
  <c r="L84" i="36"/>
  <c r="N84" i="36" s="1"/>
  <c r="B84" i="36"/>
  <c r="Z83" i="36"/>
  <c r="X83" i="36"/>
  <c r="L83" i="36"/>
  <c r="N83" i="36" s="1"/>
  <c r="B83" i="36"/>
  <c r="X82" i="36"/>
  <c r="Z82" i="36" s="1"/>
  <c r="L82" i="36"/>
  <c r="N82" i="36" s="1"/>
  <c r="B82" i="36"/>
  <c r="T81" i="36"/>
  <c r="P81" i="36"/>
  <c r="H81" i="36"/>
  <c r="D81" i="36"/>
  <c r="L81" i="36" s="1"/>
  <c r="N81" i="36" s="1"/>
  <c r="B81" i="36"/>
  <c r="Z80" i="36"/>
  <c r="X80" i="36"/>
  <c r="N80" i="36"/>
  <c r="L80" i="36"/>
  <c r="B80" i="36"/>
  <c r="Z79" i="36"/>
  <c r="T79" i="36"/>
  <c r="P79" i="36"/>
  <c r="X79" i="36" s="1"/>
  <c r="H79" i="36"/>
  <c r="N79" i="36" s="1"/>
  <c r="D79" i="36"/>
  <c r="L79" i="36" s="1"/>
  <c r="B79" i="36"/>
  <c r="Z78" i="36"/>
  <c r="X78" i="36"/>
  <c r="L78" i="36"/>
  <c r="N78" i="36" s="1"/>
  <c r="B78" i="36"/>
  <c r="X77" i="36"/>
  <c r="Z77" i="36" s="1"/>
  <c r="N77" i="36"/>
  <c r="L77" i="36"/>
  <c r="B77" i="36"/>
  <c r="X76" i="36"/>
  <c r="Z76" i="36" s="1"/>
  <c r="L76" i="36"/>
  <c r="N76" i="36" s="1"/>
  <c r="B76" i="36"/>
  <c r="Z75" i="36"/>
  <c r="X75" i="36"/>
  <c r="N75" i="36"/>
  <c r="L75" i="36"/>
  <c r="B75" i="36"/>
  <c r="T74" i="36"/>
  <c r="P74" i="36"/>
  <c r="H74" i="36"/>
  <c r="N74" i="36" s="1"/>
  <c r="D74" i="36"/>
  <c r="L74" i="36" s="1"/>
  <c r="B74" i="36"/>
  <c r="X73" i="36"/>
  <c r="Z73" i="36" s="1"/>
  <c r="N73" i="36"/>
  <c r="L73" i="36"/>
  <c r="B73" i="36"/>
  <c r="T72" i="36"/>
  <c r="Z72" i="36" s="1"/>
  <c r="P72" i="36"/>
  <c r="X72" i="36" s="1"/>
  <c r="H72" i="36"/>
  <c r="N72" i="36" s="1"/>
  <c r="D72" i="36"/>
  <c r="L72" i="36" s="1"/>
  <c r="B72" i="36"/>
  <c r="Z71" i="36"/>
  <c r="X71" i="36"/>
  <c r="N71" i="36"/>
  <c r="L71" i="36"/>
  <c r="B71" i="36"/>
  <c r="T70" i="36"/>
  <c r="P70" i="36"/>
  <c r="X70" i="36" s="1"/>
  <c r="L70" i="36"/>
  <c r="N70" i="36" s="1"/>
  <c r="H70" i="36"/>
  <c r="D70" i="36"/>
  <c r="B70" i="36"/>
  <c r="Z69" i="36"/>
  <c r="X69" i="36"/>
  <c r="L69" i="36"/>
  <c r="N69" i="36" s="1"/>
  <c r="B69" i="36"/>
  <c r="X68" i="36"/>
  <c r="Z68" i="36" s="1"/>
  <c r="T68" i="36"/>
  <c r="P68" i="36"/>
  <c r="H68" i="36"/>
  <c r="D68" i="36"/>
  <c r="B68" i="36"/>
  <c r="Z67" i="36"/>
  <c r="X67" i="36"/>
  <c r="N67" i="36"/>
  <c r="L67" i="36"/>
  <c r="B67" i="36"/>
  <c r="T66" i="36"/>
  <c r="P66" i="36"/>
  <c r="H66" i="36"/>
  <c r="D66" i="36"/>
  <c r="L66" i="36" s="1"/>
  <c r="B66" i="36"/>
  <c r="X65" i="36"/>
  <c r="Z65" i="36" s="1"/>
  <c r="N65" i="36"/>
  <c r="L65" i="36"/>
  <c r="B65" i="36"/>
  <c r="T64" i="36"/>
  <c r="P64" i="36"/>
  <c r="X64" i="36" s="1"/>
  <c r="H64" i="36"/>
  <c r="D64" i="36"/>
  <c r="L64" i="36" s="1"/>
  <c r="B64" i="36"/>
  <c r="Z63" i="36"/>
  <c r="X63" i="36"/>
  <c r="N63" i="36"/>
  <c r="L63" i="36"/>
  <c r="B63" i="36"/>
  <c r="T62" i="36"/>
  <c r="P62" i="36"/>
  <c r="X62" i="36" s="1"/>
  <c r="N62" i="36"/>
  <c r="L62" i="36"/>
  <c r="H62" i="36"/>
  <c r="D62" i="36"/>
  <c r="B62" i="36"/>
  <c r="Z61" i="36"/>
  <c r="X61" i="36"/>
  <c r="N61" i="36"/>
  <c r="L61" i="36"/>
  <c r="B61" i="36"/>
  <c r="X60" i="36"/>
  <c r="Z60" i="36" s="1"/>
  <c r="T60" i="36"/>
  <c r="P60" i="36"/>
  <c r="H60" i="36"/>
  <c r="D60" i="36"/>
  <c r="B60" i="36"/>
  <c r="Z59" i="36"/>
  <c r="X59" i="36"/>
  <c r="N59" i="36"/>
  <c r="L59" i="36"/>
  <c r="B59" i="36"/>
  <c r="T58" i="36"/>
  <c r="P58" i="36"/>
  <c r="H58" i="36"/>
  <c r="N58" i="36" s="1"/>
  <c r="D58" i="36"/>
  <c r="L58" i="36" s="1"/>
  <c r="B58" i="36"/>
  <c r="X57" i="36"/>
  <c r="Z57" i="36" s="1"/>
  <c r="N57" i="36"/>
  <c r="L57" i="36"/>
  <c r="B57" i="36"/>
  <c r="T56" i="36"/>
  <c r="P56" i="36"/>
  <c r="X56" i="36" s="1"/>
  <c r="H56" i="36"/>
  <c r="N56" i="36" s="1"/>
  <c r="D56" i="36"/>
  <c r="L56" i="36" s="1"/>
  <c r="B56" i="36"/>
  <c r="Z55" i="36"/>
  <c r="X55" i="36"/>
  <c r="N55" i="36"/>
  <c r="L55" i="36"/>
  <c r="B55" i="36"/>
  <c r="Z54" i="36"/>
  <c r="X54" i="36"/>
  <c r="L54" i="36"/>
  <c r="N54" i="36" s="1"/>
  <c r="B54" i="36"/>
  <c r="T53" i="36"/>
  <c r="Z53" i="36" s="1"/>
  <c r="P53" i="36"/>
  <c r="X53" i="36" s="1"/>
  <c r="N53" i="36"/>
  <c r="L53" i="36"/>
  <c r="H53" i="36"/>
  <c r="D53" i="36"/>
  <c r="B53" i="36"/>
  <c r="X52" i="36"/>
  <c r="Z52" i="36" s="1"/>
  <c r="L52" i="36"/>
  <c r="N52" i="36" s="1"/>
  <c r="B52" i="36"/>
  <c r="Z51" i="36"/>
  <c r="X51" i="36"/>
  <c r="T51" i="36"/>
  <c r="P51" i="36"/>
  <c r="N51" i="36"/>
  <c r="L51" i="36"/>
  <c r="H51" i="36"/>
  <c r="D51" i="36"/>
  <c r="B51" i="36"/>
  <c r="X50" i="36"/>
  <c r="Z50" i="36" s="1"/>
  <c r="N50" i="36"/>
  <c r="L50" i="36"/>
  <c r="B50" i="36"/>
  <c r="Z49" i="36"/>
  <c r="X49" i="36"/>
  <c r="T49" i="36"/>
  <c r="P49" i="36"/>
  <c r="H49" i="36"/>
  <c r="D49" i="36"/>
  <c r="L49" i="36" s="1"/>
  <c r="N49" i="36" s="1"/>
  <c r="B49" i="36"/>
  <c r="X48" i="36"/>
  <c r="Z48" i="36" s="1"/>
  <c r="L48" i="36"/>
  <c r="N48" i="36" s="1"/>
  <c r="B48" i="36"/>
  <c r="T47" i="36"/>
  <c r="P47" i="36"/>
  <c r="X47" i="36" s="1"/>
  <c r="Z47" i="36" s="1"/>
  <c r="H47" i="36"/>
  <c r="N47" i="36" s="1"/>
  <c r="D47" i="36"/>
  <c r="L47" i="36" s="1"/>
  <c r="B47" i="36"/>
  <c r="Z46" i="36"/>
  <c r="X46" i="36"/>
  <c r="N46" i="36"/>
  <c r="L46" i="36"/>
  <c r="B46" i="36"/>
  <c r="X45" i="36"/>
  <c r="Z45" i="36" s="1"/>
  <c r="N45" i="36"/>
  <c r="L45" i="36"/>
  <c r="B45" i="36"/>
  <c r="X44" i="36"/>
  <c r="Z44" i="36" s="1"/>
  <c r="L44" i="36"/>
  <c r="N44" i="36" s="1"/>
  <c r="B44" i="36"/>
  <c r="Z43" i="36"/>
  <c r="X43" i="36"/>
  <c r="N43" i="36"/>
  <c r="L43" i="36"/>
  <c r="B43" i="36"/>
  <c r="X42" i="36"/>
  <c r="Z42" i="36" s="1"/>
  <c r="N42" i="36"/>
  <c r="L42" i="36"/>
  <c r="B42" i="36"/>
  <c r="Z41" i="36"/>
  <c r="X41" i="36"/>
  <c r="L41" i="36"/>
  <c r="N41" i="36" s="1"/>
  <c r="B41" i="36"/>
  <c r="X40" i="36"/>
  <c r="Z40" i="36" s="1"/>
  <c r="L40" i="36"/>
  <c r="N40" i="36" s="1"/>
  <c r="B40" i="36"/>
  <c r="Z39" i="36"/>
  <c r="T39" i="36"/>
  <c r="P39" i="36"/>
  <c r="X39" i="36" s="1"/>
  <c r="N39" i="36"/>
  <c r="L39" i="36"/>
  <c r="H39" i="36"/>
  <c r="D39" i="36"/>
  <c r="B39" i="36"/>
  <c r="X38" i="36"/>
  <c r="Z38" i="36" s="1"/>
  <c r="N38" i="36"/>
  <c r="L38" i="36"/>
  <c r="B38" i="36"/>
  <c r="Z37" i="36"/>
  <c r="X37" i="36"/>
  <c r="L37" i="36"/>
  <c r="N37" i="36" s="1"/>
  <c r="B37" i="36"/>
  <c r="X36" i="36"/>
  <c r="Z36" i="36" s="1"/>
  <c r="L36" i="36"/>
  <c r="N36" i="36" s="1"/>
  <c r="B36" i="36"/>
  <c r="Z35" i="36"/>
  <c r="X35" i="36"/>
  <c r="N35" i="36"/>
  <c r="L35" i="36"/>
  <c r="B35" i="36"/>
  <c r="Z34" i="36"/>
  <c r="X34" i="36"/>
  <c r="L34" i="36"/>
  <c r="N34" i="36" s="1"/>
  <c r="B34" i="36"/>
  <c r="X33" i="36"/>
  <c r="Z33" i="36" s="1"/>
  <c r="N33" i="36"/>
  <c r="L33" i="36"/>
  <c r="B33" i="36"/>
  <c r="X32" i="36"/>
  <c r="Z32" i="36" s="1"/>
  <c r="L32" i="36"/>
  <c r="N32" i="36" s="1"/>
  <c r="B32" i="36"/>
  <c r="Z31" i="36"/>
  <c r="X31" i="36"/>
  <c r="N31" i="36"/>
  <c r="L31" i="36"/>
  <c r="B31" i="36"/>
  <c r="X30" i="36"/>
  <c r="Z30" i="36" s="1"/>
  <c r="N30" i="36"/>
  <c r="L30" i="36"/>
  <c r="B30" i="36"/>
  <c r="Z29" i="36"/>
  <c r="X29" i="36"/>
  <c r="T29" i="36"/>
  <c r="P29" i="36"/>
  <c r="H29" i="36"/>
  <c r="D29" i="36"/>
  <c r="L29" i="36" s="1"/>
  <c r="N29" i="36" s="1"/>
  <c r="B29" i="36"/>
  <c r="T28" i="36" a="1"/>
  <c r="T28" i="36" s="1"/>
  <c r="P28" i="36" a="1"/>
  <c r="P28" i="36" s="1"/>
  <c r="X28" i="36" s="1"/>
  <c r="H28" i="36" a="1"/>
  <c r="H28" i="36" s="1"/>
  <c r="D28" i="36" a="1"/>
  <c r="D28" i="36" s="1"/>
  <c r="X24" i="36"/>
  <c r="Z24" i="36" s="1"/>
  <c r="L24" i="36"/>
  <c r="N24" i="36" s="1"/>
  <c r="B24" i="36"/>
  <c r="Z23" i="36"/>
  <c r="X23" i="36"/>
  <c r="N23" i="36"/>
  <c r="L23" i="36"/>
  <c r="B23" i="36"/>
  <c r="T22" i="36"/>
  <c r="P22" i="36"/>
  <c r="X22" i="36" s="1"/>
  <c r="Z22" i="36" s="1"/>
  <c r="L22" i="36"/>
  <c r="N22" i="36" s="1"/>
  <c r="H22" i="36"/>
  <c r="D22" i="36"/>
  <c r="T20" i="36"/>
  <c r="Z20" i="36" s="1"/>
  <c r="P20" i="36"/>
  <c r="X20" i="36" s="1"/>
  <c r="N20" i="36"/>
  <c r="H20" i="36"/>
  <c r="D20" i="36"/>
  <c r="L20" i="36" s="1"/>
  <c r="B20" i="36"/>
  <c r="T19" i="36"/>
  <c r="P19" i="36"/>
  <c r="H19" i="36"/>
  <c r="N19" i="36" s="1"/>
  <c r="D19" i="36"/>
  <c r="L19" i="36" s="1"/>
  <c r="B19" i="36"/>
  <c r="X18" i="36"/>
  <c r="T18" i="36"/>
  <c r="Z18" i="36" s="1"/>
  <c r="P18" i="36"/>
  <c r="H18" i="36"/>
  <c r="N18" i="36" s="1"/>
  <c r="D18" i="36"/>
  <c r="L18" i="36" s="1"/>
  <c r="B18" i="36"/>
  <c r="Z17" i="36"/>
  <c r="X17" i="36"/>
  <c r="T17" i="36"/>
  <c r="P17" i="36"/>
  <c r="H17" i="36"/>
  <c r="N17" i="36" s="1"/>
  <c r="D17" i="36"/>
  <c r="L17" i="36" s="1"/>
  <c r="B17" i="36"/>
  <c r="Z16" i="36"/>
  <c r="T16" i="36"/>
  <c r="P16" i="36"/>
  <c r="X16" i="36" s="1"/>
  <c r="H16" i="36"/>
  <c r="N16" i="36" s="1"/>
  <c r="D16" i="36"/>
  <c r="L16" i="36" s="1"/>
  <c r="B16" i="36"/>
  <c r="T15" i="36"/>
  <c r="Z15" i="36" s="1"/>
  <c r="P15" i="36"/>
  <c r="X15" i="36" s="1"/>
  <c r="H15" i="36"/>
  <c r="D15" i="36"/>
  <c r="B15" i="36"/>
  <c r="T14" i="36"/>
  <c r="P14" i="36"/>
  <c r="X14" i="36" s="1"/>
  <c r="L14" i="36"/>
  <c r="H14" i="36"/>
  <c r="D14" i="36"/>
  <c r="B14" i="36"/>
  <c r="T13" i="36"/>
  <c r="Z13" i="36" s="1"/>
  <c r="P13" i="36"/>
  <c r="X13" i="36" s="1"/>
  <c r="N13" i="36"/>
  <c r="L13" i="36"/>
  <c r="H13" i="36"/>
  <c r="D13" i="36"/>
  <c r="B13" i="36"/>
  <c r="P12" i="36"/>
  <c r="R79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D33" i="35"/>
  <c r="T29" i="35"/>
  <c r="Z29" i="35" s="1"/>
  <c r="P29" i="35"/>
  <c r="H29" i="35"/>
  <c r="N29" i="35" s="1"/>
  <c r="D29" i="35"/>
  <c r="T25" i="35"/>
  <c r="P25" i="35"/>
  <c r="H25" i="35"/>
  <c r="D25" i="35"/>
  <c r="B25" i="35"/>
  <c r="T24" i="35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D15" i="35"/>
  <c r="T13" i="35"/>
  <c r="Z13" i="35" s="1"/>
  <c r="P13" i="35"/>
  <c r="H13" i="35"/>
  <c r="N13" i="35" s="1"/>
  <c r="D13" i="35"/>
  <c r="B13" i="35"/>
  <c r="T12" i="35"/>
  <c r="P12" i="35"/>
  <c r="H12" i="35"/>
  <c r="D12" i="35"/>
  <c r="F36" i="35" s="1"/>
  <c r="D5" i="35"/>
  <c r="D4" i="35"/>
  <c r="X169" i="34"/>
  <c r="Z169" i="34" s="1"/>
  <c r="L169" i="34"/>
  <c r="N169" i="34" s="1"/>
  <c r="T165" i="34"/>
  <c r="Z165" i="34" s="1"/>
  <c r="P165" i="34"/>
  <c r="X165" i="34" s="1"/>
  <c r="H165" i="34"/>
  <c r="D165" i="34"/>
  <c r="L165" i="34" s="1"/>
  <c r="N165" i="34" s="1"/>
  <c r="B165" i="34"/>
  <c r="Z164" i="34"/>
  <c r="X164" i="34"/>
  <c r="T164" i="34"/>
  <c r="P164" i="34"/>
  <c r="P163" i="34" s="1"/>
  <c r="N164" i="34"/>
  <c r="H164" i="34"/>
  <c r="L164" i="34" s="1"/>
  <c r="D164" i="34"/>
  <c r="B164" i="34"/>
  <c r="T163" i="34"/>
  <c r="H163" i="34"/>
  <c r="N163" i="34" s="1"/>
  <c r="D163" i="34"/>
  <c r="L163" i="34" s="1"/>
  <c r="Z161" i="34"/>
  <c r="X161" i="34"/>
  <c r="L161" i="34"/>
  <c r="N161" i="34" s="1"/>
  <c r="B161" i="34"/>
  <c r="T160" i="34"/>
  <c r="Z160" i="34" s="1"/>
  <c r="P160" i="34"/>
  <c r="X160" i="34" s="1"/>
  <c r="N160" i="34"/>
  <c r="L160" i="34"/>
  <c r="H160" i="34"/>
  <c r="D160" i="34"/>
  <c r="B160" i="34"/>
  <c r="X159" i="34"/>
  <c r="Z159" i="34" s="1"/>
  <c r="L159" i="34"/>
  <c r="N159" i="34" s="1"/>
  <c r="B159" i="34"/>
  <c r="Z158" i="34"/>
  <c r="X158" i="34"/>
  <c r="T158" i="34"/>
  <c r="P158" i="34"/>
  <c r="H158" i="34"/>
  <c r="L158" i="34" s="1"/>
  <c r="N158" i="34" s="1"/>
  <c r="D158" i="34"/>
  <c r="B158" i="34"/>
  <c r="X157" i="34"/>
  <c r="Z157" i="34" s="1"/>
  <c r="N157" i="34"/>
  <c r="L157" i="34"/>
  <c r="B157" i="34"/>
  <c r="T156" i="34"/>
  <c r="X156" i="34" s="1"/>
  <c r="Z156" i="34" s="1"/>
  <c r="P156" i="34"/>
  <c r="H156" i="34"/>
  <c r="N156" i="34" s="1"/>
  <c r="D156" i="34"/>
  <c r="L156" i="34" s="1"/>
  <c r="B156" i="34"/>
  <c r="X155" i="34"/>
  <c r="Z155" i="34" s="1"/>
  <c r="L155" i="34"/>
  <c r="N155" i="34" s="1"/>
  <c r="B155" i="34"/>
  <c r="T154" i="34"/>
  <c r="Z154" i="34" s="1"/>
  <c r="P154" i="34"/>
  <c r="X154" i="34" s="1"/>
  <c r="H154" i="34"/>
  <c r="D154" i="34"/>
  <c r="L154" i="34" s="1"/>
  <c r="B154" i="34"/>
  <c r="Z153" i="34"/>
  <c r="X153" i="34"/>
  <c r="N153" i="34"/>
  <c r="L153" i="34"/>
  <c r="B153" i="34"/>
  <c r="Z152" i="34"/>
  <c r="X152" i="34"/>
  <c r="N152" i="34"/>
  <c r="L152" i="34"/>
  <c r="B152" i="34"/>
  <c r="X151" i="34"/>
  <c r="Z151" i="34" s="1"/>
  <c r="L151" i="34"/>
  <c r="N151" i="34" s="1"/>
  <c r="B151" i="34"/>
  <c r="Z150" i="34"/>
  <c r="X150" i="34"/>
  <c r="N150" i="34"/>
  <c r="L150" i="34"/>
  <c r="B150" i="34"/>
  <c r="X149" i="34"/>
  <c r="Z149" i="34" s="1"/>
  <c r="N149" i="34"/>
  <c r="L149" i="34"/>
  <c r="B149" i="34"/>
  <c r="Z148" i="34"/>
  <c r="X148" i="34"/>
  <c r="N148" i="34"/>
  <c r="L148" i="34"/>
  <c r="B148" i="34"/>
  <c r="X147" i="34"/>
  <c r="Z147" i="34" s="1"/>
  <c r="T147" i="34"/>
  <c r="P147" i="34"/>
  <c r="H147" i="34"/>
  <c r="D147" i="34"/>
  <c r="B147" i="34"/>
  <c r="Z146" i="34"/>
  <c r="X146" i="34"/>
  <c r="N146" i="34"/>
  <c r="L146" i="34"/>
  <c r="B146" i="34"/>
  <c r="X145" i="34"/>
  <c r="Z145" i="34" s="1"/>
  <c r="N145" i="34"/>
  <c r="L145" i="34"/>
  <c r="B145" i="34"/>
  <c r="T144" i="34"/>
  <c r="X144" i="34" s="1"/>
  <c r="Z144" i="34" s="1"/>
  <c r="P144" i="34"/>
  <c r="H144" i="34"/>
  <c r="N144" i="34" s="1"/>
  <c r="D144" i="34"/>
  <c r="L144" i="34" s="1"/>
  <c r="B144" i="34"/>
  <c r="X143" i="34"/>
  <c r="Z143" i="34" s="1"/>
  <c r="L143" i="34"/>
  <c r="N143" i="34" s="1"/>
  <c r="B143" i="34"/>
  <c r="Z142" i="34"/>
  <c r="X142" i="34"/>
  <c r="N142" i="34"/>
  <c r="L142" i="34"/>
  <c r="B142" i="34"/>
  <c r="X141" i="34"/>
  <c r="Z141" i="34" s="1"/>
  <c r="N141" i="34"/>
  <c r="L141" i="34"/>
  <c r="B141" i="34"/>
  <c r="Z140" i="34"/>
  <c r="X140" i="34"/>
  <c r="N140" i="34"/>
  <c r="L140" i="34"/>
  <c r="B140" i="34"/>
  <c r="X139" i="34"/>
  <c r="Z139" i="34" s="1"/>
  <c r="T139" i="34"/>
  <c r="P139" i="34"/>
  <c r="H139" i="34"/>
  <c r="D139" i="34"/>
  <c r="B139" i="34"/>
  <c r="Z138" i="34"/>
  <c r="X138" i="34"/>
  <c r="N138" i="34"/>
  <c r="L138" i="34"/>
  <c r="B138" i="34"/>
  <c r="X137" i="34"/>
  <c r="Z137" i="34" s="1"/>
  <c r="N137" i="34"/>
  <c r="L137" i="34"/>
  <c r="B137" i="34"/>
  <c r="T136" i="34"/>
  <c r="X136" i="34" s="1"/>
  <c r="Z136" i="34" s="1"/>
  <c r="P136" i="34"/>
  <c r="N136" i="34"/>
  <c r="H136" i="34"/>
  <c r="D136" i="34"/>
  <c r="L136" i="34" s="1"/>
  <c r="B136" i="34"/>
  <c r="X135" i="34"/>
  <c r="Z135" i="34" s="1"/>
  <c r="L135" i="34"/>
  <c r="N135" i="34" s="1"/>
  <c r="B135" i="34"/>
  <c r="Z134" i="34"/>
  <c r="X134" i="34"/>
  <c r="N134" i="34"/>
  <c r="L134" i="34"/>
  <c r="B134" i="34"/>
  <c r="X133" i="34"/>
  <c r="Z133" i="34" s="1"/>
  <c r="N133" i="34"/>
  <c r="L133" i="34"/>
  <c r="B133" i="34"/>
  <c r="T132" i="34"/>
  <c r="X132" i="34" s="1"/>
  <c r="Z132" i="34" s="1"/>
  <c r="P132" i="34"/>
  <c r="H132" i="34"/>
  <c r="D132" i="34"/>
  <c r="L132" i="34" s="1"/>
  <c r="N132" i="34" s="1"/>
  <c r="B132" i="34"/>
  <c r="X131" i="34"/>
  <c r="Z131" i="34" s="1"/>
  <c r="L131" i="34"/>
  <c r="N131" i="34" s="1"/>
  <c r="B131" i="34"/>
  <c r="T130" i="34"/>
  <c r="P130" i="34"/>
  <c r="X130" i="34" s="1"/>
  <c r="Z130" i="34" s="1"/>
  <c r="H130" i="34"/>
  <c r="N130" i="34" s="1"/>
  <c r="D130" i="34"/>
  <c r="L130" i="34" s="1"/>
  <c r="B130" i="34"/>
  <c r="Z129" i="34"/>
  <c r="X129" i="34"/>
  <c r="N129" i="34"/>
  <c r="L129" i="34"/>
  <c r="B129" i="34"/>
  <c r="T128" i="34"/>
  <c r="Z128" i="34" s="1"/>
  <c r="P128" i="34"/>
  <c r="X128" i="34" s="1"/>
  <c r="N128" i="34"/>
  <c r="L128" i="34"/>
  <c r="H128" i="34"/>
  <c r="D128" i="34"/>
  <c r="B128" i="34"/>
  <c r="Z127" i="34"/>
  <c r="X127" i="34"/>
  <c r="N127" i="34"/>
  <c r="L127" i="34"/>
  <c r="B127" i="34"/>
  <c r="Z126" i="34"/>
  <c r="X126" i="34"/>
  <c r="L126" i="34"/>
  <c r="N126" i="34" s="1"/>
  <c r="B126" i="34"/>
  <c r="T125" i="34"/>
  <c r="P125" i="34"/>
  <c r="X125" i="34" s="1"/>
  <c r="Z125" i="34" s="1"/>
  <c r="L125" i="34"/>
  <c r="N125" i="34" s="1"/>
  <c r="H125" i="34"/>
  <c r="D125" i="34"/>
  <c r="B125" i="34"/>
  <c r="Z124" i="34"/>
  <c r="X124" i="34"/>
  <c r="L124" i="34"/>
  <c r="N124" i="34" s="1"/>
  <c r="B124" i="34"/>
  <c r="X123" i="34"/>
  <c r="Z123" i="34" s="1"/>
  <c r="T123" i="34"/>
  <c r="P123" i="34"/>
  <c r="H123" i="34"/>
  <c r="D123" i="34"/>
  <c r="B123" i="34"/>
  <c r="X122" i="34"/>
  <c r="Z122" i="34" s="1"/>
  <c r="N122" i="34"/>
  <c r="L122" i="34"/>
  <c r="B122" i="34"/>
  <c r="T121" i="34"/>
  <c r="P121" i="34"/>
  <c r="H121" i="34"/>
  <c r="N121" i="34" s="1"/>
  <c r="D121" i="34"/>
  <c r="L121" i="34" s="1"/>
  <c r="B121" i="34"/>
  <c r="X120" i="34"/>
  <c r="Z120" i="34" s="1"/>
  <c r="N120" i="34"/>
  <c r="L120" i="34"/>
  <c r="B120" i="34"/>
  <c r="X119" i="34"/>
  <c r="Z119" i="34" s="1"/>
  <c r="L119" i="34"/>
  <c r="N119" i="34" s="1"/>
  <c r="B119" i="34"/>
  <c r="T118" i="34"/>
  <c r="P118" i="34"/>
  <c r="X118" i="34" s="1"/>
  <c r="Z118" i="34" s="1"/>
  <c r="H118" i="34"/>
  <c r="N118" i="34" s="1"/>
  <c r="D118" i="34"/>
  <c r="L118" i="34" s="1"/>
  <c r="B118" i="34"/>
  <c r="Z117" i="34"/>
  <c r="X117" i="34"/>
  <c r="N117" i="34"/>
  <c r="L117" i="34"/>
  <c r="B117" i="34"/>
  <c r="T116" i="34"/>
  <c r="Z116" i="34" s="1"/>
  <c r="P116" i="34"/>
  <c r="X116" i="34" s="1"/>
  <c r="N116" i="34"/>
  <c r="L116" i="34"/>
  <c r="H116" i="34"/>
  <c r="D116" i="34"/>
  <c r="B116" i="34"/>
  <c r="Z115" i="34"/>
  <c r="X115" i="34"/>
  <c r="N115" i="34"/>
  <c r="L115" i="34"/>
  <c r="B115" i="34"/>
  <c r="Z114" i="34"/>
  <c r="X114" i="34"/>
  <c r="T114" i="34"/>
  <c r="P114" i="34"/>
  <c r="N114" i="34"/>
  <c r="H114" i="34"/>
  <c r="L114" i="34" s="1"/>
  <c r="D114" i="34"/>
  <c r="B114" i="34"/>
  <c r="Z113" i="34"/>
  <c r="X113" i="34"/>
  <c r="N113" i="34"/>
  <c r="L113" i="34"/>
  <c r="B113" i="34"/>
  <c r="Z112" i="34"/>
  <c r="X112" i="34"/>
  <c r="N112" i="34"/>
  <c r="L112" i="34"/>
  <c r="B112" i="34"/>
  <c r="Z111" i="34"/>
  <c r="X111" i="34"/>
  <c r="T111" i="34"/>
  <c r="P111" i="34"/>
  <c r="H111" i="34"/>
  <c r="D111" i="34"/>
  <c r="B111" i="34"/>
  <c r="X110" i="34"/>
  <c r="Z110" i="34" s="1"/>
  <c r="N110" i="34"/>
  <c r="L110" i="34"/>
  <c r="B110" i="34"/>
  <c r="T109" i="34"/>
  <c r="P109" i="34"/>
  <c r="H109" i="34"/>
  <c r="D109" i="34"/>
  <c r="L109" i="34" s="1"/>
  <c r="B109" i="34"/>
  <c r="X108" i="34"/>
  <c r="Z108" i="34" s="1"/>
  <c r="N108" i="34"/>
  <c r="L108" i="34"/>
  <c r="B108" i="34"/>
  <c r="T107" i="34"/>
  <c r="P107" i="34"/>
  <c r="X107" i="34" s="1"/>
  <c r="H107" i="34"/>
  <c r="D107" i="34"/>
  <c r="L107" i="34" s="1"/>
  <c r="N107" i="34" s="1"/>
  <c r="B107" i="34"/>
  <c r="Z106" i="34"/>
  <c r="X106" i="34"/>
  <c r="N106" i="34"/>
  <c r="L106" i="34"/>
  <c r="B106" i="34"/>
  <c r="T105" i="34"/>
  <c r="P105" i="34"/>
  <c r="X105" i="34" s="1"/>
  <c r="Z105" i="34" s="1"/>
  <c r="L105" i="34"/>
  <c r="N105" i="34" s="1"/>
  <c r="H105" i="34"/>
  <c r="D105" i="34"/>
  <c r="B105" i="34"/>
  <c r="Z104" i="34"/>
  <c r="X104" i="34"/>
  <c r="N104" i="34"/>
  <c r="L104" i="34"/>
  <c r="B104" i="34"/>
  <c r="X103" i="34"/>
  <c r="Z103" i="34" s="1"/>
  <c r="L103" i="34"/>
  <c r="N103" i="34" s="1"/>
  <c r="B103" i="34"/>
  <c r="Z102" i="34"/>
  <c r="X102" i="34"/>
  <c r="N102" i="34"/>
  <c r="L102" i="34"/>
  <c r="B102" i="34"/>
  <c r="Z101" i="34"/>
  <c r="X101" i="34"/>
  <c r="L101" i="34"/>
  <c r="N101" i="34" s="1"/>
  <c r="B101" i="34"/>
  <c r="Z100" i="34"/>
  <c r="X100" i="34"/>
  <c r="N100" i="34"/>
  <c r="L100" i="34"/>
  <c r="B100" i="34"/>
  <c r="X99" i="34"/>
  <c r="Z99" i="34" s="1"/>
  <c r="L99" i="34"/>
  <c r="N99" i="34" s="1"/>
  <c r="B99" i="34"/>
  <c r="T98" i="34"/>
  <c r="P98" i="34"/>
  <c r="X98" i="34" s="1"/>
  <c r="H98" i="34"/>
  <c r="N98" i="34" s="1"/>
  <c r="D98" i="34"/>
  <c r="L98" i="34" s="1"/>
  <c r="B98" i="34"/>
  <c r="Z97" i="34"/>
  <c r="X97" i="34"/>
  <c r="L97" i="34"/>
  <c r="N97" i="34" s="1"/>
  <c r="B97" i="34"/>
  <c r="X96" i="34"/>
  <c r="Z96" i="34" s="1"/>
  <c r="N96" i="34"/>
  <c r="L96" i="34"/>
  <c r="B96" i="34"/>
  <c r="X95" i="34"/>
  <c r="Z95" i="34" s="1"/>
  <c r="L95" i="34"/>
  <c r="N95" i="34" s="1"/>
  <c r="B95" i="34"/>
  <c r="Z94" i="34"/>
  <c r="X94" i="34"/>
  <c r="N94" i="34"/>
  <c r="L94" i="34"/>
  <c r="B94" i="34"/>
  <c r="X93" i="34"/>
  <c r="Z93" i="34" s="1"/>
  <c r="N93" i="34"/>
  <c r="L93" i="34"/>
  <c r="B93" i="34"/>
  <c r="Z92" i="34"/>
  <c r="X92" i="34"/>
  <c r="L92" i="34"/>
  <c r="N92" i="34" s="1"/>
  <c r="B92" i="34"/>
  <c r="X91" i="34"/>
  <c r="Z91" i="34" s="1"/>
  <c r="L91" i="34"/>
  <c r="N91" i="34" s="1"/>
  <c r="B91" i="34"/>
  <c r="Z90" i="34"/>
  <c r="X90" i="34"/>
  <c r="L90" i="34"/>
  <c r="N90" i="34" s="1"/>
  <c r="B90" i="34"/>
  <c r="T89" i="34"/>
  <c r="P89" i="34"/>
  <c r="X89" i="34" s="1"/>
  <c r="Z89" i="34" s="1"/>
  <c r="L89" i="34"/>
  <c r="N89" i="34" s="1"/>
  <c r="H89" i="34"/>
  <c r="D89" i="34"/>
  <c r="B89" i="34"/>
  <c r="T88" i="34" a="1"/>
  <c r="T88" i="34" s="1"/>
  <c r="P88" i="34" a="1"/>
  <c r="P88" i="34" s="1"/>
  <c r="X88" i="34" s="1"/>
  <c r="H88" i="34" a="1"/>
  <c r="H88" i="34" s="1"/>
  <c r="D88" i="34" a="1"/>
  <c r="D88" i="34" s="1"/>
  <c r="X84" i="34"/>
  <c r="Z84" i="34" s="1"/>
  <c r="N84" i="34"/>
  <c r="L84" i="34"/>
  <c r="B84" i="34"/>
  <c r="Z83" i="34"/>
  <c r="X83" i="34"/>
  <c r="N83" i="34"/>
  <c r="L83" i="34"/>
  <c r="B83" i="34"/>
  <c r="Z82" i="34"/>
  <c r="X82" i="34"/>
  <c r="N82" i="34"/>
  <c r="L82" i="34"/>
  <c r="B82" i="34"/>
  <c r="X81" i="34"/>
  <c r="Z81" i="34" s="1"/>
  <c r="N81" i="34"/>
  <c r="L81" i="34"/>
  <c r="B81" i="34"/>
  <c r="Z80" i="34"/>
  <c r="X80" i="34"/>
  <c r="L80" i="34"/>
  <c r="N80" i="34" s="1"/>
  <c r="B80" i="34"/>
  <c r="X79" i="34"/>
  <c r="Z79" i="34" s="1"/>
  <c r="L79" i="34"/>
  <c r="N79" i="34" s="1"/>
  <c r="B79" i="34"/>
  <c r="Z78" i="34"/>
  <c r="X78" i="34"/>
  <c r="N78" i="34"/>
  <c r="L78" i="34"/>
  <c r="B78" i="34"/>
  <c r="Z77" i="34"/>
  <c r="X77" i="34"/>
  <c r="L77" i="34"/>
  <c r="N77" i="34" s="1"/>
  <c r="B77" i="34"/>
  <c r="Z76" i="34"/>
  <c r="X76" i="34"/>
  <c r="N76" i="34"/>
  <c r="L76" i="34"/>
  <c r="B76" i="34"/>
  <c r="X75" i="34"/>
  <c r="Z75" i="34" s="1"/>
  <c r="N75" i="34"/>
  <c r="L75" i="34"/>
  <c r="B75" i="34"/>
  <c r="Z74" i="34"/>
  <c r="X74" i="34"/>
  <c r="N74" i="34"/>
  <c r="L74" i="34"/>
  <c r="B74" i="34"/>
  <c r="X73" i="34"/>
  <c r="Z73" i="34" s="1"/>
  <c r="N73" i="34"/>
  <c r="L73" i="34"/>
  <c r="B73" i="34"/>
  <c r="Z72" i="34"/>
  <c r="X72" i="34"/>
  <c r="L72" i="34"/>
  <c r="N72" i="34" s="1"/>
  <c r="B72" i="34"/>
  <c r="X71" i="34"/>
  <c r="Z71" i="34" s="1"/>
  <c r="N71" i="34"/>
  <c r="L71" i="34"/>
  <c r="B71" i="34"/>
  <c r="Z70" i="34"/>
  <c r="X70" i="34"/>
  <c r="N70" i="34"/>
  <c r="L70" i="34"/>
  <c r="B70" i="34"/>
  <c r="Z69" i="34"/>
  <c r="X69" i="34"/>
  <c r="N69" i="34"/>
  <c r="L69" i="34"/>
  <c r="B69" i="34"/>
  <c r="X68" i="34"/>
  <c r="Z68" i="34" s="1"/>
  <c r="N68" i="34"/>
  <c r="L68" i="34"/>
  <c r="B68" i="34"/>
  <c r="X67" i="34"/>
  <c r="Z67" i="34" s="1"/>
  <c r="L67" i="34"/>
  <c r="N67" i="34" s="1"/>
  <c r="B67" i="34"/>
  <c r="Z66" i="34"/>
  <c r="X66" i="34"/>
  <c r="N66" i="34"/>
  <c r="L66" i="34"/>
  <c r="B66" i="34"/>
  <c r="X65" i="34"/>
  <c r="Z65" i="34" s="1"/>
  <c r="N65" i="34"/>
  <c r="L65" i="34"/>
  <c r="B65" i="34"/>
  <c r="Z64" i="34"/>
  <c r="X64" i="34"/>
  <c r="N64" i="34"/>
  <c r="L64" i="34"/>
  <c r="B64" i="34"/>
  <c r="X63" i="34"/>
  <c r="Z63" i="34" s="1"/>
  <c r="L63" i="34"/>
  <c r="N63" i="34" s="1"/>
  <c r="B63" i="34"/>
  <c r="Z62" i="34"/>
  <c r="X62" i="34"/>
  <c r="N62" i="34"/>
  <c r="L62" i="34"/>
  <c r="B62" i="34"/>
  <c r="Z61" i="34"/>
  <c r="X61" i="34"/>
  <c r="L61" i="34"/>
  <c r="N61" i="34" s="1"/>
  <c r="B61" i="34"/>
  <c r="X60" i="34"/>
  <c r="Z60" i="34" s="1"/>
  <c r="N60" i="34"/>
  <c r="L60" i="34"/>
  <c r="B60" i="34"/>
  <c r="Z59" i="34"/>
  <c r="X59" i="34"/>
  <c r="N59" i="34"/>
  <c r="L59" i="34"/>
  <c r="B59" i="34"/>
  <c r="T58" i="34"/>
  <c r="P58" i="34"/>
  <c r="X58" i="34" s="1"/>
  <c r="Z58" i="34" s="1"/>
  <c r="H58" i="34"/>
  <c r="D58" i="34"/>
  <c r="L58" i="34" s="1"/>
  <c r="Z56" i="34"/>
  <c r="X56" i="34"/>
  <c r="T56" i="34"/>
  <c r="P56" i="34"/>
  <c r="H56" i="34"/>
  <c r="N56" i="34" s="1"/>
  <c r="D56" i="34"/>
  <c r="L56" i="34" s="1"/>
  <c r="B56" i="34"/>
  <c r="T55" i="34"/>
  <c r="P55" i="34"/>
  <c r="X55" i="34" s="1"/>
  <c r="Z55" i="34" s="1"/>
  <c r="H55" i="34"/>
  <c r="N55" i="34" s="1"/>
  <c r="D55" i="34"/>
  <c r="L55" i="34" s="1"/>
  <c r="B55" i="34"/>
  <c r="T54" i="34"/>
  <c r="Z54" i="34" s="1"/>
  <c r="P54" i="34"/>
  <c r="X54" i="34" s="1"/>
  <c r="H54" i="34"/>
  <c r="D54" i="34"/>
  <c r="B54" i="34"/>
  <c r="T53" i="34"/>
  <c r="P53" i="34"/>
  <c r="X53" i="34" s="1"/>
  <c r="L53" i="34"/>
  <c r="H53" i="34"/>
  <c r="N53" i="34" s="1"/>
  <c r="D53" i="34"/>
  <c r="B53" i="34"/>
  <c r="T52" i="34"/>
  <c r="Z52" i="34" s="1"/>
  <c r="P52" i="34"/>
  <c r="X52" i="34" s="1"/>
  <c r="N52" i="34"/>
  <c r="L52" i="34"/>
  <c r="H52" i="34"/>
  <c r="D52" i="34"/>
  <c r="B52" i="34"/>
  <c r="T51" i="34"/>
  <c r="Z51" i="34" s="1"/>
  <c r="P51" i="34"/>
  <c r="X51" i="34" s="1"/>
  <c r="N51" i="34"/>
  <c r="H51" i="34"/>
  <c r="D51" i="34"/>
  <c r="L51" i="34" s="1"/>
  <c r="B51" i="34"/>
  <c r="T50" i="34"/>
  <c r="P50" i="34"/>
  <c r="H50" i="34"/>
  <c r="N50" i="34" s="1"/>
  <c r="D50" i="34"/>
  <c r="L50" i="34" s="1"/>
  <c r="B50" i="34"/>
  <c r="X49" i="34"/>
  <c r="T49" i="34"/>
  <c r="Z49" i="34" s="1"/>
  <c r="P49" i="34"/>
  <c r="H49" i="34"/>
  <c r="N49" i="34" s="1"/>
  <c r="D49" i="34"/>
  <c r="L49" i="34" s="1"/>
  <c r="B49" i="34"/>
  <c r="Z48" i="34"/>
  <c r="X48" i="34"/>
  <c r="T48" i="34"/>
  <c r="P48" i="34"/>
  <c r="H48" i="34"/>
  <c r="D48" i="34"/>
  <c r="L48" i="34" s="1"/>
  <c r="B48" i="34"/>
  <c r="T47" i="34"/>
  <c r="P47" i="34"/>
  <c r="X47" i="34" s="1"/>
  <c r="Z47" i="34" s="1"/>
  <c r="H47" i="34"/>
  <c r="D47" i="34"/>
  <c r="L47" i="34" s="1"/>
  <c r="B47" i="34"/>
  <c r="T46" i="34"/>
  <c r="P46" i="34"/>
  <c r="X46" i="34" s="1"/>
  <c r="H46" i="34"/>
  <c r="D46" i="34"/>
  <c r="B46" i="34"/>
  <c r="T45" i="34"/>
  <c r="P45" i="34"/>
  <c r="X45" i="34" s="1"/>
  <c r="L45" i="34"/>
  <c r="H45" i="34"/>
  <c r="D45" i="34"/>
  <c r="B45" i="34"/>
  <c r="T44" i="34"/>
  <c r="P44" i="34"/>
  <c r="X44" i="34" s="1"/>
  <c r="N44" i="34"/>
  <c r="L44" i="34"/>
  <c r="H44" i="34"/>
  <c r="D44" i="34"/>
  <c r="B44" i="34"/>
  <c r="T43" i="34"/>
  <c r="Z43" i="34" s="1"/>
  <c r="P43" i="34"/>
  <c r="X43" i="34" s="1"/>
  <c r="N43" i="34"/>
  <c r="H43" i="34"/>
  <c r="D43" i="34"/>
  <c r="L43" i="34" s="1"/>
  <c r="B43" i="34"/>
  <c r="T42" i="34"/>
  <c r="Z42" i="34" s="1"/>
  <c r="P42" i="34"/>
  <c r="X42" i="34" s="1"/>
  <c r="H42" i="34"/>
  <c r="N42" i="34" s="1"/>
  <c r="D42" i="34"/>
  <c r="L42" i="34" s="1"/>
  <c r="B42" i="34"/>
  <c r="X41" i="34"/>
  <c r="T41" i="34"/>
  <c r="Z41" i="34" s="1"/>
  <c r="P41" i="34"/>
  <c r="H41" i="34"/>
  <c r="N41" i="34" s="1"/>
  <c r="D41" i="34"/>
  <c r="L41" i="34" s="1"/>
  <c r="B41" i="34"/>
  <c r="Z40" i="34"/>
  <c r="X40" i="34"/>
  <c r="T40" i="34"/>
  <c r="P40" i="34"/>
  <c r="H40" i="34"/>
  <c r="N40" i="34" s="1"/>
  <c r="D40" i="34"/>
  <c r="L40" i="34" s="1"/>
  <c r="B40" i="34"/>
  <c r="T39" i="34"/>
  <c r="P39" i="34"/>
  <c r="X39" i="34" s="1"/>
  <c r="Z39" i="34" s="1"/>
  <c r="H39" i="34"/>
  <c r="D39" i="34"/>
  <c r="L39" i="34" s="1"/>
  <c r="B39" i="34"/>
  <c r="T38" i="34"/>
  <c r="Z38" i="34" s="1"/>
  <c r="P38" i="34"/>
  <c r="X38" i="34" s="1"/>
  <c r="H38" i="34"/>
  <c r="D38" i="34"/>
  <c r="B38" i="34"/>
  <c r="T37" i="34"/>
  <c r="P37" i="34"/>
  <c r="X37" i="34" s="1"/>
  <c r="L37" i="34"/>
  <c r="H37" i="34"/>
  <c r="N37" i="34" s="1"/>
  <c r="D37" i="34"/>
  <c r="B37" i="34"/>
  <c r="T36" i="34"/>
  <c r="Z36" i="34" s="1"/>
  <c r="P36" i="34"/>
  <c r="X36" i="34" s="1"/>
  <c r="N36" i="34"/>
  <c r="L36" i="34"/>
  <c r="H36" i="34"/>
  <c r="D36" i="34"/>
  <c r="B36" i="34"/>
  <c r="T35" i="34"/>
  <c r="Z35" i="34" s="1"/>
  <c r="P35" i="34"/>
  <c r="X35" i="34" s="1"/>
  <c r="N35" i="34"/>
  <c r="H35" i="34"/>
  <c r="D35" i="34"/>
  <c r="L35" i="34" s="1"/>
  <c r="B35" i="34"/>
  <c r="T34" i="34"/>
  <c r="P34" i="34"/>
  <c r="H34" i="34"/>
  <c r="N34" i="34" s="1"/>
  <c r="D34" i="34"/>
  <c r="L34" i="34" s="1"/>
  <c r="B34" i="34"/>
  <c r="X33" i="34"/>
  <c r="T33" i="34"/>
  <c r="Z33" i="34" s="1"/>
  <c r="P33" i="34"/>
  <c r="H33" i="34"/>
  <c r="N33" i="34" s="1"/>
  <c r="D33" i="34"/>
  <c r="L33" i="34" s="1"/>
  <c r="B33" i="34"/>
  <c r="Z32" i="34"/>
  <c r="X32" i="34"/>
  <c r="T32" i="34"/>
  <c r="P32" i="34"/>
  <c r="H32" i="34"/>
  <c r="N32" i="34" s="1"/>
  <c r="D32" i="34"/>
  <c r="L32" i="34" s="1"/>
  <c r="B32" i="34"/>
  <c r="T31" i="34"/>
  <c r="P31" i="34"/>
  <c r="X31" i="34" s="1"/>
  <c r="Z31" i="34" s="1"/>
  <c r="H31" i="34"/>
  <c r="D31" i="34"/>
  <c r="L31" i="34" s="1"/>
  <c r="B31" i="34"/>
  <c r="T30" i="34"/>
  <c r="P30" i="34"/>
  <c r="X30" i="34" s="1"/>
  <c r="H30" i="34"/>
  <c r="N30" i="34" s="1"/>
  <c r="D30" i="34"/>
  <c r="L30" i="34" s="1"/>
  <c r="B30" i="34"/>
  <c r="T29" i="34"/>
  <c r="P29" i="34"/>
  <c r="X29" i="34" s="1"/>
  <c r="L29" i="34"/>
  <c r="H29" i="34"/>
  <c r="N29" i="34" s="1"/>
  <c r="D29" i="34"/>
  <c r="B29" i="34"/>
  <c r="T28" i="34"/>
  <c r="Z28" i="34" s="1"/>
  <c r="P28" i="34"/>
  <c r="X28" i="34" s="1"/>
  <c r="N28" i="34"/>
  <c r="L28" i="34"/>
  <c r="H28" i="34"/>
  <c r="D28" i="34"/>
  <c r="B28" i="34"/>
  <c r="T27" i="34"/>
  <c r="Z27" i="34" s="1"/>
  <c r="P27" i="34"/>
  <c r="X27" i="34" s="1"/>
  <c r="N27" i="34"/>
  <c r="H27" i="34"/>
  <c r="D27" i="34"/>
  <c r="L27" i="34" s="1"/>
  <c r="B27" i="34"/>
  <c r="T26" i="34"/>
  <c r="P26" i="34"/>
  <c r="X26" i="34" s="1"/>
  <c r="H26" i="34"/>
  <c r="N26" i="34" s="1"/>
  <c r="D26" i="34"/>
  <c r="L26" i="34" s="1"/>
  <c r="B26" i="34"/>
  <c r="X25" i="34"/>
  <c r="T25" i="34"/>
  <c r="P25" i="34"/>
  <c r="H25" i="34"/>
  <c r="N25" i="34" s="1"/>
  <c r="D25" i="34"/>
  <c r="L25" i="34" s="1"/>
  <c r="B25" i="34"/>
  <c r="Z24" i="34"/>
  <c r="X24" i="34"/>
  <c r="T24" i="34"/>
  <c r="P24" i="34"/>
  <c r="H24" i="34"/>
  <c r="D24" i="34"/>
  <c r="L24" i="34" s="1"/>
  <c r="B24" i="34"/>
  <c r="T23" i="34"/>
  <c r="P23" i="34"/>
  <c r="X23" i="34" s="1"/>
  <c r="Z23" i="34" s="1"/>
  <c r="H23" i="34"/>
  <c r="N23" i="34" s="1"/>
  <c r="D23" i="34"/>
  <c r="L23" i="34" s="1"/>
  <c r="B23" i="34"/>
  <c r="T22" i="34"/>
  <c r="P22" i="34"/>
  <c r="X22" i="34" s="1"/>
  <c r="H22" i="34"/>
  <c r="D22" i="34"/>
  <c r="B22" i="34"/>
  <c r="T21" i="34"/>
  <c r="Z21" i="34" s="1"/>
  <c r="P21" i="34"/>
  <c r="X21" i="34" s="1"/>
  <c r="L21" i="34"/>
  <c r="H21" i="34"/>
  <c r="N21" i="34" s="1"/>
  <c r="D21" i="34"/>
  <c r="B21" i="34"/>
  <c r="T20" i="34"/>
  <c r="P20" i="34"/>
  <c r="X20" i="34" s="1"/>
  <c r="N20" i="34"/>
  <c r="L20" i="34"/>
  <c r="H20" i="34"/>
  <c r="D20" i="34"/>
  <c r="B20" i="34"/>
  <c r="T19" i="34"/>
  <c r="Z19" i="34" s="1"/>
  <c r="P19" i="34"/>
  <c r="X19" i="34" s="1"/>
  <c r="H19" i="34"/>
  <c r="D19" i="34"/>
  <c r="L19" i="34" s="1"/>
  <c r="N19" i="34" s="1"/>
  <c r="B19" i="34"/>
  <c r="T18" i="34"/>
  <c r="P18" i="34"/>
  <c r="X18" i="34" s="1"/>
  <c r="H18" i="34"/>
  <c r="N18" i="34" s="1"/>
  <c r="D18" i="34"/>
  <c r="L18" i="34" s="1"/>
  <c r="B18" i="34"/>
  <c r="X17" i="34"/>
  <c r="T17" i="34"/>
  <c r="P17" i="34"/>
  <c r="H17" i="34"/>
  <c r="D17" i="34"/>
  <c r="L17" i="34" s="1"/>
  <c r="B17" i="34"/>
  <c r="Z16" i="34"/>
  <c r="X16" i="34"/>
  <c r="T16" i="34"/>
  <c r="P16" i="34"/>
  <c r="H16" i="34"/>
  <c r="D16" i="34"/>
  <c r="L16" i="34" s="1"/>
  <c r="B16" i="34"/>
  <c r="T15" i="34"/>
  <c r="P15" i="34"/>
  <c r="X15" i="34" s="1"/>
  <c r="Z15" i="34" s="1"/>
  <c r="H15" i="34"/>
  <c r="D15" i="34"/>
  <c r="L15" i="34" s="1"/>
  <c r="B15" i="34"/>
  <c r="T14" i="34"/>
  <c r="P14" i="34"/>
  <c r="X14" i="34" s="1"/>
  <c r="H14" i="34"/>
  <c r="D14" i="34"/>
  <c r="B14" i="34"/>
  <c r="T13" i="34"/>
  <c r="P13" i="34"/>
  <c r="X13" i="34" s="1"/>
  <c r="L13" i="34"/>
  <c r="H13" i="34"/>
  <c r="D13" i="34"/>
  <c r="B13" i="34"/>
  <c r="D4" i="34"/>
  <c r="B39" i="33"/>
  <c r="B38" i="33"/>
  <c r="T34" i="33"/>
  <c r="Z34" i="33" s="1"/>
  <c r="P34" i="33"/>
  <c r="H34" i="33"/>
  <c r="N34" i="33" s="1"/>
  <c r="D34" i="33"/>
  <c r="T33" i="33"/>
  <c r="Z33" i="33" s="1"/>
  <c r="P33" i="33"/>
  <c r="H33" i="33"/>
  <c r="D33" i="33"/>
  <c r="T29" i="33"/>
  <c r="Z29" i="33" s="1"/>
  <c r="P29" i="33"/>
  <c r="H29" i="33"/>
  <c r="D29" i="33"/>
  <c r="T25" i="33"/>
  <c r="Z25" i="33" s="1"/>
  <c r="P25" i="33"/>
  <c r="H25" i="33"/>
  <c r="D25" i="33"/>
  <c r="B25" i="33"/>
  <c r="T24" i="33"/>
  <c r="Z24" i="33" s="1"/>
  <c r="P24" i="33"/>
  <c r="H24" i="33"/>
  <c r="N24" i="33" s="1"/>
  <c r="D24" i="33"/>
  <c r="T22" i="33"/>
  <c r="P22" i="33"/>
  <c r="H22" i="33"/>
  <c r="D22" i="33"/>
  <c r="B22" i="33"/>
  <c r="T21" i="33"/>
  <c r="P21" i="33"/>
  <c r="H21" i="33"/>
  <c r="N21" i="33" s="1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P15" i="33"/>
  <c r="H15" i="33"/>
  <c r="D15" i="33"/>
  <c r="T13" i="33"/>
  <c r="Z13" i="33" s="1"/>
  <c r="P13" i="33"/>
  <c r="H13" i="33"/>
  <c r="D13" i="33"/>
  <c r="B13" i="33"/>
  <c r="T12" i="33"/>
  <c r="P12" i="33"/>
  <c r="R18" i="33" s="1"/>
  <c r="H12" i="33"/>
  <c r="D12" i="33"/>
  <c r="D5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D29" i="32"/>
  <c r="T25" i="32"/>
  <c r="Z25" i="32" s="1"/>
  <c r="P25" i="32"/>
  <c r="H25" i="32"/>
  <c r="N25" i="32" s="1"/>
  <c r="D25" i="32"/>
  <c r="B25" i="32"/>
  <c r="T24" i="32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34" i="32" s="1"/>
  <c r="P12" i="32"/>
  <c r="H12" i="32"/>
  <c r="N12" i="32" s="1"/>
  <c r="D12" i="32"/>
  <c r="F36" i="32" s="1"/>
  <c r="D5" i="32"/>
  <c r="D4" i="32"/>
  <c r="X86" i="31"/>
  <c r="Z86" i="31" s="1"/>
  <c r="L86" i="31"/>
  <c r="N86" i="31" s="1"/>
  <c r="T82" i="31"/>
  <c r="Z82" i="31" s="1"/>
  <c r="P82" i="31"/>
  <c r="X82" i="31" s="1"/>
  <c r="N82" i="31"/>
  <c r="H82" i="31"/>
  <c r="D82" i="31"/>
  <c r="L82" i="31" s="1"/>
  <c r="B82" i="31"/>
  <c r="Z81" i="31"/>
  <c r="X81" i="31"/>
  <c r="T81" i="31"/>
  <c r="P81" i="31"/>
  <c r="P80" i="31" s="1"/>
  <c r="H81" i="31"/>
  <c r="D81" i="31"/>
  <c r="L81" i="31" s="1"/>
  <c r="N81" i="31" s="1"/>
  <c r="B81" i="31"/>
  <c r="T80" i="31"/>
  <c r="H80" i="31"/>
  <c r="D80" i="31"/>
  <c r="L80" i="31" s="1"/>
  <c r="Z78" i="31"/>
  <c r="X78" i="31"/>
  <c r="N78" i="31"/>
  <c r="L78" i="31"/>
  <c r="B78" i="31"/>
  <c r="X77" i="31"/>
  <c r="T77" i="31"/>
  <c r="Z77" i="31" s="1"/>
  <c r="P77" i="31"/>
  <c r="N77" i="31"/>
  <c r="L77" i="31"/>
  <c r="H77" i="31"/>
  <c r="D77" i="31"/>
  <c r="B77" i="31"/>
  <c r="X76" i="31"/>
  <c r="Z76" i="31" s="1"/>
  <c r="L76" i="31"/>
  <c r="N76" i="31" s="1"/>
  <c r="B76" i="31"/>
  <c r="Z75" i="31"/>
  <c r="X75" i="31"/>
  <c r="T75" i="31"/>
  <c r="P75" i="31"/>
  <c r="H75" i="31"/>
  <c r="D75" i="31"/>
  <c r="L75" i="31" s="1"/>
  <c r="N75" i="31" s="1"/>
  <c r="B75" i="31"/>
  <c r="X74" i="31"/>
  <c r="Z74" i="31" s="1"/>
  <c r="N74" i="31"/>
  <c r="L74" i="31"/>
  <c r="B74" i="31"/>
  <c r="Z73" i="31"/>
  <c r="X73" i="31"/>
  <c r="L73" i="31"/>
  <c r="N73" i="31" s="1"/>
  <c r="B73" i="31"/>
  <c r="X72" i="31"/>
  <c r="Z72" i="31" s="1"/>
  <c r="L72" i="31"/>
  <c r="N72" i="31" s="1"/>
  <c r="B72" i="31"/>
  <c r="Z71" i="31"/>
  <c r="X71" i="31"/>
  <c r="N71" i="31"/>
  <c r="L71" i="31"/>
  <c r="B71" i="31"/>
  <c r="Z70" i="31"/>
  <c r="X70" i="31"/>
  <c r="N70" i="31"/>
  <c r="L70" i="31"/>
  <c r="B70" i="31"/>
  <c r="X69" i="31"/>
  <c r="T69" i="31"/>
  <c r="Z69" i="31" s="1"/>
  <c r="P69" i="31"/>
  <c r="N69" i="31"/>
  <c r="L69" i="31"/>
  <c r="H69" i="31"/>
  <c r="D69" i="31"/>
  <c r="B69" i="31"/>
  <c r="Z68" i="31"/>
  <c r="X68" i="31"/>
  <c r="N68" i="31"/>
  <c r="L68" i="31"/>
  <c r="B68" i="31"/>
  <c r="Z67" i="31"/>
  <c r="X67" i="31"/>
  <c r="T67" i="31"/>
  <c r="P67" i="31"/>
  <c r="N67" i="31"/>
  <c r="H67" i="31"/>
  <c r="D67" i="31"/>
  <c r="L67" i="31" s="1"/>
  <c r="B67" i="31"/>
  <c r="X66" i="31"/>
  <c r="Z66" i="31" s="1"/>
  <c r="N66" i="31"/>
  <c r="L66" i="31"/>
  <c r="B66" i="31"/>
  <c r="T65" i="31"/>
  <c r="P65" i="31"/>
  <c r="X65" i="31" s="1"/>
  <c r="Z65" i="31" s="1"/>
  <c r="H65" i="31"/>
  <c r="D65" i="31"/>
  <c r="L65" i="31" s="1"/>
  <c r="N65" i="31" s="1"/>
  <c r="B65" i="31"/>
  <c r="Z64" i="31"/>
  <c r="X64" i="31"/>
  <c r="N64" i="31"/>
  <c r="L64" i="31"/>
  <c r="B64" i="31"/>
  <c r="Z63" i="31"/>
  <c r="X63" i="31"/>
  <c r="N63" i="31"/>
  <c r="L63" i="31"/>
  <c r="B63" i="31"/>
  <c r="X62" i="31"/>
  <c r="Z62" i="31" s="1"/>
  <c r="N62" i="31"/>
  <c r="L62" i="31"/>
  <c r="B62" i="31"/>
  <c r="T61" i="31"/>
  <c r="P61" i="31"/>
  <c r="X61" i="31" s="1"/>
  <c r="Z61" i="31" s="1"/>
  <c r="H61" i="31"/>
  <c r="D61" i="31"/>
  <c r="L61" i="31" s="1"/>
  <c r="N61" i="31" s="1"/>
  <c r="B61" i="31"/>
  <c r="Z60" i="31"/>
  <c r="X60" i="31"/>
  <c r="N60" i="31"/>
  <c r="L60" i="31"/>
  <c r="B60" i="31"/>
  <c r="Z59" i="31"/>
  <c r="T59" i="31"/>
  <c r="P59" i="31"/>
  <c r="X59" i="31" s="1"/>
  <c r="L59" i="31"/>
  <c r="H59" i="31"/>
  <c r="N59" i="31" s="1"/>
  <c r="D59" i="31"/>
  <c r="B59" i="31"/>
  <c r="Z58" i="31"/>
  <c r="X58" i="31"/>
  <c r="L58" i="31"/>
  <c r="N58" i="31" s="1"/>
  <c r="B58" i="31"/>
  <c r="X57" i="31"/>
  <c r="Z57" i="31" s="1"/>
  <c r="N57" i="31"/>
  <c r="L57" i="31"/>
  <c r="B57" i="31"/>
  <c r="T56" i="31"/>
  <c r="P56" i="31"/>
  <c r="H56" i="31"/>
  <c r="D56" i="31"/>
  <c r="L56" i="31" s="1"/>
  <c r="N56" i="31" s="1"/>
  <c r="B56" i="31"/>
  <c r="Z55" i="31"/>
  <c r="X55" i="31"/>
  <c r="N55" i="31"/>
  <c r="L55" i="31"/>
  <c r="B55" i="31"/>
  <c r="T54" i="31"/>
  <c r="P54" i="31"/>
  <c r="X54" i="31" s="1"/>
  <c r="Z54" i="31" s="1"/>
  <c r="L54" i="31"/>
  <c r="N54" i="31" s="1"/>
  <c r="H54" i="31"/>
  <c r="D54" i="31"/>
  <c r="B54" i="31"/>
  <c r="Z53" i="31"/>
  <c r="X53" i="31"/>
  <c r="N53" i="31"/>
  <c r="L53" i="31"/>
  <c r="B53" i="31"/>
  <c r="Z52" i="31"/>
  <c r="X52" i="31"/>
  <c r="T52" i="31"/>
  <c r="P52" i="31"/>
  <c r="L52" i="31"/>
  <c r="H52" i="31"/>
  <c r="N52" i="31" s="1"/>
  <c r="D52" i="31"/>
  <c r="B52" i="31"/>
  <c r="Z51" i="31"/>
  <c r="X51" i="31"/>
  <c r="N51" i="31"/>
  <c r="L51" i="31"/>
  <c r="B51" i="31"/>
  <c r="T50" i="31"/>
  <c r="P50" i="31"/>
  <c r="H50" i="31"/>
  <c r="D50" i="31"/>
  <c r="B50" i="31"/>
  <c r="Z49" i="31"/>
  <c r="X49" i="31"/>
  <c r="N49" i="31"/>
  <c r="L49" i="31"/>
  <c r="B49" i="31"/>
  <c r="T48" i="31"/>
  <c r="Z48" i="31" s="1"/>
  <c r="P48" i="31"/>
  <c r="X48" i="31" s="1"/>
  <c r="N48" i="31"/>
  <c r="H48" i="31"/>
  <c r="D48" i="31"/>
  <c r="L48" i="31" s="1"/>
  <c r="B48" i="31"/>
  <c r="Z47" i="31"/>
  <c r="X47" i="31"/>
  <c r="N47" i="31"/>
  <c r="L47" i="31"/>
  <c r="B47" i="31"/>
  <c r="Z46" i="31"/>
  <c r="X46" i="31"/>
  <c r="N46" i="31"/>
  <c r="L46" i="31"/>
  <c r="B46" i="31"/>
  <c r="X45" i="31"/>
  <c r="Z45" i="31" s="1"/>
  <c r="N45" i="31"/>
  <c r="L45" i="31"/>
  <c r="B45" i="31"/>
  <c r="T44" i="31"/>
  <c r="P44" i="31"/>
  <c r="H44" i="31"/>
  <c r="D44" i="31"/>
  <c r="L44" i="31" s="1"/>
  <c r="N44" i="31" s="1"/>
  <c r="B44" i="31"/>
  <c r="Z43" i="31"/>
  <c r="X43" i="31"/>
  <c r="N43" i="31"/>
  <c r="L43" i="31"/>
  <c r="B43" i="31"/>
  <c r="Z42" i="31"/>
  <c r="X42" i="31"/>
  <c r="L42" i="31"/>
  <c r="N42" i="31" s="1"/>
  <c r="B42" i="31"/>
  <c r="X41" i="31"/>
  <c r="Z41" i="31" s="1"/>
  <c r="N41" i="31"/>
  <c r="L41" i="31"/>
  <c r="B41" i="31"/>
  <c r="X40" i="31"/>
  <c r="Z40" i="31" s="1"/>
  <c r="L40" i="31"/>
  <c r="N40" i="31" s="1"/>
  <c r="B40" i="31"/>
  <c r="Z39" i="31"/>
  <c r="X39" i="31"/>
  <c r="N39" i="31"/>
  <c r="L39" i="31"/>
  <c r="B39" i="31"/>
  <c r="X38" i="31"/>
  <c r="Z38" i="31" s="1"/>
  <c r="N38" i="31"/>
  <c r="L38" i="31"/>
  <c r="B38" i="31"/>
  <c r="Z37" i="31"/>
  <c r="X37" i="31"/>
  <c r="L37" i="31"/>
  <c r="N37" i="31" s="1"/>
  <c r="B37" i="31"/>
  <c r="X36" i="31"/>
  <c r="Z36" i="31" s="1"/>
  <c r="L36" i="31"/>
  <c r="N36" i="31" s="1"/>
  <c r="B36" i="31"/>
  <c r="X35" i="31"/>
  <c r="Z35" i="31" s="1"/>
  <c r="T35" i="31"/>
  <c r="P35" i="31"/>
  <c r="H35" i="31"/>
  <c r="L35" i="31" s="1"/>
  <c r="D35" i="31"/>
  <c r="B35" i="31"/>
  <c r="T34" i="31" a="1"/>
  <c r="T34" i="31" s="1"/>
  <c r="P34" i="31" a="1"/>
  <c r="P34" i="31"/>
  <c r="H34" i="31" a="1"/>
  <c r="H34" i="31" s="1"/>
  <c r="D34" i="31" a="1"/>
  <c r="D34" i="31" s="1"/>
  <c r="Z30" i="31"/>
  <c r="X30" i="31"/>
  <c r="N30" i="31"/>
  <c r="L30" i="31"/>
  <c r="B30" i="31"/>
  <c r="Z29" i="31"/>
  <c r="X29" i="31"/>
  <c r="N29" i="31"/>
  <c r="L29" i="31"/>
  <c r="B29" i="31"/>
  <c r="Z28" i="31"/>
  <c r="X28" i="31"/>
  <c r="N28" i="31"/>
  <c r="L28" i="31"/>
  <c r="B28" i="31"/>
  <c r="Z27" i="31"/>
  <c r="T27" i="31"/>
  <c r="P27" i="31"/>
  <c r="X27" i="31" s="1"/>
  <c r="L27" i="31"/>
  <c r="H27" i="31"/>
  <c r="N27" i="31" s="1"/>
  <c r="D27" i="31"/>
  <c r="X25" i="31"/>
  <c r="Z25" i="31" s="1"/>
  <c r="T25" i="31"/>
  <c r="P25" i="31"/>
  <c r="H25" i="31"/>
  <c r="N25" i="31" s="1"/>
  <c r="D25" i="31"/>
  <c r="L25" i="31" s="1"/>
  <c r="B25" i="31"/>
  <c r="T24" i="31"/>
  <c r="P24" i="31"/>
  <c r="X24" i="31" s="1"/>
  <c r="Z24" i="31" s="1"/>
  <c r="L24" i="31"/>
  <c r="H24" i="31"/>
  <c r="D24" i="31"/>
  <c r="B24" i="31"/>
  <c r="X23" i="31"/>
  <c r="T23" i="31"/>
  <c r="Z23" i="31" s="1"/>
  <c r="P23" i="31"/>
  <c r="N23" i="31"/>
  <c r="H23" i="31"/>
  <c r="D23" i="31"/>
  <c r="B23" i="31"/>
  <c r="T22" i="31"/>
  <c r="P22" i="31"/>
  <c r="X22" i="31" s="1"/>
  <c r="Z22" i="31" s="1"/>
  <c r="L22" i="31"/>
  <c r="H22" i="31"/>
  <c r="D22" i="31"/>
  <c r="B22" i="31"/>
  <c r="T21" i="31"/>
  <c r="P21" i="31"/>
  <c r="L21" i="31"/>
  <c r="N21" i="31" s="1"/>
  <c r="H21" i="31"/>
  <c r="D21" i="31"/>
  <c r="B21" i="31"/>
  <c r="X20" i="31"/>
  <c r="T20" i="31"/>
  <c r="P20" i="31"/>
  <c r="N20" i="31"/>
  <c r="H20" i="31"/>
  <c r="D20" i="31"/>
  <c r="L20" i="31" s="1"/>
  <c r="B20" i="31"/>
  <c r="T19" i="31"/>
  <c r="P19" i="31"/>
  <c r="L19" i="31"/>
  <c r="H19" i="31"/>
  <c r="N19" i="31" s="1"/>
  <c r="D19" i="31"/>
  <c r="B19" i="31"/>
  <c r="T18" i="31"/>
  <c r="P18" i="31"/>
  <c r="N18" i="31"/>
  <c r="H18" i="31"/>
  <c r="D18" i="31"/>
  <c r="L18" i="31" s="1"/>
  <c r="B18" i="31"/>
  <c r="T17" i="31"/>
  <c r="P17" i="31"/>
  <c r="X17" i="31" s="1"/>
  <c r="Z17" i="31" s="1"/>
  <c r="H17" i="31"/>
  <c r="D17" i="31"/>
  <c r="B17" i="31"/>
  <c r="T16" i="31"/>
  <c r="P16" i="31"/>
  <c r="L16" i="31"/>
  <c r="H16" i="31"/>
  <c r="D16" i="31"/>
  <c r="B16" i="31"/>
  <c r="X15" i="31"/>
  <c r="T15" i="31"/>
  <c r="Z15" i="31" s="1"/>
  <c r="P15" i="31"/>
  <c r="H15" i="31"/>
  <c r="D15" i="31"/>
  <c r="B15" i="31"/>
  <c r="T14" i="31"/>
  <c r="P14" i="31"/>
  <c r="X14" i="31" s="1"/>
  <c r="Z14" i="31" s="1"/>
  <c r="L14" i="31"/>
  <c r="H14" i="31"/>
  <c r="D14" i="31"/>
  <c r="B14" i="31"/>
  <c r="T13" i="31"/>
  <c r="P13" i="31"/>
  <c r="N13" i="31"/>
  <c r="L13" i="31"/>
  <c r="H13" i="31"/>
  <c r="D13" i="31"/>
  <c r="B13" i="31"/>
  <c r="D4" i="31"/>
  <c r="B39" i="30"/>
  <c r="B38" i="30"/>
  <c r="T34" i="30"/>
  <c r="Z34" i="30" s="1"/>
  <c r="P34" i="30"/>
  <c r="H34" i="30"/>
  <c r="N34" i="30" s="1"/>
  <c r="D34" i="30"/>
  <c r="T33" i="30"/>
  <c r="Z33" i="30" s="1"/>
  <c r="P33" i="30"/>
  <c r="H33" i="30"/>
  <c r="N33" i="30" s="1"/>
  <c r="D33" i="30"/>
  <c r="T29" i="30"/>
  <c r="Z29" i="30" s="1"/>
  <c r="P29" i="30"/>
  <c r="H29" i="30"/>
  <c r="N29" i="30" s="1"/>
  <c r="D29" i="30"/>
  <c r="T25" i="30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Z22" i="30" s="1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P20" i="30"/>
  <c r="H20" i="30"/>
  <c r="N20" i="30" s="1"/>
  <c r="D20" i="30"/>
  <c r="T16" i="30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V24" i="30" s="1"/>
  <c r="P12" i="30"/>
  <c r="R24" i="30" s="1"/>
  <c r="H12" i="30"/>
  <c r="D12" i="30"/>
  <c r="D5" i="30"/>
  <c r="D4" i="30"/>
  <c r="B39" i="29"/>
  <c r="B38" i="29"/>
  <c r="T34" i="29"/>
  <c r="Z34" i="29" s="1"/>
  <c r="P34" i="29"/>
  <c r="H34" i="29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P24" i="29"/>
  <c r="H24" i="29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P20" i="29"/>
  <c r="H20" i="29"/>
  <c r="N20" i="29" s="1"/>
  <c r="D20" i="29"/>
  <c r="T16" i="29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4" i="29" s="1"/>
  <c r="P12" i="29"/>
  <c r="H12" i="29"/>
  <c r="J21" i="29" s="1"/>
  <c r="D12" i="29"/>
  <c r="D5" i="29"/>
  <c r="D4" i="29"/>
  <c r="Z166" i="28"/>
  <c r="X166" i="28"/>
  <c r="N166" i="28"/>
  <c r="L166" i="28"/>
  <c r="T162" i="28"/>
  <c r="X162" i="28" s="1"/>
  <c r="Z162" i="28" s="1"/>
  <c r="P162" i="28"/>
  <c r="H162" i="28"/>
  <c r="D162" i="28"/>
  <c r="L162" i="28" s="1"/>
  <c r="B162" i="28"/>
  <c r="T161" i="28"/>
  <c r="P161" i="28"/>
  <c r="N161" i="28"/>
  <c r="H161" i="28"/>
  <c r="D161" i="28"/>
  <c r="L161" i="28" s="1"/>
  <c r="B161" i="28"/>
  <c r="H160" i="28"/>
  <c r="X158" i="28"/>
  <c r="Z158" i="28" s="1"/>
  <c r="N158" i="28"/>
  <c r="L158" i="28"/>
  <c r="B158" i="28"/>
  <c r="T157" i="28"/>
  <c r="P157" i="28"/>
  <c r="H157" i="28"/>
  <c r="D157" i="28"/>
  <c r="L157" i="28" s="1"/>
  <c r="B157" i="28"/>
  <c r="Z156" i="28"/>
  <c r="X156" i="28"/>
  <c r="N156" i="28"/>
  <c r="L156" i="28"/>
  <c r="B156" i="28"/>
  <c r="T155" i="28"/>
  <c r="P155" i="28"/>
  <c r="X155" i="28" s="1"/>
  <c r="H155" i="28"/>
  <c r="D155" i="28"/>
  <c r="L155" i="28" s="1"/>
  <c r="N155" i="28" s="1"/>
  <c r="B155" i="28"/>
  <c r="Z154" i="28"/>
  <c r="X154" i="28"/>
  <c r="N154" i="28"/>
  <c r="L154" i="28"/>
  <c r="B154" i="28"/>
  <c r="Z153" i="28"/>
  <c r="T153" i="28"/>
  <c r="P153" i="28"/>
  <c r="X153" i="28" s="1"/>
  <c r="N153" i="28"/>
  <c r="L153" i="28"/>
  <c r="H153" i="28"/>
  <c r="D153" i="28"/>
  <c r="B153" i="28"/>
  <c r="Z152" i="28"/>
  <c r="X152" i="28"/>
  <c r="N152" i="28"/>
  <c r="L152" i="28"/>
  <c r="B152" i="28"/>
  <c r="X151" i="28"/>
  <c r="Z151" i="28" s="1"/>
  <c r="T151" i="28"/>
  <c r="P151" i="28"/>
  <c r="H151" i="28"/>
  <c r="D151" i="28"/>
  <c r="B151" i="28"/>
  <c r="X150" i="28"/>
  <c r="Z150" i="28" s="1"/>
  <c r="N150" i="28"/>
  <c r="L150" i="28"/>
  <c r="B150" i="28"/>
  <c r="Z149" i="28"/>
  <c r="X149" i="28"/>
  <c r="N149" i="28"/>
  <c r="L149" i="28"/>
  <c r="B149" i="28"/>
  <c r="Z148" i="28"/>
  <c r="X148" i="28"/>
  <c r="L148" i="28"/>
  <c r="N148" i="28" s="1"/>
  <c r="B148" i="28"/>
  <c r="X147" i="28"/>
  <c r="Z147" i="28" s="1"/>
  <c r="N147" i="28"/>
  <c r="L147" i="28"/>
  <c r="B147" i="28"/>
  <c r="Z146" i="28"/>
  <c r="X146" i="28"/>
  <c r="N146" i="28"/>
  <c r="L146" i="28"/>
  <c r="B146" i="28"/>
  <c r="Z145" i="28"/>
  <c r="X145" i="28"/>
  <c r="N145" i="28"/>
  <c r="L145" i="28"/>
  <c r="B145" i="28"/>
  <c r="T144" i="28"/>
  <c r="P144" i="28"/>
  <c r="X144" i="28" s="1"/>
  <c r="N144" i="28"/>
  <c r="L144" i="28"/>
  <c r="H144" i="28"/>
  <c r="D144" i="28"/>
  <c r="B144" i="28"/>
  <c r="X143" i="28"/>
  <c r="Z143" i="28" s="1"/>
  <c r="L143" i="28"/>
  <c r="N143" i="28" s="1"/>
  <c r="B143" i="28"/>
  <c r="Z142" i="28"/>
  <c r="X142" i="28"/>
  <c r="N142" i="28"/>
  <c r="L142" i="28"/>
  <c r="B142" i="28"/>
  <c r="T141" i="28"/>
  <c r="P141" i="28"/>
  <c r="X141" i="28" s="1"/>
  <c r="Z141" i="28" s="1"/>
  <c r="L141" i="28"/>
  <c r="N141" i="28" s="1"/>
  <c r="H141" i="28"/>
  <c r="D141" i="28"/>
  <c r="B141" i="28"/>
  <c r="Z140" i="28"/>
  <c r="X140" i="28"/>
  <c r="L140" i="28"/>
  <c r="N140" i="28" s="1"/>
  <c r="B140" i="28"/>
  <c r="X139" i="28"/>
  <c r="Z139" i="28" s="1"/>
  <c r="L139" i="28"/>
  <c r="N139" i="28" s="1"/>
  <c r="B139" i="28"/>
  <c r="Z138" i="28"/>
  <c r="X138" i="28"/>
  <c r="N138" i="28"/>
  <c r="L138" i="28"/>
  <c r="B138" i="28"/>
  <c r="T137" i="28"/>
  <c r="P137" i="28"/>
  <c r="X137" i="28" s="1"/>
  <c r="Z137" i="28" s="1"/>
  <c r="L137" i="28"/>
  <c r="N137" i="28" s="1"/>
  <c r="H137" i="28"/>
  <c r="D137" i="28"/>
  <c r="B137" i="28"/>
  <c r="Z136" i="28"/>
  <c r="X136" i="28"/>
  <c r="N136" i="28"/>
  <c r="L136" i="28"/>
  <c r="B136" i="28"/>
  <c r="X135" i="28"/>
  <c r="Z135" i="28" s="1"/>
  <c r="N135" i="28"/>
  <c r="L135" i="28"/>
  <c r="B135" i="28"/>
  <c r="T134" i="28"/>
  <c r="P134" i="28"/>
  <c r="X134" i="28" s="1"/>
  <c r="Z134" i="28" s="1"/>
  <c r="N134" i="28"/>
  <c r="H134" i="28"/>
  <c r="L134" i="28" s="1"/>
  <c r="D134" i="28"/>
  <c r="B134" i="28"/>
  <c r="X133" i="28"/>
  <c r="Z133" i="28" s="1"/>
  <c r="N133" i="28"/>
  <c r="L133" i="28"/>
  <c r="B133" i="28"/>
  <c r="Z132" i="28"/>
  <c r="X132" i="28"/>
  <c r="N132" i="28"/>
  <c r="L132" i="28"/>
  <c r="B132" i="28"/>
  <c r="X131" i="28"/>
  <c r="Z131" i="28" s="1"/>
  <c r="N131" i="28"/>
  <c r="L131" i="28"/>
  <c r="B131" i="28"/>
  <c r="Z130" i="28"/>
  <c r="T130" i="28"/>
  <c r="P130" i="28"/>
  <c r="X130" i="28" s="1"/>
  <c r="N130" i="28"/>
  <c r="L130" i="28"/>
  <c r="H130" i="28"/>
  <c r="D130" i="28"/>
  <c r="B130" i="28"/>
  <c r="X129" i="28"/>
  <c r="Z129" i="28" s="1"/>
  <c r="N129" i="28"/>
  <c r="L129" i="28"/>
  <c r="B129" i="28"/>
  <c r="T128" i="28"/>
  <c r="X128" i="28" s="1"/>
  <c r="Z128" i="28" s="1"/>
  <c r="P128" i="28"/>
  <c r="L128" i="28"/>
  <c r="H128" i="28"/>
  <c r="N128" i="28" s="1"/>
  <c r="D128" i="28"/>
  <c r="B128" i="28"/>
  <c r="Z127" i="28"/>
  <c r="X127" i="28"/>
  <c r="N127" i="28"/>
  <c r="L127" i="28"/>
  <c r="B127" i="28"/>
  <c r="X126" i="28"/>
  <c r="T126" i="28"/>
  <c r="Z126" i="28" s="1"/>
  <c r="P126" i="28"/>
  <c r="H126" i="28"/>
  <c r="N126" i="28" s="1"/>
  <c r="D126" i="28"/>
  <c r="L126" i="28" s="1"/>
  <c r="B126" i="28"/>
  <c r="Z125" i="28"/>
  <c r="X125" i="28"/>
  <c r="N125" i="28"/>
  <c r="L125" i="28"/>
  <c r="B125" i="28"/>
  <c r="X124" i="28"/>
  <c r="Z124" i="28" s="1"/>
  <c r="N124" i="28"/>
  <c r="L124" i="28"/>
  <c r="B124" i="28"/>
  <c r="T123" i="28"/>
  <c r="P123" i="28"/>
  <c r="X123" i="28" s="1"/>
  <c r="H123" i="28"/>
  <c r="D123" i="28"/>
  <c r="L123" i="28" s="1"/>
  <c r="N123" i="28" s="1"/>
  <c r="B123" i="28"/>
  <c r="Z122" i="28"/>
  <c r="X122" i="28"/>
  <c r="L122" i="28"/>
  <c r="N122" i="28" s="1"/>
  <c r="B122" i="28"/>
  <c r="T121" i="28"/>
  <c r="P121" i="28"/>
  <c r="X121" i="28" s="1"/>
  <c r="Z121" i="28" s="1"/>
  <c r="L121" i="28"/>
  <c r="N121" i="28" s="1"/>
  <c r="H121" i="28"/>
  <c r="D121" i="28"/>
  <c r="B121" i="28"/>
  <c r="Z120" i="28"/>
  <c r="X120" i="28"/>
  <c r="N120" i="28"/>
  <c r="L120" i="28"/>
  <c r="B120" i="28"/>
  <c r="X119" i="28"/>
  <c r="Z119" i="28" s="1"/>
  <c r="T119" i="28"/>
  <c r="P119" i="28"/>
  <c r="H119" i="28"/>
  <c r="D119" i="28"/>
  <c r="B119" i="28"/>
  <c r="X118" i="28"/>
  <c r="Z118" i="28" s="1"/>
  <c r="N118" i="28"/>
  <c r="L118" i="28"/>
  <c r="B118" i="28"/>
  <c r="X117" i="28"/>
  <c r="Z117" i="28" s="1"/>
  <c r="N117" i="28"/>
  <c r="L117" i="28"/>
  <c r="B117" i="28"/>
  <c r="T116" i="28"/>
  <c r="X116" i="28" s="1"/>
  <c r="Z116" i="28" s="1"/>
  <c r="P116" i="28"/>
  <c r="L116" i="28"/>
  <c r="H116" i="28"/>
  <c r="N116" i="28" s="1"/>
  <c r="D116" i="28"/>
  <c r="B116" i="28"/>
  <c r="Z115" i="28"/>
  <c r="X115" i="28"/>
  <c r="N115" i="28"/>
  <c r="L115" i="28"/>
  <c r="B115" i="28"/>
  <c r="X114" i="28"/>
  <c r="T114" i="28"/>
  <c r="Z114" i="28" s="1"/>
  <c r="P114" i="28"/>
  <c r="H114" i="28"/>
  <c r="N114" i="28" s="1"/>
  <c r="D114" i="28"/>
  <c r="L114" i="28" s="1"/>
  <c r="B114" i="28"/>
  <c r="Z113" i="28"/>
  <c r="X113" i="28"/>
  <c r="N113" i="28"/>
  <c r="L113" i="28"/>
  <c r="B113" i="28"/>
  <c r="T112" i="28"/>
  <c r="Z112" i="28" s="1"/>
  <c r="P112" i="28"/>
  <c r="X112" i="28" s="1"/>
  <c r="N112" i="28"/>
  <c r="H112" i="28"/>
  <c r="D112" i="28"/>
  <c r="L112" i="28" s="1"/>
  <c r="B112" i="28"/>
  <c r="Z111" i="28"/>
  <c r="X111" i="28"/>
  <c r="N111" i="28"/>
  <c r="L111" i="28"/>
  <c r="B111" i="28"/>
  <c r="Z110" i="28"/>
  <c r="X110" i="28"/>
  <c r="N110" i="28"/>
  <c r="L110" i="28"/>
  <c r="B110" i="28"/>
  <c r="Z109" i="28"/>
  <c r="T109" i="28"/>
  <c r="P109" i="28"/>
  <c r="X109" i="28" s="1"/>
  <c r="N109" i="28"/>
  <c r="L109" i="28"/>
  <c r="H109" i="28"/>
  <c r="D109" i="28"/>
  <c r="B109" i="28"/>
  <c r="Z108" i="28"/>
  <c r="X108" i="28"/>
  <c r="N108" i="28"/>
  <c r="L108" i="28"/>
  <c r="B108" i="28"/>
  <c r="X107" i="28"/>
  <c r="Z107" i="28" s="1"/>
  <c r="T107" i="28"/>
  <c r="P107" i="28"/>
  <c r="H107" i="28"/>
  <c r="D107" i="28"/>
  <c r="B107" i="28"/>
  <c r="X106" i="28"/>
  <c r="Z106" i="28" s="1"/>
  <c r="N106" i="28"/>
  <c r="L106" i="28"/>
  <c r="B106" i="28"/>
  <c r="T105" i="28"/>
  <c r="P105" i="28"/>
  <c r="H105" i="28"/>
  <c r="D105" i="28"/>
  <c r="L105" i="28" s="1"/>
  <c r="B105" i="28"/>
  <c r="X104" i="28"/>
  <c r="Z104" i="28" s="1"/>
  <c r="N104" i="28"/>
  <c r="L104" i="28"/>
  <c r="B104" i="28"/>
  <c r="T103" i="28"/>
  <c r="P103" i="28"/>
  <c r="X103" i="28" s="1"/>
  <c r="H103" i="28"/>
  <c r="D103" i="28"/>
  <c r="L103" i="28" s="1"/>
  <c r="N103" i="28" s="1"/>
  <c r="B103" i="28"/>
  <c r="Z102" i="28"/>
  <c r="X102" i="28"/>
  <c r="L102" i="28"/>
  <c r="N102" i="28" s="1"/>
  <c r="B102" i="28"/>
  <c r="Z101" i="28"/>
  <c r="X101" i="28"/>
  <c r="L101" i="28"/>
  <c r="N101" i="28" s="1"/>
  <c r="B101" i="28"/>
  <c r="Z100" i="28"/>
  <c r="X100" i="28"/>
  <c r="N100" i="28"/>
  <c r="L100" i="28"/>
  <c r="B100" i="28"/>
  <c r="X99" i="28"/>
  <c r="Z99" i="28" s="1"/>
  <c r="L99" i="28"/>
  <c r="N99" i="28" s="1"/>
  <c r="B99" i="28"/>
  <c r="X98" i="28"/>
  <c r="Z98" i="28" s="1"/>
  <c r="N98" i="28"/>
  <c r="L98" i="28"/>
  <c r="B98" i="28"/>
  <c r="X97" i="28"/>
  <c r="Z97" i="28" s="1"/>
  <c r="N97" i="28"/>
  <c r="L97" i="28"/>
  <c r="B97" i="28"/>
  <c r="T96" i="28"/>
  <c r="X96" i="28" s="1"/>
  <c r="Z96" i="28" s="1"/>
  <c r="P96" i="28"/>
  <c r="H96" i="28"/>
  <c r="N96" i="28" s="1"/>
  <c r="D96" i="28"/>
  <c r="L96" i="28" s="1"/>
  <c r="B96" i="28"/>
  <c r="X95" i="28"/>
  <c r="Z95" i="28" s="1"/>
  <c r="L95" i="28"/>
  <c r="N95" i="28" s="1"/>
  <c r="B95" i="28"/>
  <c r="X94" i="28"/>
  <c r="Z94" i="28" s="1"/>
  <c r="N94" i="28"/>
  <c r="L94" i="28"/>
  <c r="B94" i="28"/>
  <c r="X93" i="28"/>
  <c r="Z93" i="28" s="1"/>
  <c r="N93" i="28"/>
  <c r="L93" i="28"/>
  <c r="B93" i="28"/>
  <c r="Z92" i="28"/>
  <c r="X92" i="28"/>
  <c r="L92" i="28"/>
  <c r="N92" i="28" s="1"/>
  <c r="B92" i="28"/>
  <c r="X91" i="28"/>
  <c r="Z91" i="28" s="1"/>
  <c r="L91" i="28"/>
  <c r="N91" i="28" s="1"/>
  <c r="B91" i="28"/>
  <c r="Z90" i="28"/>
  <c r="X90" i="28"/>
  <c r="L90" i="28"/>
  <c r="N90" i="28" s="1"/>
  <c r="B90" i="28"/>
  <c r="Z89" i="28"/>
  <c r="X89" i="28"/>
  <c r="L89" i="28"/>
  <c r="N89" i="28" s="1"/>
  <c r="B89" i="28"/>
  <c r="X88" i="28"/>
  <c r="Z88" i="28" s="1"/>
  <c r="N88" i="28"/>
  <c r="L88" i="28"/>
  <c r="B88" i="28"/>
  <c r="T87" i="28"/>
  <c r="Z87" i="28" s="1"/>
  <c r="P87" i="28"/>
  <c r="X87" i="28" s="1"/>
  <c r="H87" i="28"/>
  <c r="D87" i="28"/>
  <c r="L87" i="28" s="1"/>
  <c r="N87" i="28" s="1"/>
  <c r="B87" i="28"/>
  <c r="T86" i="28" a="1"/>
  <c r="T86" i="28"/>
  <c r="P86" i="28" a="1"/>
  <c r="P86" i="28" s="1"/>
  <c r="H86" i="28" a="1"/>
  <c r="H86" i="28" s="1"/>
  <c r="D86" i="28" a="1"/>
  <c r="D86" i="28" s="1"/>
  <c r="X82" i="28"/>
  <c r="Z82" i="28" s="1"/>
  <c r="N82" i="28"/>
  <c r="L82" i="28"/>
  <c r="B82" i="28"/>
  <c r="Z81" i="28"/>
  <c r="X81" i="28"/>
  <c r="N81" i="28"/>
  <c r="L81" i="28"/>
  <c r="B81" i="28"/>
  <c r="Z80" i="28"/>
  <c r="X80" i="28"/>
  <c r="N80" i="28"/>
  <c r="L80" i="28"/>
  <c r="B80" i="28"/>
  <c r="X79" i="28"/>
  <c r="Z79" i="28" s="1"/>
  <c r="L79" i="28"/>
  <c r="N79" i="28" s="1"/>
  <c r="B79" i="28"/>
  <c r="Z78" i="28"/>
  <c r="X78" i="28"/>
  <c r="L78" i="28"/>
  <c r="N78" i="28" s="1"/>
  <c r="B78" i="28"/>
  <c r="Z77" i="28"/>
  <c r="X77" i="28"/>
  <c r="L77" i="28"/>
  <c r="N77" i="28" s="1"/>
  <c r="B77" i="28"/>
  <c r="X76" i="28"/>
  <c r="Z76" i="28" s="1"/>
  <c r="N76" i="28"/>
  <c r="L76" i="28"/>
  <c r="B76" i="28"/>
  <c r="X75" i="28"/>
  <c r="Z75" i="28" s="1"/>
  <c r="L75" i="28"/>
  <c r="N75" i="28" s="1"/>
  <c r="B75" i="28"/>
  <c r="Z74" i="28"/>
  <c r="X74" i="28"/>
  <c r="N74" i="28"/>
  <c r="L74" i="28"/>
  <c r="B74" i="28"/>
  <c r="X73" i="28"/>
  <c r="Z73" i="28" s="1"/>
  <c r="N73" i="28"/>
  <c r="L73" i="28"/>
  <c r="B73" i="28"/>
  <c r="Z72" i="28"/>
  <c r="X72" i="28"/>
  <c r="N72" i="28"/>
  <c r="L72" i="28"/>
  <c r="B72" i="28"/>
  <c r="X71" i="28"/>
  <c r="Z71" i="28" s="1"/>
  <c r="L71" i="28"/>
  <c r="N71" i="28" s="1"/>
  <c r="B71" i="28"/>
  <c r="Z70" i="28"/>
  <c r="X70" i="28"/>
  <c r="L70" i="28"/>
  <c r="N70" i="28" s="1"/>
  <c r="B70" i="28"/>
  <c r="Z69" i="28"/>
  <c r="X69" i="28"/>
  <c r="N69" i="28"/>
  <c r="L69" i="28"/>
  <c r="B69" i="28"/>
  <c r="X68" i="28"/>
  <c r="Z68" i="28" s="1"/>
  <c r="N68" i="28"/>
  <c r="L68" i="28"/>
  <c r="B68" i="28"/>
  <c r="X67" i="28"/>
  <c r="Z67" i="28" s="1"/>
  <c r="N67" i="28"/>
  <c r="L67" i="28"/>
  <c r="B67" i="28"/>
  <c r="X66" i="28"/>
  <c r="Z66" i="28" s="1"/>
  <c r="N66" i="28"/>
  <c r="L66" i="28"/>
  <c r="B66" i="28"/>
  <c r="X65" i="28"/>
  <c r="Z65" i="28" s="1"/>
  <c r="N65" i="28"/>
  <c r="L65" i="28"/>
  <c r="B65" i="28"/>
  <c r="Z64" i="28"/>
  <c r="X64" i="28"/>
  <c r="L64" i="28"/>
  <c r="N64" i="28" s="1"/>
  <c r="B64" i="28"/>
  <c r="X63" i="28"/>
  <c r="Z63" i="28" s="1"/>
  <c r="L63" i="28"/>
  <c r="N63" i="28" s="1"/>
  <c r="B63" i="28"/>
  <c r="Z62" i="28"/>
  <c r="X62" i="28"/>
  <c r="N62" i="28"/>
  <c r="L62" i="28"/>
  <c r="B62" i="28"/>
  <c r="Z61" i="28"/>
  <c r="X61" i="28"/>
  <c r="L61" i="28"/>
  <c r="N61" i="28" s="1"/>
  <c r="B61" i="28"/>
  <c r="X60" i="28"/>
  <c r="Z60" i="28" s="1"/>
  <c r="N60" i="28"/>
  <c r="L60" i="28"/>
  <c r="B60" i="28"/>
  <c r="X59" i="28"/>
  <c r="Z59" i="28" s="1"/>
  <c r="L59" i="28"/>
  <c r="N59" i="28" s="1"/>
  <c r="B59" i="28"/>
  <c r="X58" i="28"/>
  <c r="Z58" i="28" s="1"/>
  <c r="N58" i="28"/>
  <c r="L58" i="28"/>
  <c r="B58" i="28"/>
  <c r="Z57" i="28"/>
  <c r="X57" i="28"/>
  <c r="N57" i="28"/>
  <c r="L57" i="28"/>
  <c r="B57" i="28"/>
  <c r="T56" i="28"/>
  <c r="X56" i="28" s="1"/>
  <c r="Z56" i="28" s="1"/>
  <c r="P56" i="28"/>
  <c r="H56" i="28"/>
  <c r="D56" i="28"/>
  <c r="L56" i="28" s="1"/>
  <c r="T54" i="28"/>
  <c r="Z54" i="28" s="1"/>
  <c r="P54" i="28"/>
  <c r="X54" i="28" s="1"/>
  <c r="H54" i="28"/>
  <c r="N54" i="28" s="1"/>
  <c r="D54" i="28"/>
  <c r="L54" i="28" s="1"/>
  <c r="B54" i="28"/>
  <c r="T53" i="28"/>
  <c r="P53" i="28"/>
  <c r="X53" i="28" s="1"/>
  <c r="L53" i="28"/>
  <c r="H53" i="28"/>
  <c r="N53" i="28" s="1"/>
  <c r="D53" i="28"/>
  <c r="B53" i="28"/>
  <c r="T52" i="28"/>
  <c r="P52" i="28"/>
  <c r="N52" i="28"/>
  <c r="L52" i="28"/>
  <c r="H52" i="28"/>
  <c r="D52" i="28"/>
  <c r="B52" i="28"/>
  <c r="T51" i="28"/>
  <c r="P51" i="28"/>
  <c r="X51" i="28" s="1"/>
  <c r="Z51" i="28" s="1"/>
  <c r="H51" i="28"/>
  <c r="D51" i="28"/>
  <c r="L51" i="28" s="1"/>
  <c r="N51" i="28" s="1"/>
  <c r="B51" i="28"/>
  <c r="T50" i="28"/>
  <c r="Z50" i="28" s="1"/>
  <c r="P50" i="28"/>
  <c r="X50" i="28" s="1"/>
  <c r="H50" i="28"/>
  <c r="N50" i="28" s="1"/>
  <c r="D50" i="28"/>
  <c r="L50" i="28" s="1"/>
  <c r="B50" i="28"/>
  <c r="X49" i="28"/>
  <c r="T49" i="28"/>
  <c r="P49" i="28"/>
  <c r="H49" i="28"/>
  <c r="N49" i="28" s="1"/>
  <c r="D49" i="28"/>
  <c r="L49" i="28" s="1"/>
  <c r="B49" i="28"/>
  <c r="Z48" i="28"/>
  <c r="X48" i="28"/>
  <c r="T48" i="28"/>
  <c r="P48" i="28"/>
  <c r="H48" i="28"/>
  <c r="D48" i="28"/>
  <c r="B48" i="28"/>
  <c r="T47" i="28"/>
  <c r="P47" i="28"/>
  <c r="X47" i="28" s="1"/>
  <c r="Z47" i="28" s="1"/>
  <c r="H47" i="28"/>
  <c r="D47" i="28"/>
  <c r="L47" i="28" s="1"/>
  <c r="N47" i="28" s="1"/>
  <c r="B47" i="28"/>
  <c r="T46" i="28"/>
  <c r="Z46" i="28" s="1"/>
  <c r="P46" i="28"/>
  <c r="X46" i="28" s="1"/>
  <c r="H46" i="28"/>
  <c r="D46" i="28"/>
  <c r="B46" i="28"/>
  <c r="T45" i="28"/>
  <c r="P45" i="28"/>
  <c r="X45" i="28" s="1"/>
  <c r="L45" i="28"/>
  <c r="H45" i="28"/>
  <c r="N45" i="28" s="1"/>
  <c r="D45" i="28"/>
  <c r="B45" i="28"/>
  <c r="T44" i="28"/>
  <c r="P44" i="28"/>
  <c r="N44" i="28"/>
  <c r="L44" i="28"/>
  <c r="H44" i="28"/>
  <c r="D44" i="28"/>
  <c r="B44" i="28"/>
  <c r="T43" i="28"/>
  <c r="P43" i="28"/>
  <c r="X43" i="28" s="1"/>
  <c r="Z43" i="28" s="1"/>
  <c r="H43" i="28"/>
  <c r="D43" i="28"/>
  <c r="L43" i="28" s="1"/>
  <c r="N43" i="28" s="1"/>
  <c r="B43" i="28"/>
  <c r="T42" i="28"/>
  <c r="P42" i="28"/>
  <c r="X42" i="28" s="1"/>
  <c r="H42" i="28"/>
  <c r="D42" i="28"/>
  <c r="L42" i="28" s="1"/>
  <c r="B42" i="28"/>
  <c r="X41" i="28"/>
  <c r="T41" i="28"/>
  <c r="Z41" i="28" s="1"/>
  <c r="P41" i="28"/>
  <c r="H41" i="28"/>
  <c r="N41" i="28" s="1"/>
  <c r="D41" i="28"/>
  <c r="L41" i="28" s="1"/>
  <c r="B41" i="28"/>
  <c r="Z40" i="28"/>
  <c r="X40" i="28"/>
  <c r="T40" i="28"/>
  <c r="P40" i="28"/>
  <c r="H40" i="28"/>
  <c r="N40" i="28" s="1"/>
  <c r="D40" i="28"/>
  <c r="B40" i="28"/>
  <c r="T39" i="28"/>
  <c r="P39" i="28"/>
  <c r="X39" i="28" s="1"/>
  <c r="Z39" i="28" s="1"/>
  <c r="N39" i="28"/>
  <c r="H39" i="28"/>
  <c r="D39" i="28"/>
  <c r="L39" i="28" s="1"/>
  <c r="B39" i="28"/>
  <c r="T38" i="28"/>
  <c r="P38" i="28"/>
  <c r="X38" i="28" s="1"/>
  <c r="H38" i="28"/>
  <c r="D38" i="28"/>
  <c r="L38" i="28" s="1"/>
  <c r="B38" i="28"/>
  <c r="T37" i="28"/>
  <c r="P37" i="28"/>
  <c r="X37" i="28" s="1"/>
  <c r="L37" i="28"/>
  <c r="H37" i="28"/>
  <c r="D37" i="28"/>
  <c r="B37" i="28"/>
  <c r="T36" i="28"/>
  <c r="P36" i="28"/>
  <c r="N36" i="28"/>
  <c r="L36" i="28"/>
  <c r="H36" i="28"/>
  <c r="D36" i="28"/>
  <c r="B36" i="28"/>
  <c r="T35" i="28"/>
  <c r="P35" i="28"/>
  <c r="X35" i="28" s="1"/>
  <c r="Z35" i="28" s="1"/>
  <c r="H35" i="28"/>
  <c r="D35" i="28"/>
  <c r="L35" i="28" s="1"/>
  <c r="N35" i="28" s="1"/>
  <c r="B35" i="28"/>
  <c r="T34" i="28"/>
  <c r="P34" i="28"/>
  <c r="H34" i="28"/>
  <c r="N34" i="28" s="1"/>
  <c r="D34" i="28"/>
  <c r="L34" i="28" s="1"/>
  <c r="B34" i="28"/>
  <c r="X33" i="28"/>
  <c r="T33" i="28"/>
  <c r="Z33" i="28" s="1"/>
  <c r="P33" i="28"/>
  <c r="H33" i="28"/>
  <c r="N33" i="28" s="1"/>
  <c r="D33" i="28"/>
  <c r="L33" i="28" s="1"/>
  <c r="B33" i="28"/>
  <c r="Z32" i="28"/>
  <c r="X32" i="28"/>
  <c r="T32" i="28"/>
  <c r="P32" i="28"/>
  <c r="H32" i="28"/>
  <c r="N32" i="28" s="1"/>
  <c r="D32" i="28"/>
  <c r="B32" i="28"/>
  <c r="T31" i="28"/>
  <c r="P31" i="28"/>
  <c r="X31" i="28" s="1"/>
  <c r="Z31" i="28" s="1"/>
  <c r="N31" i="28"/>
  <c r="H31" i="28"/>
  <c r="D31" i="28"/>
  <c r="L31" i="28" s="1"/>
  <c r="B31" i="28"/>
  <c r="T30" i="28"/>
  <c r="Z30" i="28" s="1"/>
  <c r="P30" i="28"/>
  <c r="X30" i="28" s="1"/>
  <c r="H30" i="28"/>
  <c r="N30" i="28" s="1"/>
  <c r="D30" i="28"/>
  <c r="B30" i="28"/>
  <c r="T29" i="28"/>
  <c r="P29" i="28"/>
  <c r="X29" i="28" s="1"/>
  <c r="L29" i="28"/>
  <c r="H29" i="28"/>
  <c r="N29" i="28" s="1"/>
  <c r="D29" i="28"/>
  <c r="B29" i="28"/>
  <c r="T28" i="28"/>
  <c r="P28" i="28"/>
  <c r="N28" i="28"/>
  <c r="L28" i="28"/>
  <c r="H28" i="28"/>
  <c r="D28" i="28"/>
  <c r="B28" i="28"/>
  <c r="T27" i="28"/>
  <c r="P27" i="28"/>
  <c r="X27" i="28" s="1"/>
  <c r="Z27" i="28" s="1"/>
  <c r="H27" i="28"/>
  <c r="D27" i="28"/>
  <c r="L27" i="28" s="1"/>
  <c r="N27" i="28" s="1"/>
  <c r="B27" i="28"/>
  <c r="T26" i="28"/>
  <c r="P26" i="28"/>
  <c r="X26" i="28" s="1"/>
  <c r="H26" i="28"/>
  <c r="N26" i="28" s="1"/>
  <c r="D26" i="28"/>
  <c r="L26" i="28" s="1"/>
  <c r="B26" i="28"/>
  <c r="X25" i="28"/>
  <c r="T25" i="28"/>
  <c r="Z25" i="28" s="1"/>
  <c r="P25" i="28"/>
  <c r="H25" i="28"/>
  <c r="N25" i="28" s="1"/>
  <c r="D25" i="28"/>
  <c r="L25" i="28" s="1"/>
  <c r="B25" i="28"/>
  <c r="Z24" i="28"/>
  <c r="X24" i="28"/>
  <c r="T24" i="28"/>
  <c r="P24" i="28"/>
  <c r="H24" i="28"/>
  <c r="D24" i="28"/>
  <c r="B24" i="28"/>
  <c r="T23" i="28"/>
  <c r="P23" i="28"/>
  <c r="X23" i="28" s="1"/>
  <c r="Z23" i="28" s="1"/>
  <c r="H23" i="28"/>
  <c r="D23" i="28"/>
  <c r="L23" i="28" s="1"/>
  <c r="N23" i="28" s="1"/>
  <c r="B23" i="28"/>
  <c r="T22" i="28"/>
  <c r="P22" i="28"/>
  <c r="X22" i="28" s="1"/>
  <c r="H22" i="28"/>
  <c r="D22" i="28"/>
  <c r="B22" i="28"/>
  <c r="T21" i="28"/>
  <c r="P21" i="28"/>
  <c r="X21" i="28" s="1"/>
  <c r="L21" i="28"/>
  <c r="H21" i="28"/>
  <c r="N21" i="28" s="1"/>
  <c r="D21" i="28"/>
  <c r="B21" i="28"/>
  <c r="T20" i="28"/>
  <c r="P20" i="28"/>
  <c r="N20" i="28"/>
  <c r="L20" i="28"/>
  <c r="H20" i="28"/>
  <c r="D20" i="28"/>
  <c r="B20" i="28"/>
  <c r="T19" i="28"/>
  <c r="P19" i="28"/>
  <c r="X19" i="28" s="1"/>
  <c r="Z19" i="28" s="1"/>
  <c r="H19" i="28"/>
  <c r="D19" i="28"/>
  <c r="L19" i="28" s="1"/>
  <c r="N19" i="28" s="1"/>
  <c r="B19" i="28"/>
  <c r="T18" i="28"/>
  <c r="P18" i="28"/>
  <c r="X18" i="28" s="1"/>
  <c r="H18" i="28"/>
  <c r="N18" i="28" s="1"/>
  <c r="D18" i="28"/>
  <c r="L18" i="28" s="1"/>
  <c r="B18" i="28"/>
  <c r="X17" i="28"/>
  <c r="T17" i="28"/>
  <c r="P17" i="28"/>
  <c r="H17" i="28"/>
  <c r="D17" i="28"/>
  <c r="L17" i="28" s="1"/>
  <c r="B17" i="28"/>
  <c r="Z16" i="28"/>
  <c r="X16" i="28"/>
  <c r="T16" i="28"/>
  <c r="P16" i="28"/>
  <c r="H16" i="28"/>
  <c r="D16" i="28"/>
  <c r="B16" i="28"/>
  <c r="T15" i="28"/>
  <c r="P15" i="28"/>
  <c r="X15" i="28" s="1"/>
  <c r="Z15" i="28" s="1"/>
  <c r="H15" i="28"/>
  <c r="D15" i="28"/>
  <c r="L15" i="28" s="1"/>
  <c r="N15" i="28" s="1"/>
  <c r="B15" i="28"/>
  <c r="T14" i="28"/>
  <c r="Z14" i="28" s="1"/>
  <c r="P14" i="28"/>
  <c r="X14" i="28" s="1"/>
  <c r="H14" i="28"/>
  <c r="D14" i="28"/>
  <c r="B14" i="28"/>
  <c r="T13" i="28"/>
  <c r="P13" i="28"/>
  <c r="X13" i="28" s="1"/>
  <c r="L13" i="28"/>
  <c r="H13" i="28"/>
  <c r="D13" i="28"/>
  <c r="B13" i="28"/>
  <c r="D4" i="28"/>
  <c r="B39" i="27"/>
  <c r="B38" i="27"/>
  <c r="T34" i="27"/>
  <c r="Z34" i="27" s="1"/>
  <c r="P34" i="27"/>
  <c r="H34" i="27"/>
  <c r="N34" i="27" s="1"/>
  <c r="D34" i="27"/>
  <c r="T33" i="27"/>
  <c r="Z33" i="27" s="1"/>
  <c r="P33" i="27"/>
  <c r="H33" i="27"/>
  <c r="D33" i="27"/>
  <c r="T29" i="27"/>
  <c r="P29" i="27"/>
  <c r="H29" i="27"/>
  <c r="D29" i="27"/>
  <c r="T25" i="27"/>
  <c r="Z25" i="27" s="1"/>
  <c r="P25" i="27"/>
  <c r="H25" i="27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D22" i="27"/>
  <c r="B22" i="27"/>
  <c r="T21" i="27"/>
  <c r="P21" i="27"/>
  <c r="H21" i="27"/>
  <c r="N21" i="27" s="1"/>
  <c r="D21" i="27"/>
  <c r="B21" i="27"/>
  <c r="T20" i="27"/>
  <c r="Z20" i="27" s="1"/>
  <c r="P20" i="27"/>
  <c r="H20" i="27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D15" i="27"/>
  <c r="T13" i="27"/>
  <c r="Z13" i="27" s="1"/>
  <c r="P13" i="27"/>
  <c r="H13" i="27"/>
  <c r="N13" i="27" s="1"/>
  <c r="D13" i="27"/>
  <c r="B13" i="27"/>
  <c r="T12" i="27"/>
  <c r="V36" i="27" s="1"/>
  <c r="P12" i="27"/>
  <c r="R16" i="27" s="1"/>
  <c r="H12" i="27"/>
  <c r="J22" i="27" s="1"/>
  <c r="D12" i="27"/>
  <c r="F22" i="27" s="1"/>
  <c r="D5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D29" i="26"/>
  <c r="T25" i="26"/>
  <c r="Z25" i="26" s="1"/>
  <c r="P25" i="26"/>
  <c r="H25" i="26"/>
  <c r="N25" i="26" s="1"/>
  <c r="D25" i="26"/>
  <c r="B25" i="26"/>
  <c r="T24" i="26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D15" i="26"/>
  <c r="T13" i="26"/>
  <c r="Z13" i="26" s="1"/>
  <c r="P13" i="26"/>
  <c r="H13" i="26"/>
  <c r="N13" i="26" s="1"/>
  <c r="D13" i="26"/>
  <c r="B13" i="26"/>
  <c r="T12" i="26"/>
  <c r="V31" i="26" s="1"/>
  <c r="P12" i="26"/>
  <c r="R34" i="26" s="1"/>
  <c r="H12" i="26"/>
  <c r="J29" i="26" s="1"/>
  <c r="D12" i="26"/>
  <c r="F36" i="26" s="1"/>
  <c r="D5" i="26"/>
  <c r="D4" i="26"/>
  <c r="X119" i="25"/>
  <c r="Z119" i="25" s="1"/>
  <c r="L119" i="25"/>
  <c r="N119" i="25" s="1"/>
  <c r="T115" i="25"/>
  <c r="Z115" i="25" s="1"/>
  <c r="P115" i="25"/>
  <c r="X115" i="25" s="1"/>
  <c r="H115" i="25"/>
  <c r="D115" i="25"/>
  <c r="L115" i="25" s="1"/>
  <c r="N115" i="25" s="1"/>
  <c r="B115" i="25"/>
  <c r="Z114" i="25"/>
  <c r="X114" i="25"/>
  <c r="T114" i="25"/>
  <c r="P114" i="25"/>
  <c r="P112" i="25" s="1"/>
  <c r="H114" i="25"/>
  <c r="L114" i="25" s="1"/>
  <c r="N114" i="25" s="1"/>
  <c r="D114" i="25"/>
  <c r="B114" i="25"/>
  <c r="T113" i="25"/>
  <c r="P113" i="25"/>
  <c r="H113" i="25"/>
  <c r="D113" i="25"/>
  <c r="B113" i="25"/>
  <c r="Z110" i="25"/>
  <c r="X110" i="25"/>
  <c r="N110" i="25"/>
  <c r="L110" i="25"/>
  <c r="B110" i="25"/>
  <c r="X109" i="25"/>
  <c r="Z109" i="25" s="1"/>
  <c r="T109" i="25"/>
  <c r="P109" i="25"/>
  <c r="H109" i="25"/>
  <c r="D109" i="25"/>
  <c r="B109" i="25"/>
  <c r="X108" i="25"/>
  <c r="Z108" i="25" s="1"/>
  <c r="N108" i="25"/>
  <c r="L108" i="25"/>
  <c r="B108" i="25"/>
  <c r="X107" i="25"/>
  <c r="Z107" i="25" s="1"/>
  <c r="N107" i="25"/>
  <c r="L107" i="25"/>
  <c r="B107" i="25"/>
  <c r="T106" i="25"/>
  <c r="X106" i="25" s="1"/>
  <c r="Z106" i="25" s="1"/>
  <c r="P106" i="25"/>
  <c r="H106" i="25"/>
  <c r="D106" i="25"/>
  <c r="L106" i="25" s="1"/>
  <c r="N106" i="25" s="1"/>
  <c r="B106" i="25"/>
  <c r="X105" i="25"/>
  <c r="Z105" i="25" s="1"/>
  <c r="L105" i="25"/>
  <c r="N105" i="25" s="1"/>
  <c r="B105" i="25"/>
  <c r="X104" i="25"/>
  <c r="Z104" i="25" s="1"/>
  <c r="N104" i="25"/>
  <c r="L104" i="25"/>
  <c r="B104" i="25"/>
  <c r="T103" i="25"/>
  <c r="P103" i="25"/>
  <c r="H103" i="25"/>
  <c r="N103" i="25" s="1"/>
  <c r="D103" i="25"/>
  <c r="L103" i="25" s="1"/>
  <c r="B103" i="25"/>
  <c r="X102" i="25"/>
  <c r="Z102" i="25" s="1"/>
  <c r="N102" i="25"/>
  <c r="L102" i="25"/>
  <c r="B102" i="25"/>
  <c r="X101" i="25"/>
  <c r="Z101" i="25" s="1"/>
  <c r="L101" i="25"/>
  <c r="N101" i="25" s="1"/>
  <c r="B101" i="25"/>
  <c r="T100" i="25"/>
  <c r="P100" i="25"/>
  <c r="X100" i="25" s="1"/>
  <c r="Z100" i="25" s="1"/>
  <c r="H100" i="25"/>
  <c r="N100" i="25" s="1"/>
  <c r="D100" i="25"/>
  <c r="L100" i="25" s="1"/>
  <c r="B100" i="25"/>
  <c r="Z99" i="25"/>
  <c r="X99" i="25"/>
  <c r="N99" i="25"/>
  <c r="L99" i="25"/>
  <c r="B99" i="25"/>
  <c r="X98" i="25"/>
  <c r="Z98" i="25" s="1"/>
  <c r="N98" i="25"/>
  <c r="L98" i="25"/>
  <c r="B98" i="25"/>
  <c r="Z97" i="25"/>
  <c r="X97" i="25"/>
  <c r="N97" i="25"/>
  <c r="L97" i="25"/>
  <c r="B97" i="25"/>
  <c r="T96" i="25"/>
  <c r="P96" i="25"/>
  <c r="X96" i="25" s="1"/>
  <c r="Z96" i="25" s="1"/>
  <c r="H96" i="25"/>
  <c r="N96" i="25" s="1"/>
  <c r="D96" i="25"/>
  <c r="L96" i="25" s="1"/>
  <c r="B96" i="25"/>
  <c r="Z95" i="25"/>
  <c r="X95" i="25"/>
  <c r="L95" i="25"/>
  <c r="N95" i="25" s="1"/>
  <c r="B95" i="25"/>
  <c r="T94" i="25"/>
  <c r="Z94" i="25" s="1"/>
  <c r="P94" i="25"/>
  <c r="X94" i="25" s="1"/>
  <c r="N94" i="25"/>
  <c r="L94" i="25"/>
  <c r="H94" i="25"/>
  <c r="D94" i="25"/>
  <c r="B94" i="25"/>
  <c r="X93" i="25"/>
  <c r="Z93" i="25" s="1"/>
  <c r="N93" i="25"/>
  <c r="L93" i="25"/>
  <c r="B93" i="25"/>
  <c r="Z92" i="25"/>
  <c r="X92" i="25"/>
  <c r="T92" i="25"/>
  <c r="P92" i="25"/>
  <c r="N92" i="25"/>
  <c r="H92" i="25"/>
  <c r="L92" i="25" s="1"/>
  <c r="D92" i="25"/>
  <c r="B92" i="25"/>
  <c r="X91" i="25"/>
  <c r="Z91" i="25" s="1"/>
  <c r="N91" i="25"/>
  <c r="L91" i="25"/>
  <c r="B91" i="25"/>
  <c r="Z90" i="25"/>
  <c r="X90" i="25"/>
  <c r="L90" i="25"/>
  <c r="N90" i="25" s="1"/>
  <c r="B90" i="25"/>
  <c r="X89" i="25"/>
  <c r="Z89" i="25" s="1"/>
  <c r="T89" i="25"/>
  <c r="P89" i="25"/>
  <c r="H89" i="25"/>
  <c r="D89" i="25"/>
  <c r="B89" i="25"/>
  <c r="X88" i="25"/>
  <c r="Z88" i="25" s="1"/>
  <c r="N88" i="25"/>
  <c r="L88" i="25"/>
  <c r="B88" i="25"/>
  <c r="T87" i="25"/>
  <c r="P87" i="25"/>
  <c r="H87" i="25"/>
  <c r="D87" i="25"/>
  <c r="L87" i="25" s="1"/>
  <c r="B87" i="25"/>
  <c r="X86" i="25"/>
  <c r="Z86" i="25" s="1"/>
  <c r="N86" i="25"/>
  <c r="L86" i="25"/>
  <c r="B86" i="25"/>
  <c r="T85" i="25"/>
  <c r="P85" i="25"/>
  <c r="X85" i="25" s="1"/>
  <c r="N85" i="25"/>
  <c r="H85" i="25"/>
  <c r="D85" i="25"/>
  <c r="L85" i="25" s="1"/>
  <c r="B85" i="25"/>
  <c r="Z84" i="25"/>
  <c r="X84" i="25"/>
  <c r="N84" i="25"/>
  <c r="L84" i="25"/>
  <c r="B84" i="25"/>
  <c r="Z83" i="25"/>
  <c r="X83" i="25"/>
  <c r="N83" i="25"/>
  <c r="L83" i="25"/>
  <c r="B83" i="25"/>
  <c r="T82" i="25"/>
  <c r="Z82" i="25" s="1"/>
  <c r="P82" i="25"/>
  <c r="X82" i="25" s="1"/>
  <c r="N82" i="25"/>
  <c r="L82" i="25"/>
  <c r="H82" i="25"/>
  <c r="D82" i="25"/>
  <c r="B82" i="25"/>
  <c r="X81" i="25"/>
  <c r="Z81" i="25" s="1"/>
  <c r="L81" i="25"/>
  <c r="N81" i="25" s="1"/>
  <c r="B81" i="25"/>
  <c r="Z80" i="25"/>
  <c r="X80" i="25"/>
  <c r="T80" i="25"/>
  <c r="P80" i="25"/>
  <c r="H80" i="25"/>
  <c r="L80" i="25" s="1"/>
  <c r="N80" i="25" s="1"/>
  <c r="D80" i="25"/>
  <c r="B80" i="25"/>
  <c r="X79" i="25"/>
  <c r="Z79" i="25" s="1"/>
  <c r="N79" i="25"/>
  <c r="L79" i="25"/>
  <c r="B79" i="25"/>
  <c r="Z78" i="25"/>
  <c r="X78" i="25"/>
  <c r="L78" i="25"/>
  <c r="N78" i="25" s="1"/>
  <c r="B78" i="25"/>
  <c r="X77" i="25"/>
  <c r="Z77" i="25" s="1"/>
  <c r="N77" i="25"/>
  <c r="L77" i="25"/>
  <c r="B77" i="25"/>
  <c r="Z76" i="25"/>
  <c r="X76" i="25"/>
  <c r="L76" i="25"/>
  <c r="N76" i="25" s="1"/>
  <c r="B76" i="25"/>
  <c r="Z75" i="25"/>
  <c r="X75" i="25"/>
  <c r="L75" i="25"/>
  <c r="N75" i="25" s="1"/>
  <c r="B75" i="25"/>
  <c r="X74" i="25"/>
  <c r="Z74" i="25" s="1"/>
  <c r="N74" i="25"/>
  <c r="L74" i="25"/>
  <c r="B74" i="25"/>
  <c r="X73" i="25"/>
  <c r="Z73" i="25" s="1"/>
  <c r="N73" i="25"/>
  <c r="L73" i="25"/>
  <c r="B73" i="25"/>
  <c r="T72" i="25"/>
  <c r="Z72" i="25" s="1"/>
  <c r="P72" i="25"/>
  <c r="X72" i="25" s="1"/>
  <c r="H72" i="25"/>
  <c r="N72" i="25" s="1"/>
  <c r="D72" i="25"/>
  <c r="L72" i="25" s="1"/>
  <c r="B72" i="25"/>
  <c r="Z71" i="25"/>
  <c r="X71" i="25"/>
  <c r="L71" i="25"/>
  <c r="N71" i="25" s="1"/>
  <c r="B71" i="25"/>
  <c r="X70" i="25"/>
  <c r="Z70" i="25" s="1"/>
  <c r="N70" i="25"/>
  <c r="L70" i="25"/>
  <c r="B70" i="25"/>
  <c r="X69" i="25"/>
  <c r="Z69" i="25" s="1"/>
  <c r="L69" i="25"/>
  <c r="N69" i="25" s="1"/>
  <c r="B69" i="25"/>
  <c r="X68" i="25"/>
  <c r="Z68" i="25" s="1"/>
  <c r="N68" i="25"/>
  <c r="L68" i="25"/>
  <c r="B68" i="25"/>
  <c r="X67" i="25"/>
  <c r="Z67" i="25" s="1"/>
  <c r="N67" i="25"/>
  <c r="L67" i="25"/>
  <c r="B67" i="25"/>
  <c r="Z66" i="25"/>
  <c r="X66" i="25"/>
  <c r="L66" i="25"/>
  <c r="N66" i="25" s="1"/>
  <c r="B66" i="25"/>
  <c r="X65" i="25"/>
  <c r="Z65" i="25" s="1"/>
  <c r="L65" i="25"/>
  <c r="N65" i="25" s="1"/>
  <c r="B65" i="25"/>
  <c r="Z64" i="25"/>
  <c r="X64" i="25"/>
  <c r="L64" i="25"/>
  <c r="N64" i="25" s="1"/>
  <c r="B64" i="25"/>
  <c r="Z63" i="25"/>
  <c r="X63" i="25"/>
  <c r="L63" i="25"/>
  <c r="N63" i="25" s="1"/>
  <c r="B63" i="25"/>
  <c r="T62" i="25"/>
  <c r="P62" i="25"/>
  <c r="X62" i="25" s="1"/>
  <c r="N62" i="25"/>
  <c r="L62" i="25"/>
  <c r="H62" i="25"/>
  <c r="D62" i="25"/>
  <c r="B62" i="25"/>
  <c r="T61" i="25" a="1"/>
  <c r="T61" i="25" s="1"/>
  <c r="P61" i="25" a="1"/>
  <c r="P61" i="25" s="1"/>
  <c r="H61" i="25" a="1"/>
  <c r="H61" i="25" s="1"/>
  <c r="D61" i="25" a="1"/>
  <c r="D61" i="25" s="1"/>
  <c r="Z57" i="25"/>
  <c r="X57" i="25"/>
  <c r="N57" i="25"/>
  <c r="L57" i="25"/>
  <c r="B57" i="25"/>
  <c r="X56" i="25"/>
  <c r="Z56" i="25" s="1"/>
  <c r="N56" i="25"/>
  <c r="L56" i="25"/>
  <c r="B56" i="25"/>
  <c r="X55" i="25"/>
  <c r="Z55" i="25" s="1"/>
  <c r="N55" i="25"/>
  <c r="L55" i="25"/>
  <c r="B55" i="25"/>
  <c r="Z54" i="25"/>
  <c r="X54" i="25"/>
  <c r="N54" i="25"/>
  <c r="L54" i="25"/>
  <c r="B54" i="25"/>
  <c r="X53" i="25"/>
  <c r="Z53" i="25" s="1"/>
  <c r="L53" i="25"/>
  <c r="N53" i="25" s="1"/>
  <c r="B53" i="25"/>
  <c r="Z52" i="25"/>
  <c r="X52" i="25"/>
  <c r="N52" i="25"/>
  <c r="L52" i="25"/>
  <c r="B52" i="25"/>
  <c r="Z51" i="25"/>
  <c r="X51" i="25"/>
  <c r="L51" i="25"/>
  <c r="N51" i="25" s="1"/>
  <c r="B51" i="25"/>
  <c r="Z50" i="25"/>
  <c r="X50" i="25"/>
  <c r="N50" i="25"/>
  <c r="L50" i="25"/>
  <c r="B50" i="25"/>
  <c r="X49" i="25"/>
  <c r="Z49" i="25" s="1"/>
  <c r="L49" i="25"/>
  <c r="N49" i="25" s="1"/>
  <c r="B49" i="25"/>
  <c r="X48" i="25"/>
  <c r="Z48" i="25" s="1"/>
  <c r="N48" i="25"/>
  <c r="L48" i="25"/>
  <c r="B48" i="25"/>
  <c r="X47" i="25"/>
  <c r="Z47" i="25" s="1"/>
  <c r="N47" i="25"/>
  <c r="L47" i="25"/>
  <c r="B47" i="25"/>
  <c r="Z46" i="25"/>
  <c r="X46" i="25"/>
  <c r="N46" i="25"/>
  <c r="L46" i="25"/>
  <c r="B46" i="25"/>
  <c r="X45" i="25"/>
  <c r="Z45" i="25" s="1"/>
  <c r="L45" i="25"/>
  <c r="N45" i="25" s="1"/>
  <c r="B45" i="25"/>
  <c r="Z44" i="25"/>
  <c r="X44" i="25"/>
  <c r="N44" i="25"/>
  <c r="L44" i="25"/>
  <c r="B44" i="25"/>
  <c r="Z43" i="25"/>
  <c r="X43" i="25"/>
  <c r="L43" i="25"/>
  <c r="N43" i="25" s="1"/>
  <c r="B43" i="25"/>
  <c r="Z42" i="25"/>
  <c r="X42" i="25"/>
  <c r="N42" i="25"/>
  <c r="L42" i="25"/>
  <c r="B42" i="25"/>
  <c r="Z41" i="25"/>
  <c r="X41" i="25"/>
  <c r="N41" i="25"/>
  <c r="L41" i="25"/>
  <c r="B41" i="25"/>
  <c r="X40" i="25"/>
  <c r="T40" i="25"/>
  <c r="Z40" i="25" s="1"/>
  <c r="P40" i="25"/>
  <c r="H40" i="25"/>
  <c r="N40" i="25" s="1"/>
  <c r="D40" i="25"/>
  <c r="L40" i="25" s="1"/>
  <c r="Z38" i="25"/>
  <c r="X38" i="25"/>
  <c r="T38" i="25"/>
  <c r="P38" i="25"/>
  <c r="H38" i="25"/>
  <c r="N38" i="25" s="1"/>
  <c r="D38" i="25"/>
  <c r="B38" i="25"/>
  <c r="T37" i="25"/>
  <c r="P37" i="25"/>
  <c r="X37" i="25" s="1"/>
  <c r="Z37" i="25" s="1"/>
  <c r="H37" i="25"/>
  <c r="D37" i="25"/>
  <c r="L37" i="25" s="1"/>
  <c r="N37" i="25" s="1"/>
  <c r="B37" i="25"/>
  <c r="T36" i="25"/>
  <c r="Z36" i="25" s="1"/>
  <c r="P36" i="25"/>
  <c r="X36" i="25" s="1"/>
  <c r="H36" i="25"/>
  <c r="D36" i="25"/>
  <c r="B36" i="25"/>
  <c r="T35" i="25"/>
  <c r="P35" i="25"/>
  <c r="X35" i="25" s="1"/>
  <c r="L35" i="25"/>
  <c r="H35" i="25"/>
  <c r="N35" i="25" s="1"/>
  <c r="D35" i="25"/>
  <c r="B35" i="25"/>
  <c r="T34" i="25"/>
  <c r="Z34" i="25" s="1"/>
  <c r="P34" i="25"/>
  <c r="N34" i="25"/>
  <c r="L34" i="25"/>
  <c r="H34" i="25"/>
  <c r="D34" i="25"/>
  <c r="B34" i="25"/>
  <c r="T33" i="25"/>
  <c r="P33" i="25"/>
  <c r="X33" i="25" s="1"/>
  <c r="Z33" i="25" s="1"/>
  <c r="H33" i="25"/>
  <c r="D33" i="25"/>
  <c r="L33" i="25" s="1"/>
  <c r="N33" i="25" s="1"/>
  <c r="B33" i="25"/>
  <c r="T32" i="25"/>
  <c r="P32" i="25"/>
  <c r="X32" i="25" s="1"/>
  <c r="H32" i="25"/>
  <c r="N32" i="25" s="1"/>
  <c r="D32" i="25"/>
  <c r="L32" i="25" s="1"/>
  <c r="B32" i="25"/>
  <c r="X31" i="25"/>
  <c r="T31" i="25"/>
  <c r="Z31" i="25" s="1"/>
  <c r="P31" i="25"/>
  <c r="H31" i="25"/>
  <c r="N31" i="25" s="1"/>
  <c r="D31" i="25"/>
  <c r="L31" i="25" s="1"/>
  <c r="B31" i="25"/>
  <c r="Z30" i="25"/>
  <c r="X30" i="25"/>
  <c r="T30" i="25"/>
  <c r="P30" i="25"/>
  <c r="H30" i="25"/>
  <c r="D30" i="25"/>
  <c r="B30" i="25"/>
  <c r="T29" i="25"/>
  <c r="P29" i="25"/>
  <c r="X29" i="25" s="1"/>
  <c r="Z29" i="25" s="1"/>
  <c r="H29" i="25"/>
  <c r="D29" i="25"/>
  <c r="L29" i="25" s="1"/>
  <c r="N29" i="25" s="1"/>
  <c r="B29" i="25"/>
  <c r="T28" i="25"/>
  <c r="Z28" i="25" s="1"/>
  <c r="P28" i="25"/>
  <c r="X28" i="25" s="1"/>
  <c r="H28" i="25"/>
  <c r="N28" i="25" s="1"/>
  <c r="D28" i="25"/>
  <c r="B28" i="25"/>
  <c r="T27" i="25"/>
  <c r="P27" i="25"/>
  <c r="X27" i="25" s="1"/>
  <c r="L27" i="25"/>
  <c r="H27" i="25"/>
  <c r="N27" i="25" s="1"/>
  <c r="D27" i="25"/>
  <c r="B27" i="25"/>
  <c r="T26" i="25"/>
  <c r="P26" i="25"/>
  <c r="N26" i="25"/>
  <c r="L26" i="25"/>
  <c r="H26" i="25"/>
  <c r="D26" i="25"/>
  <c r="B26" i="25"/>
  <c r="T25" i="25"/>
  <c r="P25" i="25"/>
  <c r="X25" i="25" s="1"/>
  <c r="Z25" i="25" s="1"/>
  <c r="H25" i="25"/>
  <c r="D25" i="25"/>
  <c r="L25" i="25" s="1"/>
  <c r="N25" i="25" s="1"/>
  <c r="B25" i="25"/>
  <c r="T24" i="25"/>
  <c r="P24" i="25"/>
  <c r="X24" i="25" s="1"/>
  <c r="H24" i="25"/>
  <c r="N24" i="25" s="1"/>
  <c r="D24" i="25"/>
  <c r="L24" i="25" s="1"/>
  <c r="B24" i="25"/>
  <c r="X23" i="25"/>
  <c r="T23" i="25"/>
  <c r="P23" i="25"/>
  <c r="H23" i="25"/>
  <c r="D23" i="25"/>
  <c r="L23" i="25" s="1"/>
  <c r="B23" i="25"/>
  <c r="Z22" i="25"/>
  <c r="X22" i="25"/>
  <c r="T22" i="25"/>
  <c r="P22" i="25"/>
  <c r="H22" i="25"/>
  <c r="D22" i="25"/>
  <c r="B22" i="25"/>
  <c r="T21" i="25"/>
  <c r="P21" i="25"/>
  <c r="X21" i="25" s="1"/>
  <c r="Z21" i="25" s="1"/>
  <c r="H21" i="25"/>
  <c r="D21" i="25"/>
  <c r="L21" i="25" s="1"/>
  <c r="N21" i="25" s="1"/>
  <c r="B21" i="25"/>
  <c r="T20" i="25"/>
  <c r="P20" i="25"/>
  <c r="X20" i="25" s="1"/>
  <c r="H20" i="25"/>
  <c r="D20" i="25"/>
  <c r="B20" i="25"/>
  <c r="T19" i="25"/>
  <c r="P19" i="25"/>
  <c r="X19" i="25" s="1"/>
  <c r="L19" i="25"/>
  <c r="H19" i="25"/>
  <c r="N19" i="25" s="1"/>
  <c r="D19" i="25"/>
  <c r="B19" i="25"/>
  <c r="T18" i="25"/>
  <c r="P18" i="25"/>
  <c r="N18" i="25"/>
  <c r="L18" i="25"/>
  <c r="H18" i="25"/>
  <c r="D18" i="25"/>
  <c r="B18" i="25"/>
  <c r="T17" i="25"/>
  <c r="P17" i="25"/>
  <c r="N17" i="25"/>
  <c r="H17" i="25"/>
  <c r="D17" i="25"/>
  <c r="L17" i="25" s="1"/>
  <c r="B17" i="25"/>
  <c r="T16" i="25"/>
  <c r="P16" i="25"/>
  <c r="X16" i="25" s="1"/>
  <c r="H16" i="25"/>
  <c r="N16" i="25" s="1"/>
  <c r="D16" i="25"/>
  <c r="L16" i="25" s="1"/>
  <c r="B16" i="25"/>
  <c r="X15" i="25"/>
  <c r="T15" i="25"/>
  <c r="T12" i="25" s="1"/>
  <c r="P15" i="25"/>
  <c r="H15" i="25"/>
  <c r="D15" i="25"/>
  <c r="L15" i="25" s="1"/>
  <c r="B15" i="25"/>
  <c r="Z14" i="25"/>
  <c r="X14" i="25"/>
  <c r="T14" i="25"/>
  <c r="P14" i="25"/>
  <c r="H14" i="25"/>
  <c r="D14" i="25"/>
  <c r="B14" i="25"/>
  <c r="T13" i="25"/>
  <c r="P13" i="25"/>
  <c r="X13" i="25" s="1"/>
  <c r="Z13" i="25" s="1"/>
  <c r="H13" i="25"/>
  <c r="D13" i="25"/>
  <c r="B13" i="25"/>
  <c r="D4" i="25"/>
  <c r="B39" i="24"/>
  <c r="B38" i="24"/>
  <c r="T34" i="24"/>
  <c r="Z34" i="24" s="1"/>
  <c r="P34" i="24"/>
  <c r="H34" i="24"/>
  <c r="N34" i="24" s="1"/>
  <c r="D34" i="24"/>
  <c r="T33" i="24"/>
  <c r="P33" i="24"/>
  <c r="H33" i="24"/>
  <c r="N33" i="24" s="1"/>
  <c r="D33" i="24"/>
  <c r="T29" i="24"/>
  <c r="P29" i="24"/>
  <c r="H29" i="24"/>
  <c r="N29" i="24" s="1"/>
  <c r="D29" i="24"/>
  <c r="T25" i="24"/>
  <c r="P25" i="24"/>
  <c r="H25" i="24"/>
  <c r="N25" i="24" s="1"/>
  <c r="D25" i="24"/>
  <c r="B25" i="24"/>
  <c r="T24" i="24"/>
  <c r="Z24" i="24" s="1"/>
  <c r="P24" i="24"/>
  <c r="H24" i="24"/>
  <c r="N24" i="24" s="1"/>
  <c r="D24" i="24"/>
  <c r="T22" i="24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D20" i="24"/>
  <c r="T16" i="24"/>
  <c r="Z16" i="24" s="1"/>
  <c r="P16" i="24"/>
  <c r="H16" i="24"/>
  <c r="D16" i="24"/>
  <c r="B16" i="24"/>
  <c r="T15" i="24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20" i="24" s="1"/>
  <c r="P12" i="24"/>
  <c r="R18" i="24" s="1"/>
  <c r="H12" i="24"/>
  <c r="J20" i="24" s="1"/>
  <c r="D12" i="24"/>
  <c r="F18" i="24" s="1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P29" i="23"/>
  <c r="H29" i="23"/>
  <c r="N29" i="23" s="1"/>
  <c r="D29" i="23"/>
  <c r="T25" i="23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33" i="23" s="1"/>
  <c r="P12" i="23"/>
  <c r="R27" i="23" s="1"/>
  <c r="H12" i="23"/>
  <c r="D12" i="23"/>
  <c r="F20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15" i="22" s="1"/>
  <c r="P12" i="22"/>
  <c r="R18" i="22" s="1"/>
  <c r="H12" i="22"/>
  <c r="J22" i="22" s="1"/>
  <c r="D12" i="22"/>
  <c r="F15" i="22" s="1"/>
  <c r="D5" i="22"/>
  <c r="D4" i="22"/>
  <c r="Z97" i="21"/>
  <c r="X97" i="21"/>
  <c r="N97" i="21"/>
  <c r="L97" i="21"/>
  <c r="T93" i="21"/>
  <c r="Z93" i="21" s="1"/>
  <c r="P93" i="21"/>
  <c r="X93" i="21" s="1"/>
  <c r="L93" i="21"/>
  <c r="H93" i="21"/>
  <c r="N93" i="21" s="1"/>
  <c r="D93" i="21"/>
  <c r="X91" i="21"/>
  <c r="Z91" i="21" s="1"/>
  <c r="L91" i="21"/>
  <c r="N91" i="21" s="1"/>
  <c r="B91" i="21"/>
  <c r="T90" i="21"/>
  <c r="P90" i="21"/>
  <c r="X90" i="21" s="1"/>
  <c r="Z90" i="21" s="1"/>
  <c r="L90" i="21"/>
  <c r="N90" i="21" s="1"/>
  <c r="H90" i="21"/>
  <c r="D90" i="21"/>
  <c r="B90" i="21"/>
  <c r="Z89" i="21"/>
  <c r="X89" i="21"/>
  <c r="N89" i="21"/>
  <c r="L89" i="21"/>
  <c r="B89" i="21"/>
  <c r="Z88" i="21"/>
  <c r="X88" i="21"/>
  <c r="T88" i="21"/>
  <c r="P88" i="21"/>
  <c r="N88" i="21"/>
  <c r="L88" i="21"/>
  <c r="H88" i="21"/>
  <c r="D88" i="21"/>
  <c r="B88" i="21"/>
  <c r="X87" i="21"/>
  <c r="Z87" i="21" s="1"/>
  <c r="L87" i="21"/>
  <c r="N87" i="21" s="1"/>
  <c r="B87" i="21"/>
  <c r="Z86" i="21"/>
  <c r="X86" i="21"/>
  <c r="T86" i="21"/>
  <c r="P86" i="21"/>
  <c r="N86" i="21"/>
  <c r="H86" i="21"/>
  <c r="D86" i="21"/>
  <c r="L86" i="21" s="1"/>
  <c r="B86" i="21"/>
  <c r="X85" i="21"/>
  <c r="Z85" i="21" s="1"/>
  <c r="N85" i="21"/>
  <c r="L85" i="21"/>
  <c r="B85" i="21"/>
  <c r="Z84" i="21"/>
  <c r="X84" i="21"/>
  <c r="N84" i="21"/>
  <c r="L84" i="21"/>
  <c r="B84" i="21"/>
  <c r="X83" i="21"/>
  <c r="Z83" i="21" s="1"/>
  <c r="N83" i="21"/>
  <c r="L83" i="21"/>
  <c r="B83" i="21"/>
  <c r="Z82" i="21"/>
  <c r="X82" i="21"/>
  <c r="N82" i="21"/>
  <c r="L82" i="21"/>
  <c r="B82" i="21"/>
  <c r="Z81" i="21"/>
  <c r="X81" i="21"/>
  <c r="N81" i="21"/>
  <c r="L81" i="21"/>
  <c r="B81" i="21"/>
  <c r="X80" i="21"/>
  <c r="Z80" i="21" s="1"/>
  <c r="N80" i="21"/>
  <c r="L80" i="21"/>
  <c r="B80" i="21"/>
  <c r="T79" i="21"/>
  <c r="P79" i="21"/>
  <c r="N79" i="21"/>
  <c r="H79" i="21"/>
  <c r="D79" i="21"/>
  <c r="L79" i="21" s="1"/>
  <c r="B79" i="21"/>
  <c r="Z78" i="21"/>
  <c r="X78" i="21"/>
  <c r="N78" i="21"/>
  <c r="L78" i="21"/>
  <c r="B78" i="21"/>
  <c r="Z77" i="21"/>
  <c r="X77" i="21"/>
  <c r="N77" i="21"/>
  <c r="L77" i="21"/>
  <c r="B77" i="21"/>
  <c r="Z76" i="21"/>
  <c r="X76" i="21"/>
  <c r="N76" i="21"/>
  <c r="L76" i="21"/>
  <c r="B76" i="21"/>
  <c r="X75" i="21"/>
  <c r="Z75" i="21" s="1"/>
  <c r="L75" i="21"/>
  <c r="N75" i="21" s="1"/>
  <c r="B75" i="21"/>
  <c r="T74" i="21"/>
  <c r="P74" i="21"/>
  <c r="X74" i="21" s="1"/>
  <c r="Z74" i="21" s="1"/>
  <c r="N74" i="21"/>
  <c r="L74" i="21"/>
  <c r="H74" i="21"/>
  <c r="D74" i="21"/>
  <c r="B74" i="21"/>
  <c r="Z73" i="21"/>
  <c r="X73" i="21"/>
  <c r="N73" i="21"/>
  <c r="L73" i="21"/>
  <c r="B73" i="21"/>
  <c r="Z72" i="21"/>
  <c r="X72" i="21"/>
  <c r="T72" i="21"/>
  <c r="P72" i="21"/>
  <c r="N72" i="21"/>
  <c r="L72" i="21"/>
  <c r="H72" i="21"/>
  <c r="D72" i="21"/>
  <c r="B72" i="21"/>
  <c r="X71" i="21"/>
  <c r="Z71" i="21" s="1"/>
  <c r="N71" i="21"/>
  <c r="L71" i="21"/>
  <c r="B71" i="21"/>
  <c r="Z70" i="21"/>
  <c r="X70" i="21"/>
  <c r="N70" i="21"/>
  <c r="L70" i="21"/>
  <c r="B70" i="21"/>
  <c r="T69" i="21"/>
  <c r="P69" i="21"/>
  <c r="X69" i="21" s="1"/>
  <c r="Z69" i="21" s="1"/>
  <c r="L69" i="21"/>
  <c r="H69" i="21"/>
  <c r="N69" i="21" s="1"/>
  <c r="D69" i="21"/>
  <c r="B69" i="21"/>
  <c r="Z68" i="21"/>
  <c r="X68" i="21"/>
  <c r="N68" i="21"/>
  <c r="L68" i="21"/>
  <c r="B68" i="21"/>
  <c r="X67" i="21"/>
  <c r="T67" i="21"/>
  <c r="Z67" i="21" s="1"/>
  <c r="P67" i="21"/>
  <c r="L67" i="21"/>
  <c r="H67" i="21"/>
  <c r="D67" i="21"/>
  <c r="B67" i="21"/>
  <c r="Z66" i="21"/>
  <c r="X66" i="21"/>
  <c r="N66" i="21"/>
  <c r="L66" i="21"/>
  <c r="B66" i="21"/>
  <c r="X65" i="21"/>
  <c r="T65" i="21"/>
  <c r="Z65" i="21" s="1"/>
  <c r="P65" i="21"/>
  <c r="H65" i="21"/>
  <c r="D65" i="21"/>
  <c r="B65" i="21"/>
  <c r="Z64" i="21"/>
  <c r="X64" i="21"/>
  <c r="N64" i="21"/>
  <c r="L64" i="21"/>
  <c r="B64" i="21"/>
  <c r="T63" i="21"/>
  <c r="P63" i="21"/>
  <c r="H63" i="21"/>
  <c r="D63" i="21"/>
  <c r="L63" i="21" s="1"/>
  <c r="N63" i="21" s="1"/>
  <c r="B63" i="21"/>
  <c r="Z62" i="21"/>
  <c r="X62" i="21"/>
  <c r="N62" i="21"/>
  <c r="L62" i="21"/>
  <c r="B62" i="21"/>
  <c r="T61" i="21"/>
  <c r="P61" i="21"/>
  <c r="X61" i="21" s="1"/>
  <c r="Z61" i="21" s="1"/>
  <c r="L61" i="21"/>
  <c r="H61" i="21"/>
  <c r="N61" i="21" s="1"/>
  <c r="D61" i="21"/>
  <c r="B61" i="21"/>
  <c r="Z60" i="21"/>
  <c r="X60" i="21"/>
  <c r="N60" i="21"/>
  <c r="L60" i="21"/>
  <c r="B60" i="21"/>
  <c r="X59" i="21"/>
  <c r="T59" i="21"/>
  <c r="Z59" i="21" s="1"/>
  <c r="P59" i="21"/>
  <c r="L59" i="21"/>
  <c r="H59" i="21"/>
  <c r="N59" i="21" s="1"/>
  <c r="D59" i="21"/>
  <c r="B59" i="21"/>
  <c r="Z58" i="21"/>
  <c r="X58" i="21"/>
  <c r="N58" i="21"/>
  <c r="L58" i="21"/>
  <c r="B58" i="21"/>
  <c r="X57" i="21"/>
  <c r="Z57" i="21" s="1"/>
  <c r="L57" i="21"/>
  <c r="N57" i="21" s="1"/>
  <c r="B57" i="21"/>
  <c r="T56" i="21"/>
  <c r="P56" i="21"/>
  <c r="X56" i="21" s="1"/>
  <c r="Z56" i="21" s="1"/>
  <c r="H56" i="21"/>
  <c r="D56" i="21"/>
  <c r="L56" i="21" s="1"/>
  <c r="N56" i="21" s="1"/>
  <c r="B56" i="21"/>
  <c r="X55" i="21"/>
  <c r="Z55" i="21" s="1"/>
  <c r="L55" i="21"/>
  <c r="N55" i="21" s="1"/>
  <c r="B55" i="21"/>
  <c r="T54" i="21"/>
  <c r="P54" i="21"/>
  <c r="X54" i="21" s="1"/>
  <c r="Z54" i="21" s="1"/>
  <c r="N54" i="21"/>
  <c r="L54" i="21"/>
  <c r="H54" i="21"/>
  <c r="D54" i="21"/>
  <c r="B54" i="21"/>
  <c r="X53" i="21"/>
  <c r="Z53" i="21" s="1"/>
  <c r="N53" i="21"/>
  <c r="L53" i="21"/>
  <c r="B53" i="21"/>
  <c r="Z52" i="21"/>
  <c r="X52" i="21"/>
  <c r="T52" i="21"/>
  <c r="P52" i="21"/>
  <c r="N52" i="21"/>
  <c r="L52" i="21"/>
  <c r="H52" i="21"/>
  <c r="D52" i="21"/>
  <c r="B52" i="21"/>
  <c r="Z51" i="21"/>
  <c r="X51" i="21"/>
  <c r="N51" i="21"/>
  <c r="L51" i="21"/>
  <c r="B51" i="21"/>
  <c r="Z50" i="21"/>
  <c r="X50" i="21"/>
  <c r="T50" i="21"/>
  <c r="P50" i="21"/>
  <c r="N50" i="21"/>
  <c r="H50" i="21"/>
  <c r="D50" i="21"/>
  <c r="L50" i="21" s="1"/>
  <c r="B50" i="21"/>
  <c r="Z49" i="21"/>
  <c r="X49" i="21"/>
  <c r="N49" i="21"/>
  <c r="L49" i="21"/>
  <c r="B49" i="21"/>
  <c r="Z48" i="21"/>
  <c r="X48" i="21"/>
  <c r="N48" i="21"/>
  <c r="L48" i="21"/>
  <c r="B48" i="21"/>
  <c r="Z47" i="21"/>
  <c r="X47" i="21"/>
  <c r="N47" i="21"/>
  <c r="L47" i="2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T43" i="21"/>
  <c r="P43" i="21"/>
  <c r="X43" i="21" s="1"/>
  <c r="N43" i="21"/>
  <c r="H43" i="21"/>
  <c r="D43" i="21"/>
  <c r="L43" i="21" s="1"/>
  <c r="B43" i="21"/>
  <c r="Z42" i="21"/>
  <c r="X42" i="21"/>
  <c r="N42" i="21"/>
  <c r="L42" i="21"/>
  <c r="B42" i="21"/>
  <c r="Z41" i="21"/>
  <c r="X41" i="21"/>
  <c r="N41" i="21"/>
  <c r="L41" i="21"/>
  <c r="B41" i="21"/>
  <c r="Z40" i="21"/>
  <c r="X40" i="21"/>
  <c r="N40" i="21"/>
  <c r="L40" i="21"/>
  <c r="B40" i="21"/>
  <c r="Z39" i="21"/>
  <c r="X39" i="21"/>
  <c r="N39" i="21"/>
  <c r="L39" i="21"/>
  <c r="B39" i="21"/>
  <c r="Z38" i="21"/>
  <c r="X38" i="2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X35" i="21"/>
  <c r="Z35" i="21" s="1"/>
  <c r="N35" i="21"/>
  <c r="L35" i="21"/>
  <c r="B35" i="21"/>
  <c r="Z34" i="21"/>
  <c r="X34" i="21"/>
  <c r="N34" i="21"/>
  <c r="L34" i="21"/>
  <c r="B34" i="21"/>
  <c r="T33" i="21"/>
  <c r="P33" i="21"/>
  <c r="X33" i="21" s="1"/>
  <c r="L33" i="21"/>
  <c r="H33" i="21"/>
  <c r="N33" i="21" s="1"/>
  <c r="D33" i="21"/>
  <c r="B33" i="21"/>
  <c r="T32" i="21" a="1"/>
  <c r="T32" i="21" s="1"/>
  <c r="P32" i="21" a="1"/>
  <c r="P32" i="21" s="1"/>
  <c r="H32" i="21" a="1"/>
  <c r="H32" i="21" s="1"/>
  <c r="D32" i="21" a="1"/>
  <c r="D32" i="21" s="1"/>
  <c r="Z28" i="21"/>
  <c r="X28" i="21"/>
  <c r="N28" i="21"/>
  <c r="L28" i="21"/>
  <c r="B28" i="21"/>
  <c r="X27" i="21"/>
  <c r="Z27" i="21" s="1"/>
  <c r="L27" i="21"/>
  <c r="N27" i="21" s="1"/>
  <c r="B27" i="21"/>
  <c r="Z26" i="21"/>
  <c r="X26" i="21"/>
  <c r="N26" i="21"/>
  <c r="L26" i="21"/>
  <c r="B26" i="21"/>
  <c r="X25" i="21"/>
  <c r="T25" i="21"/>
  <c r="Z25" i="21" s="1"/>
  <c r="P25" i="21"/>
  <c r="H25" i="21"/>
  <c r="D25" i="21"/>
  <c r="T23" i="21"/>
  <c r="P23" i="21"/>
  <c r="X23" i="21" s="1"/>
  <c r="Z23" i="21" s="1"/>
  <c r="L23" i="21"/>
  <c r="H23" i="21"/>
  <c r="D23" i="21"/>
  <c r="B23" i="21"/>
  <c r="T22" i="21"/>
  <c r="Z22" i="21" s="1"/>
  <c r="P22" i="21"/>
  <c r="N22" i="21"/>
  <c r="H22" i="21"/>
  <c r="D22" i="21"/>
  <c r="L22" i="21" s="1"/>
  <c r="B22" i="21"/>
  <c r="Z21" i="21"/>
  <c r="T21" i="21"/>
  <c r="P21" i="21"/>
  <c r="X21" i="21" s="1"/>
  <c r="H21" i="21"/>
  <c r="N21" i="21" s="1"/>
  <c r="D21" i="21"/>
  <c r="B21" i="21"/>
  <c r="T20" i="21"/>
  <c r="Z20" i="21" s="1"/>
  <c r="P20" i="21"/>
  <c r="N20" i="21"/>
  <c r="L20" i="21"/>
  <c r="H20" i="21"/>
  <c r="D20" i="21"/>
  <c r="B20" i="21"/>
  <c r="X19" i="21"/>
  <c r="T19" i="21"/>
  <c r="Z19" i="21" s="1"/>
  <c r="P19" i="21"/>
  <c r="N19" i="21"/>
  <c r="H19" i="21"/>
  <c r="D19" i="21"/>
  <c r="L19" i="21" s="1"/>
  <c r="B19" i="21"/>
  <c r="Z18" i="21"/>
  <c r="T18" i="21"/>
  <c r="P18" i="21"/>
  <c r="X18" i="21" s="1"/>
  <c r="H18" i="21"/>
  <c r="N18" i="21" s="1"/>
  <c r="D18" i="21"/>
  <c r="B18" i="21"/>
  <c r="T17" i="21"/>
  <c r="Z17" i="21" s="1"/>
  <c r="P17" i="21"/>
  <c r="N17" i="21"/>
  <c r="H17" i="21"/>
  <c r="D17" i="21"/>
  <c r="L17" i="21" s="1"/>
  <c r="B17" i="21"/>
  <c r="Z16" i="21"/>
  <c r="X16" i="21"/>
  <c r="T16" i="21"/>
  <c r="P16" i="21"/>
  <c r="H16" i="21"/>
  <c r="N16" i="21" s="1"/>
  <c r="D16" i="21"/>
  <c r="L16" i="21" s="1"/>
  <c r="B16" i="21"/>
  <c r="Z15" i="21"/>
  <c r="T15" i="21"/>
  <c r="P15" i="21"/>
  <c r="X15" i="21" s="1"/>
  <c r="L15" i="21"/>
  <c r="H15" i="21"/>
  <c r="N15" i="21" s="1"/>
  <c r="D15" i="21"/>
  <c r="B15" i="21"/>
  <c r="T14" i="21"/>
  <c r="P14" i="21"/>
  <c r="N14" i="21"/>
  <c r="H14" i="21"/>
  <c r="D14" i="21"/>
  <c r="L14" i="21" s="1"/>
  <c r="B14" i="21"/>
  <c r="Z13" i="21"/>
  <c r="T13" i="21"/>
  <c r="P13" i="21"/>
  <c r="H13" i="21"/>
  <c r="N13" i="21" s="1"/>
  <c r="D13" i="21"/>
  <c r="B13" i="21"/>
  <c r="D4" i="21"/>
  <c r="B39" i="20"/>
  <c r="B38" i="20"/>
  <c r="T34" i="20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P12" i="20"/>
  <c r="H12" i="20"/>
  <c r="J36" i="20" s="1"/>
  <c r="D12" i="20"/>
  <c r="F21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P20" i="19"/>
  <c r="H20" i="19"/>
  <c r="N20" i="19" s="1"/>
  <c r="D20" i="19"/>
  <c r="T16" i="19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P12" i="19"/>
  <c r="H12" i="19"/>
  <c r="J18" i="19" s="1"/>
  <c r="D12" i="19"/>
  <c r="F24" i="19" s="1"/>
  <c r="D5" i="19"/>
  <c r="D4" i="19"/>
  <c r="X250" i="18"/>
  <c r="Z250" i="18" s="1"/>
  <c r="L250" i="18"/>
  <c r="N250" i="18" s="1"/>
  <c r="T246" i="18"/>
  <c r="P246" i="18"/>
  <c r="H246" i="18"/>
  <c r="D246" i="18"/>
  <c r="B246" i="18"/>
  <c r="X245" i="18"/>
  <c r="T245" i="18"/>
  <c r="Z245" i="18" s="1"/>
  <c r="P245" i="18"/>
  <c r="H245" i="18"/>
  <c r="D245" i="18"/>
  <c r="L245" i="18" s="1"/>
  <c r="N245" i="18" s="1"/>
  <c r="B245" i="18"/>
  <c r="X244" i="18"/>
  <c r="T244" i="18"/>
  <c r="P244" i="18"/>
  <c r="H244" i="18"/>
  <c r="D244" i="18"/>
  <c r="B244" i="18"/>
  <c r="Z243" i="18"/>
  <c r="X243" i="18"/>
  <c r="T243" i="18"/>
  <c r="P243" i="18"/>
  <c r="L243" i="18"/>
  <c r="H243" i="18"/>
  <c r="N243" i="18" s="1"/>
  <c r="D243" i="18"/>
  <c r="B243" i="18"/>
  <c r="T242" i="18"/>
  <c r="Z242" i="18" s="1"/>
  <c r="P242" i="18"/>
  <c r="X242" i="18" s="1"/>
  <c r="L242" i="18"/>
  <c r="H242" i="18"/>
  <c r="N242" i="18" s="1"/>
  <c r="D242" i="18"/>
  <c r="B242" i="18"/>
  <c r="T241" i="18"/>
  <c r="P241" i="18"/>
  <c r="X241" i="18" s="1"/>
  <c r="Z241" i="18" s="1"/>
  <c r="L241" i="18"/>
  <c r="N241" i="18" s="1"/>
  <c r="H241" i="18"/>
  <c r="D241" i="18"/>
  <c r="B241" i="18"/>
  <c r="P240" i="18"/>
  <c r="X238" i="18"/>
  <c r="Z238" i="18" s="1"/>
  <c r="N238" i="18"/>
  <c r="L238" i="18"/>
  <c r="B238" i="18"/>
  <c r="Z237" i="18"/>
  <c r="T237" i="18"/>
  <c r="P237" i="18"/>
  <c r="X237" i="18" s="1"/>
  <c r="H237" i="18"/>
  <c r="D237" i="18"/>
  <c r="L237" i="18" s="1"/>
  <c r="N237" i="18" s="1"/>
  <c r="B237" i="18"/>
  <c r="X236" i="18"/>
  <c r="Z236" i="18" s="1"/>
  <c r="N236" i="18"/>
  <c r="L236" i="18"/>
  <c r="B236" i="18"/>
  <c r="Z235" i="18"/>
  <c r="X235" i="18"/>
  <c r="L235" i="18"/>
  <c r="N235" i="18" s="1"/>
  <c r="B235" i="18"/>
  <c r="X234" i="18"/>
  <c r="Z234" i="18" s="1"/>
  <c r="N234" i="18"/>
  <c r="L234" i="18"/>
  <c r="B234" i="18"/>
  <c r="Z233" i="18"/>
  <c r="T233" i="18"/>
  <c r="P233" i="18"/>
  <c r="X233" i="18" s="1"/>
  <c r="H233" i="18"/>
  <c r="D233" i="18"/>
  <c r="L233" i="18" s="1"/>
  <c r="N233" i="18" s="1"/>
  <c r="B233" i="18"/>
  <c r="X232" i="18"/>
  <c r="Z232" i="18" s="1"/>
  <c r="N232" i="18"/>
  <c r="L232" i="18"/>
  <c r="B232" i="18"/>
  <c r="T231" i="18"/>
  <c r="P231" i="18"/>
  <c r="X231" i="18" s="1"/>
  <c r="Z231" i="18" s="1"/>
  <c r="N231" i="18"/>
  <c r="L231" i="18"/>
  <c r="H231" i="18"/>
  <c r="D231" i="18"/>
  <c r="B231" i="18"/>
  <c r="Z230" i="18"/>
  <c r="X230" i="18"/>
  <c r="L230" i="18"/>
  <c r="N230" i="18" s="1"/>
  <c r="B230" i="18"/>
  <c r="X229" i="18"/>
  <c r="Z229" i="18" s="1"/>
  <c r="N229" i="18"/>
  <c r="L229" i="18"/>
  <c r="B229" i="18"/>
  <c r="T228" i="18"/>
  <c r="P228" i="18"/>
  <c r="H228" i="18"/>
  <c r="D228" i="18"/>
  <c r="L228" i="18" s="1"/>
  <c r="B228" i="18"/>
  <c r="X227" i="18"/>
  <c r="Z227" i="18" s="1"/>
  <c r="N227" i="18"/>
  <c r="L227" i="18"/>
  <c r="B227" i="18"/>
  <c r="Z226" i="18"/>
  <c r="X226" i="18"/>
  <c r="L226" i="18"/>
  <c r="N226" i="18" s="1"/>
  <c r="B226" i="18"/>
  <c r="Z225" i="18"/>
  <c r="X225" i="18"/>
  <c r="N225" i="18"/>
  <c r="L225" i="18"/>
  <c r="B225" i="18"/>
  <c r="X224" i="18"/>
  <c r="Z224" i="18" s="1"/>
  <c r="L224" i="18"/>
  <c r="N224" i="18" s="1"/>
  <c r="B224" i="18"/>
  <c r="Z223" i="18"/>
  <c r="X223" i="18"/>
  <c r="L223" i="18"/>
  <c r="N223" i="18" s="1"/>
  <c r="B223" i="18"/>
  <c r="X222" i="18"/>
  <c r="Z222" i="18" s="1"/>
  <c r="N222" i="18"/>
  <c r="L222" i="18"/>
  <c r="B222" i="18"/>
  <c r="Z221" i="18"/>
  <c r="X221" i="18"/>
  <c r="N221" i="18"/>
  <c r="L221" i="18"/>
  <c r="B221" i="18"/>
  <c r="T220" i="18"/>
  <c r="P220" i="18"/>
  <c r="X220" i="18" s="1"/>
  <c r="L220" i="18"/>
  <c r="H220" i="18"/>
  <c r="N220" i="18" s="1"/>
  <c r="D220" i="18"/>
  <c r="B220" i="18"/>
  <c r="Z219" i="18"/>
  <c r="X219" i="18"/>
  <c r="L219" i="18"/>
  <c r="N219" i="18" s="1"/>
  <c r="B219" i="18"/>
  <c r="X218" i="18"/>
  <c r="Z218" i="18" s="1"/>
  <c r="L218" i="18"/>
  <c r="N218" i="18" s="1"/>
  <c r="B218" i="18"/>
  <c r="Z217" i="18"/>
  <c r="T217" i="18"/>
  <c r="P217" i="18"/>
  <c r="X217" i="18" s="1"/>
  <c r="H217" i="18"/>
  <c r="D217" i="18"/>
  <c r="L217" i="18" s="1"/>
  <c r="N217" i="18" s="1"/>
  <c r="B217" i="18"/>
  <c r="X216" i="18"/>
  <c r="Z216" i="18" s="1"/>
  <c r="L216" i="18"/>
  <c r="N216" i="18" s="1"/>
  <c r="B216" i="18"/>
  <c r="Z215" i="18"/>
  <c r="X215" i="18"/>
  <c r="L215" i="18"/>
  <c r="N215" i="18" s="1"/>
  <c r="B215" i="18"/>
  <c r="X214" i="18"/>
  <c r="Z214" i="18" s="1"/>
  <c r="N214" i="18"/>
  <c r="L214" i="18"/>
  <c r="B214" i="18"/>
  <c r="Z213" i="18"/>
  <c r="X213" i="18"/>
  <c r="N213" i="18"/>
  <c r="L213" i="18"/>
  <c r="B213" i="18"/>
  <c r="T212" i="18"/>
  <c r="Z212" i="18" s="1"/>
  <c r="P212" i="18"/>
  <c r="X212" i="18" s="1"/>
  <c r="L212" i="18"/>
  <c r="H212" i="18"/>
  <c r="D212" i="18"/>
  <c r="B212" i="18"/>
  <c r="Z211" i="18"/>
  <c r="X211" i="18"/>
  <c r="L211" i="18"/>
  <c r="N211" i="18" s="1"/>
  <c r="B211" i="18"/>
  <c r="Z210" i="18"/>
  <c r="X210" i="18"/>
  <c r="N210" i="18"/>
  <c r="L210" i="18"/>
  <c r="B210" i="18"/>
  <c r="Z209" i="18"/>
  <c r="X209" i="18"/>
  <c r="N209" i="18"/>
  <c r="L209" i="18"/>
  <c r="B209" i="18"/>
  <c r="T208" i="18"/>
  <c r="P208" i="18"/>
  <c r="X208" i="18" s="1"/>
  <c r="L208" i="18"/>
  <c r="H208" i="18"/>
  <c r="N208" i="18" s="1"/>
  <c r="D208" i="18"/>
  <c r="B208" i="18"/>
  <c r="Z207" i="18"/>
  <c r="X207" i="18"/>
  <c r="L207" i="18"/>
  <c r="N207" i="18" s="1"/>
  <c r="B207" i="18"/>
  <c r="X206" i="18"/>
  <c r="Z206" i="18" s="1"/>
  <c r="L206" i="18"/>
  <c r="N206" i="18" s="1"/>
  <c r="B206" i="18"/>
  <c r="Z205" i="18"/>
  <c r="X205" i="18"/>
  <c r="N205" i="18"/>
  <c r="L205" i="18"/>
  <c r="B205" i="18"/>
  <c r="X204" i="18"/>
  <c r="Z204" i="18" s="1"/>
  <c r="L204" i="18"/>
  <c r="N204" i="18" s="1"/>
  <c r="B204" i="18"/>
  <c r="T203" i="18"/>
  <c r="P203" i="18"/>
  <c r="H203" i="18"/>
  <c r="D203" i="18"/>
  <c r="L203" i="18" s="1"/>
  <c r="N203" i="18" s="1"/>
  <c r="B203" i="18"/>
  <c r="X202" i="18"/>
  <c r="Z202" i="18" s="1"/>
  <c r="L202" i="18"/>
  <c r="N202" i="18" s="1"/>
  <c r="B202" i="18"/>
  <c r="T201" i="18"/>
  <c r="P201" i="18"/>
  <c r="X201" i="18" s="1"/>
  <c r="Z201" i="18" s="1"/>
  <c r="H201" i="18"/>
  <c r="D201" i="18"/>
  <c r="L201" i="18" s="1"/>
  <c r="N201" i="18" s="1"/>
  <c r="B201" i="18"/>
  <c r="Z200" i="18"/>
  <c r="X200" i="18"/>
  <c r="N200" i="18"/>
  <c r="L200" i="18"/>
  <c r="B200" i="18"/>
  <c r="Z199" i="18"/>
  <c r="T199" i="18"/>
  <c r="P199" i="18"/>
  <c r="X199" i="18" s="1"/>
  <c r="N199" i="18"/>
  <c r="L199" i="18"/>
  <c r="H199" i="18"/>
  <c r="D199" i="18"/>
  <c r="B199" i="18"/>
  <c r="Z198" i="18"/>
  <c r="X198" i="18"/>
  <c r="N198" i="18"/>
  <c r="L198" i="18"/>
  <c r="B198" i="18"/>
  <c r="X197" i="18"/>
  <c r="Z197" i="18" s="1"/>
  <c r="N197" i="18"/>
  <c r="L197" i="18"/>
  <c r="B197" i="18"/>
  <c r="T196" i="18"/>
  <c r="P196" i="18"/>
  <c r="H196" i="18"/>
  <c r="D196" i="18"/>
  <c r="L196" i="18" s="1"/>
  <c r="B196" i="18"/>
  <c r="X195" i="18"/>
  <c r="Z195" i="18" s="1"/>
  <c r="N195" i="18"/>
  <c r="L195" i="18"/>
  <c r="B195" i="18"/>
  <c r="T194" i="18"/>
  <c r="P194" i="18"/>
  <c r="X194" i="18" s="1"/>
  <c r="H194" i="18"/>
  <c r="D194" i="18"/>
  <c r="L194" i="18" s="1"/>
  <c r="B194" i="18"/>
  <c r="Z193" i="18"/>
  <c r="X193" i="18"/>
  <c r="N193" i="18"/>
  <c r="L193" i="18"/>
  <c r="B193" i="18"/>
  <c r="T192" i="18"/>
  <c r="P192" i="18"/>
  <c r="X192" i="18" s="1"/>
  <c r="L192" i="18"/>
  <c r="H192" i="18"/>
  <c r="N192" i="18" s="1"/>
  <c r="D192" i="18"/>
  <c r="B192" i="18"/>
  <c r="Z191" i="18"/>
  <c r="X191" i="18"/>
  <c r="L191" i="18"/>
  <c r="N191" i="18" s="1"/>
  <c r="B191" i="18"/>
  <c r="X190" i="18"/>
  <c r="Z190" i="18" s="1"/>
  <c r="L190" i="18"/>
  <c r="N190" i="18" s="1"/>
  <c r="B190" i="18"/>
  <c r="Z189" i="18"/>
  <c r="T189" i="18"/>
  <c r="P189" i="18"/>
  <c r="X189" i="18" s="1"/>
  <c r="H189" i="18"/>
  <c r="D189" i="18"/>
  <c r="L189" i="18" s="1"/>
  <c r="N189" i="18" s="1"/>
  <c r="B189" i="18"/>
  <c r="X188" i="18"/>
  <c r="Z188" i="18" s="1"/>
  <c r="L188" i="18"/>
  <c r="N188" i="18" s="1"/>
  <c r="B188" i="18"/>
  <c r="T187" i="18"/>
  <c r="P187" i="18"/>
  <c r="X187" i="18" s="1"/>
  <c r="Z187" i="18" s="1"/>
  <c r="L187" i="18"/>
  <c r="N187" i="18" s="1"/>
  <c r="H187" i="18"/>
  <c r="D187" i="18"/>
  <c r="B187" i="18"/>
  <c r="X186" i="18"/>
  <c r="Z186" i="18" s="1"/>
  <c r="N186" i="18"/>
  <c r="L186" i="18"/>
  <c r="B186" i="18"/>
  <c r="Z185" i="18"/>
  <c r="X185" i="18"/>
  <c r="T185" i="18"/>
  <c r="P185" i="18"/>
  <c r="H185" i="18"/>
  <c r="N185" i="18" s="1"/>
  <c r="D185" i="18"/>
  <c r="B185" i="18"/>
  <c r="Z184" i="18"/>
  <c r="X184" i="18"/>
  <c r="N184" i="18"/>
  <c r="L184" i="18"/>
  <c r="B184" i="18"/>
  <c r="T183" i="18"/>
  <c r="Z183" i="18" s="1"/>
  <c r="P183" i="18"/>
  <c r="N183" i="18"/>
  <c r="H183" i="18"/>
  <c r="D183" i="18"/>
  <c r="L183" i="18" s="1"/>
  <c r="B183" i="18"/>
  <c r="Z182" i="18"/>
  <c r="X182" i="18"/>
  <c r="N182" i="18"/>
  <c r="L182" i="18"/>
  <c r="B182" i="18"/>
  <c r="Z181" i="18"/>
  <c r="X181" i="18"/>
  <c r="N181" i="18"/>
  <c r="L181" i="18"/>
  <c r="B181" i="18"/>
  <c r="T180" i="18"/>
  <c r="Z180" i="18" s="1"/>
  <c r="P180" i="18"/>
  <c r="X180" i="18" s="1"/>
  <c r="L180" i="18"/>
  <c r="H180" i="18"/>
  <c r="N180" i="18" s="1"/>
  <c r="D180" i="18"/>
  <c r="B180" i="18"/>
  <c r="Z179" i="18"/>
  <c r="X179" i="18"/>
  <c r="L179" i="18"/>
  <c r="N179" i="18" s="1"/>
  <c r="B179" i="18"/>
  <c r="X178" i="18"/>
  <c r="Z178" i="18" s="1"/>
  <c r="L178" i="18"/>
  <c r="N178" i="18" s="1"/>
  <c r="B178" i="18"/>
  <c r="Z177" i="18"/>
  <c r="T177" i="18"/>
  <c r="P177" i="18"/>
  <c r="X177" i="18" s="1"/>
  <c r="H177" i="18"/>
  <c r="D177" i="18"/>
  <c r="L177" i="18" s="1"/>
  <c r="N177" i="18" s="1"/>
  <c r="B177" i="18"/>
  <c r="X176" i="18"/>
  <c r="Z176" i="18" s="1"/>
  <c r="L176" i="18"/>
  <c r="N176" i="18" s="1"/>
  <c r="B176" i="18"/>
  <c r="T175" i="18"/>
  <c r="P175" i="18"/>
  <c r="X175" i="18" s="1"/>
  <c r="Z175" i="18" s="1"/>
  <c r="L175" i="18"/>
  <c r="N175" i="18" s="1"/>
  <c r="H175" i="18"/>
  <c r="D175" i="18"/>
  <c r="B175" i="18"/>
  <c r="X174" i="18"/>
  <c r="Z174" i="18" s="1"/>
  <c r="N174" i="18"/>
  <c r="L174" i="18"/>
  <c r="B174" i="18"/>
  <c r="X173" i="18"/>
  <c r="Z173" i="18" s="1"/>
  <c r="N173" i="18"/>
  <c r="L173" i="18"/>
  <c r="B173" i="18"/>
  <c r="T172" i="18"/>
  <c r="P172" i="18"/>
  <c r="H172" i="18"/>
  <c r="D172" i="18"/>
  <c r="L172" i="18" s="1"/>
  <c r="B172" i="18"/>
  <c r="X171" i="18"/>
  <c r="Z171" i="18" s="1"/>
  <c r="N171" i="18"/>
  <c r="L171" i="18"/>
  <c r="B171" i="18"/>
  <c r="T170" i="18"/>
  <c r="P170" i="18"/>
  <c r="X170" i="18" s="1"/>
  <c r="H170" i="18"/>
  <c r="D170" i="18"/>
  <c r="L170" i="18" s="1"/>
  <c r="B170" i="18"/>
  <c r="Z169" i="18"/>
  <c r="X169" i="18"/>
  <c r="L169" i="18"/>
  <c r="N169" i="18" s="1"/>
  <c r="B169" i="18"/>
  <c r="X168" i="18"/>
  <c r="Z168" i="18" s="1"/>
  <c r="L168" i="18"/>
  <c r="N168" i="18" s="1"/>
  <c r="B168" i="18"/>
  <c r="X167" i="18"/>
  <c r="Z167" i="18" s="1"/>
  <c r="N167" i="18"/>
  <c r="L167" i="18"/>
  <c r="B167" i="18"/>
  <c r="X166" i="18"/>
  <c r="Z166" i="18" s="1"/>
  <c r="L166" i="18"/>
  <c r="N166" i="18" s="1"/>
  <c r="B166" i="18"/>
  <c r="X165" i="18"/>
  <c r="Z165" i="18" s="1"/>
  <c r="N165" i="18"/>
  <c r="L165" i="18"/>
  <c r="B165" i="18"/>
  <c r="X164" i="18"/>
  <c r="Z164" i="18" s="1"/>
  <c r="L164" i="18"/>
  <c r="N164" i="18" s="1"/>
  <c r="B164" i="18"/>
  <c r="Z163" i="18"/>
  <c r="X163" i="18"/>
  <c r="L163" i="18"/>
  <c r="N163" i="18" s="1"/>
  <c r="B163" i="18"/>
  <c r="X162" i="18"/>
  <c r="T162" i="18"/>
  <c r="Z162" i="18" s="1"/>
  <c r="P162" i="18"/>
  <c r="H162" i="18"/>
  <c r="D162" i="18"/>
  <c r="B162" i="18"/>
  <c r="X161" i="18"/>
  <c r="Z161" i="18" s="1"/>
  <c r="N161" i="18"/>
  <c r="L161" i="18"/>
  <c r="B161" i="18"/>
  <c r="X160" i="18"/>
  <c r="Z160" i="18" s="1"/>
  <c r="L160" i="18"/>
  <c r="N160" i="18" s="1"/>
  <c r="B160" i="18"/>
  <c r="Z159" i="18"/>
  <c r="X159" i="18"/>
  <c r="L159" i="18"/>
  <c r="N159" i="18" s="1"/>
  <c r="B159" i="18"/>
  <c r="X158" i="18"/>
  <c r="Z158" i="18" s="1"/>
  <c r="L158" i="18"/>
  <c r="N158" i="18" s="1"/>
  <c r="B158" i="18"/>
  <c r="Z157" i="18"/>
  <c r="X157" i="18"/>
  <c r="N157" i="18"/>
  <c r="L157" i="18"/>
  <c r="B157" i="18"/>
  <c r="X156" i="18"/>
  <c r="Z156" i="18" s="1"/>
  <c r="L156" i="18"/>
  <c r="N156" i="18" s="1"/>
  <c r="B156" i="18"/>
  <c r="X155" i="18"/>
  <c r="Z155" i="18" s="1"/>
  <c r="N155" i="18"/>
  <c r="L155" i="18"/>
  <c r="B155" i="18"/>
  <c r="X154" i="18"/>
  <c r="Z154" i="18" s="1"/>
  <c r="L154" i="18"/>
  <c r="N154" i="18" s="1"/>
  <c r="B154" i="18"/>
  <c r="X153" i="18"/>
  <c r="Z153" i="18" s="1"/>
  <c r="N153" i="18"/>
  <c r="L153" i="18"/>
  <c r="B153" i="18"/>
  <c r="X152" i="18"/>
  <c r="Z152" i="18" s="1"/>
  <c r="L152" i="18"/>
  <c r="N152" i="18" s="1"/>
  <c r="B152" i="18"/>
  <c r="T151" i="18"/>
  <c r="P151" i="18"/>
  <c r="X151" i="18" s="1"/>
  <c r="Z151" i="18" s="1"/>
  <c r="L151" i="18"/>
  <c r="N151" i="18" s="1"/>
  <c r="H151" i="18"/>
  <c r="D151" i="18"/>
  <c r="B151" i="18"/>
  <c r="T150" i="18" a="1"/>
  <c r="T150" i="18" s="1"/>
  <c r="P150" i="18" a="1"/>
  <c r="P150" i="18"/>
  <c r="H150" i="18" a="1"/>
  <c r="H150" i="18" s="1"/>
  <c r="D150" i="18" a="1"/>
  <c r="D150" i="18" s="1"/>
  <c r="Z146" i="18"/>
  <c r="X146" i="18"/>
  <c r="N146" i="18"/>
  <c r="L146" i="18"/>
  <c r="B146" i="18"/>
  <c r="Z145" i="18"/>
  <c r="X145" i="18"/>
  <c r="N145" i="18"/>
  <c r="L145" i="18"/>
  <c r="B145" i="18"/>
  <c r="X144" i="18"/>
  <c r="Z144" i="18" s="1"/>
  <c r="L144" i="18"/>
  <c r="N144" i="18" s="1"/>
  <c r="B144" i="18"/>
  <c r="X143" i="18"/>
  <c r="Z143" i="18" s="1"/>
  <c r="N143" i="18"/>
  <c r="L143" i="18"/>
  <c r="B143" i="18"/>
  <c r="X142" i="18"/>
  <c r="Z142" i="18" s="1"/>
  <c r="N142" i="18"/>
  <c r="L142" i="18"/>
  <c r="B142" i="18"/>
  <c r="X141" i="18"/>
  <c r="Z141" i="18" s="1"/>
  <c r="N141" i="18"/>
  <c r="L141" i="18"/>
  <c r="B141" i="18"/>
  <c r="X140" i="18"/>
  <c r="Z140" i="18" s="1"/>
  <c r="L140" i="18"/>
  <c r="N140" i="18" s="1"/>
  <c r="B140" i="18"/>
  <c r="Z139" i="18"/>
  <c r="X139" i="18"/>
  <c r="N139" i="18"/>
  <c r="L139" i="18"/>
  <c r="B139" i="18"/>
  <c r="X138" i="18"/>
  <c r="Z138" i="18" s="1"/>
  <c r="N138" i="18"/>
  <c r="L138" i="18"/>
  <c r="B138" i="18"/>
  <c r="Z137" i="18"/>
  <c r="X137" i="18"/>
  <c r="L137" i="18"/>
  <c r="N137" i="18" s="1"/>
  <c r="B137" i="18"/>
  <c r="X136" i="18"/>
  <c r="Z136" i="18" s="1"/>
  <c r="L136" i="18"/>
  <c r="N136" i="18" s="1"/>
  <c r="B136" i="18"/>
  <c r="X135" i="18"/>
  <c r="Z135" i="18" s="1"/>
  <c r="N135" i="18"/>
  <c r="L135" i="18"/>
  <c r="B135" i="18"/>
  <c r="X134" i="18"/>
  <c r="Z134" i="18" s="1"/>
  <c r="L134" i="18"/>
  <c r="N134" i="18" s="1"/>
  <c r="B134" i="18"/>
  <c r="X133" i="18"/>
  <c r="Z133" i="18" s="1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X128" i="18"/>
  <c r="Z128" i="18" s="1"/>
  <c r="N128" i="18"/>
  <c r="L128" i="18"/>
  <c r="B128" i="18"/>
  <c r="X127" i="18"/>
  <c r="Z127" i="18" s="1"/>
  <c r="N127" i="18"/>
  <c r="L127" i="18"/>
  <c r="B127" i="18"/>
  <c r="X126" i="18"/>
  <c r="Z126" i="18" s="1"/>
  <c r="L126" i="18"/>
  <c r="N126" i="18" s="1"/>
  <c r="B126" i="18"/>
  <c r="Z125" i="18"/>
  <c r="X125" i="18"/>
  <c r="N125" i="18"/>
  <c r="L125" i="18"/>
  <c r="B125" i="18"/>
  <c r="X124" i="18"/>
  <c r="Z124" i="18" s="1"/>
  <c r="L124" i="18"/>
  <c r="N124" i="18" s="1"/>
  <c r="B124" i="18"/>
  <c r="Z123" i="18"/>
  <c r="X123" i="18"/>
  <c r="L123" i="18"/>
  <c r="N123" i="18" s="1"/>
  <c r="B123" i="18"/>
  <c r="Z122" i="18"/>
  <c r="X122" i="18"/>
  <c r="N122" i="18"/>
  <c r="L122" i="18"/>
  <c r="B122" i="18"/>
  <c r="Z121" i="18"/>
  <c r="X121" i="18"/>
  <c r="N121" i="18"/>
  <c r="L121" i="18"/>
  <c r="B121" i="18"/>
  <c r="X120" i="18"/>
  <c r="Z120" i="18" s="1"/>
  <c r="L120" i="18"/>
  <c r="N120" i="18" s="1"/>
  <c r="B120" i="18"/>
  <c r="X119" i="18"/>
  <c r="Z119" i="18" s="1"/>
  <c r="N119" i="18"/>
  <c r="L119" i="18"/>
  <c r="B119" i="18"/>
  <c r="X118" i="18"/>
  <c r="Z118" i="18" s="1"/>
  <c r="L118" i="18"/>
  <c r="N118" i="18" s="1"/>
  <c r="B118" i="18"/>
  <c r="Z117" i="18"/>
  <c r="X117" i="18"/>
  <c r="N117" i="18"/>
  <c r="L117" i="18"/>
  <c r="B117" i="18"/>
  <c r="X116" i="18"/>
  <c r="Z116" i="18" s="1"/>
  <c r="L116" i="18"/>
  <c r="N116" i="18" s="1"/>
  <c r="B116" i="18"/>
  <c r="Z115" i="18"/>
  <c r="X115" i="18"/>
  <c r="N115" i="18"/>
  <c r="L115" i="18"/>
  <c r="B115" i="18"/>
  <c r="X114" i="18"/>
  <c r="Z114" i="18" s="1"/>
  <c r="N114" i="18"/>
  <c r="L114" i="18"/>
  <c r="B114" i="18"/>
  <c r="Z113" i="18"/>
  <c r="X113" i="18"/>
  <c r="N113" i="18"/>
  <c r="L113" i="18"/>
  <c r="B113" i="18"/>
  <c r="X112" i="18"/>
  <c r="Z112" i="18" s="1"/>
  <c r="L112" i="18"/>
  <c r="N112" i="18" s="1"/>
  <c r="B112" i="18"/>
  <c r="X111" i="18"/>
  <c r="Z111" i="18" s="1"/>
  <c r="N111" i="18"/>
  <c r="L111" i="18"/>
  <c r="B111" i="18"/>
  <c r="X110" i="18"/>
  <c r="Z110" i="18" s="1"/>
  <c r="N110" i="18"/>
  <c r="L110" i="18"/>
  <c r="B110" i="18"/>
  <c r="Z109" i="18"/>
  <c r="X109" i="18"/>
  <c r="N109" i="18"/>
  <c r="L109" i="18"/>
  <c r="B109" i="18"/>
  <c r="X108" i="18"/>
  <c r="Z108" i="18" s="1"/>
  <c r="L108" i="18"/>
  <c r="N108" i="18" s="1"/>
  <c r="B108" i="18"/>
  <c r="Z107" i="18"/>
  <c r="X107" i="18"/>
  <c r="L107" i="18"/>
  <c r="N107" i="18" s="1"/>
  <c r="B107" i="18"/>
  <c r="X106" i="18"/>
  <c r="Z106" i="18" s="1"/>
  <c r="N106" i="18"/>
  <c r="L106" i="18"/>
  <c r="B106" i="18"/>
  <c r="Z105" i="18"/>
  <c r="X105" i="18"/>
  <c r="N105" i="18"/>
  <c r="L105" i="18"/>
  <c r="B105" i="18"/>
  <c r="X104" i="18"/>
  <c r="Z104" i="18" s="1"/>
  <c r="N104" i="18"/>
  <c r="L104" i="18"/>
  <c r="B104" i="18"/>
  <c r="X103" i="18"/>
  <c r="Z103" i="18" s="1"/>
  <c r="N103" i="18"/>
  <c r="L103" i="18"/>
  <c r="B103" i="18"/>
  <c r="X102" i="18"/>
  <c r="Z102" i="18" s="1"/>
  <c r="N102" i="18"/>
  <c r="L102" i="18"/>
  <c r="B102" i="18"/>
  <c r="Z101" i="18"/>
  <c r="X101" i="18"/>
  <c r="N101" i="18"/>
  <c r="L101" i="18"/>
  <c r="B101" i="18"/>
  <c r="X100" i="18"/>
  <c r="Z100" i="18" s="1"/>
  <c r="N100" i="18"/>
  <c r="L100" i="18"/>
  <c r="B100" i="18"/>
  <c r="Z99" i="18"/>
  <c r="X99" i="18"/>
  <c r="L99" i="18"/>
  <c r="N99" i="18" s="1"/>
  <c r="B99" i="18"/>
  <c r="X98" i="18"/>
  <c r="Z98" i="18" s="1"/>
  <c r="L98" i="18"/>
  <c r="N98" i="18" s="1"/>
  <c r="B98" i="18"/>
  <c r="Z97" i="18"/>
  <c r="X97" i="18"/>
  <c r="N97" i="18"/>
  <c r="L97" i="18"/>
  <c r="B97" i="18"/>
  <c r="T96" i="18"/>
  <c r="P96" i="18"/>
  <c r="X96" i="18" s="1"/>
  <c r="L96" i="18"/>
  <c r="H96" i="18"/>
  <c r="D96" i="18"/>
  <c r="Z94" i="18"/>
  <c r="T94" i="18"/>
  <c r="P94" i="18"/>
  <c r="X94" i="18" s="1"/>
  <c r="H94" i="18"/>
  <c r="N94" i="18" s="1"/>
  <c r="D94" i="18"/>
  <c r="L94" i="18" s="1"/>
  <c r="B94" i="18"/>
  <c r="T93" i="18"/>
  <c r="P93" i="18"/>
  <c r="X93" i="18" s="1"/>
  <c r="H93" i="18"/>
  <c r="N93" i="18" s="1"/>
  <c r="D93" i="18"/>
  <c r="L93" i="18" s="1"/>
  <c r="B93" i="18"/>
  <c r="X92" i="18"/>
  <c r="T92" i="18"/>
  <c r="Z92" i="18" s="1"/>
  <c r="P92" i="18"/>
  <c r="H92" i="18"/>
  <c r="N92" i="18" s="1"/>
  <c r="D92" i="18"/>
  <c r="L92" i="18" s="1"/>
  <c r="B92" i="18"/>
  <c r="T91" i="18"/>
  <c r="P91" i="18"/>
  <c r="X91" i="18" s="1"/>
  <c r="Z91" i="18" s="1"/>
  <c r="H91" i="18"/>
  <c r="D91" i="18"/>
  <c r="B91" i="18"/>
  <c r="T90" i="18"/>
  <c r="Z90" i="18" s="1"/>
  <c r="P90" i="18"/>
  <c r="X90" i="18" s="1"/>
  <c r="H90" i="18"/>
  <c r="D90" i="18"/>
  <c r="L90" i="18" s="1"/>
  <c r="N90" i="18" s="1"/>
  <c r="B90" i="18"/>
  <c r="T89" i="18"/>
  <c r="P89" i="18"/>
  <c r="X89" i="18" s="1"/>
  <c r="H89" i="18"/>
  <c r="D89" i="18"/>
  <c r="L89" i="18" s="1"/>
  <c r="B89" i="18"/>
  <c r="T88" i="18"/>
  <c r="P88" i="18"/>
  <c r="X88" i="18" s="1"/>
  <c r="L88" i="18"/>
  <c r="H88" i="18"/>
  <c r="N88" i="18" s="1"/>
  <c r="D88" i="18"/>
  <c r="B88" i="18"/>
  <c r="T87" i="18"/>
  <c r="P87" i="18"/>
  <c r="N87" i="18"/>
  <c r="H87" i="18"/>
  <c r="D87" i="18"/>
  <c r="L87" i="18" s="1"/>
  <c r="B87" i="18"/>
  <c r="Z86" i="18"/>
  <c r="T86" i="18"/>
  <c r="P86" i="18"/>
  <c r="X86" i="18" s="1"/>
  <c r="H86" i="18"/>
  <c r="N86" i="18" s="1"/>
  <c r="D86" i="18"/>
  <c r="L86" i="18" s="1"/>
  <c r="B86" i="18"/>
  <c r="T85" i="18"/>
  <c r="P85" i="18"/>
  <c r="X85" i="18" s="1"/>
  <c r="H85" i="18"/>
  <c r="N85" i="18" s="1"/>
  <c r="D85" i="18"/>
  <c r="L85" i="18" s="1"/>
  <c r="B85" i="18"/>
  <c r="X84" i="18"/>
  <c r="T84" i="18"/>
  <c r="Z84" i="18" s="1"/>
  <c r="P84" i="18"/>
  <c r="H84" i="18"/>
  <c r="D84" i="18"/>
  <c r="L84" i="18" s="1"/>
  <c r="B84" i="18"/>
  <c r="Z83" i="18"/>
  <c r="T83" i="18"/>
  <c r="P83" i="18"/>
  <c r="X83" i="18" s="1"/>
  <c r="H83" i="18"/>
  <c r="D83" i="18"/>
  <c r="B83" i="18"/>
  <c r="T82" i="18"/>
  <c r="P82" i="18"/>
  <c r="X82" i="18" s="1"/>
  <c r="H82" i="18"/>
  <c r="D82" i="18"/>
  <c r="L82" i="18" s="1"/>
  <c r="N82" i="18" s="1"/>
  <c r="B82" i="18"/>
  <c r="T81" i="18"/>
  <c r="P81" i="18"/>
  <c r="X81" i="18" s="1"/>
  <c r="H81" i="18"/>
  <c r="N81" i="18" s="1"/>
  <c r="D81" i="18"/>
  <c r="L81" i="18" s="1"/>
  <c r="B81" i="18"/>
  <c r="T80" i="18"/>
  <c r="P80" i="18"/>
  <c r="X80" i="18" s="1"/>
  <c r="L80" i="18"/>
  <c r="H80" i="18"/>
  <c r="N80" i="18" s="1"/>
  <c r="D80" i="18"/>
  <c r="B80" i="18"/>
  <c r="T79" i="18"/>
  <c r="P79" i="18"/>
  <c r="N79" i="18"/>
  <c r="H79" i="18"/>
  <c r="D79" i="18"/>
  <c r="L79" i="18" s="1"/>
  <c r="B79" i="18"/>
  <c r="T78" i="18"/>
  <c r="P78" i="18"/>
  <c r="X78" i="18" s="1"/>
  <c r="Z78" i="18" s="1"/>
  <c r="H78" i="18"/>
  <c r="D78" i="18"/>
  <c r="L78" i="18" s="1"/>
  <c r="B78" i="18"/>
  <c r="T77" i="18"/>
  <c r="P77" i="18"/>
  <c r="H77" i="18"/>
  <c r="D77" i="18"/>
  <c r="L77" i="18" s="1"/>
  <c r="B77" i="18"/>
  <c r="X76" i="18"/>
  <c r="T76" i="18"/>
  <c r="Z76" i="18" s="1"/>
  <c r="P76" i="18"/>
  <c r="H76" i="18"/>
  <c r="N76" i="18" s="1"/>
  <c r="D76" i="18"/>
  <c r="L76" i="18" s="1"/>
  <c r="B76" i="18"/>
  <c r="T75" i="18"/>
  <c r="P75" i="18"/>
  <c r="X75" i="18" s="1"/>
  <c r="Z75" i="18" s="1"/>
  <c r="H75" i="18"/>
  <c r="D75" i="18"/>
  <c r="B75" i="18"/>
  <c r="T74" i="18"/>
  <c r="P74" i="18"/>
  <c r="X74" i="18" s="1"/>
  <c r="H74" i="18"/>
  <c r="D74" i="18"/>
  <c r="L74" i="18" s="1"/>
  <c r="N74" i="18" s="1"/>
  <c r="B74" i="18"/>
  <c r="T73" i="18"/>
  <c r="Z73" i="18" s="1"/>
  <c r="P73" i="18"/>
  <c r="X73" i="18" s="1"/>
  <c r="H73" i="18"/>
  <c r="D73" i="18"/>
  <c r="B73" i="18"/>
  <c r="T72" i="18"/>
  <c r="P72" i="18"/>
  <c r="X72" i="18" s="1"/>
  <c r="L72" i="18"/>
  <c r="H72" i="18"/>
  <c r="N72" i="18" s="1"/>
  <c r="D72" i="18"/>
  <c r="B72" i="18"/>
  <c r="T71" i="18"/>
  <c r="P71" i="18"/>
  <c r="H71" i="18"/>
  <c r="D71" i="18"/>
  <c r="L71" i="18" s="1"/>
  <c r="N71" i="18" s="1"/>
  <c r="B71" i="18"/>
  <c r="T70" i="18"/>
  <c r="P70" i="18"/>
  <c r="X70" i="18" s="1"/>
  <c r="Z70" i="18" s="1"/>
  <c r="H70" i="18"/>
  <c r="N70" i="18" s="1"/>
  <c r="D70" i="18"/>
  <c r="L70" i="18" s="1"/>
  <c r="B70" i="18"/>
  <c r="T69" i="18"/>
  <c r="P69" i="18"/>
  <c r="X69" i="18" s="1"/>
  <c r="H69" i="18"/>
  <c r="N69" i="18" s="1"/>
  <c r="D69" i="18"/>
  <c r="L69" i="18" s="1"/>
  <c r="B69" i="18"/>
  <c r="X68" i="18"/>
  <c r="T68" i="18"/>
  <c r="Z68" i="18" s="1"/>
  <c r="P68" i="18"/>
  <c r="H68" i="18"/>
  <c r="D68" i="18"/>
  <c r="L68" i="18" s="1"/>
  <c r="B68" i="18"/>
  <c r="Z67" i="18"/>
  <c r="T67" i="18"/>
  <c r="P67" i="18"/>
  <c r="X67" i="18" s="1"/>
  <c r="H67" i="18"/>
  <c r="D67" i="18"/>
  <c r="B67" i="18"/>
  <c r="T66" i="18"/>
  <c r="Z66" i="18" s="1"/>
  <c r="P66" i="18"/>
  <c r="X66" i="18" s="1"/>
  <c r="N66" i="18"/>
  <c r="H66" i="18"/>
  <c r="D66" i="18"/>
  <c r="L66" i="18" s="1"/>
  <c r="B66" i="18"/>
  <c r="T65" i="18"/>
  <c r="P65" i="18"/>
  <c r="X65" i="18" s="1"/>
  <c r="H65" i="18"/>
  <c r="D65" i="18"/>
  <c r="L65" i="18" s="1"/>
  <c r="B65" i="18"/>
  <c r="T64" i="18"/>
  <c r="Z64" i="18" s="1"/>
  <c r="P64" i="18"/>
  <c r="X64" i="18" s="1"/>
  <c r="L64" i="18"/>
  <c r="H64" i="18"/>
  <c r="N64" i="18" s="1"/>
  <c r="D64" i="18"/>
  <c r="B64" i="18"/>
  <c r="T63" i="18"/>
  <c r="P63" i="18"/>
  <c r="N63" i="18"/>
  <c r="H63" i="18"/>
  <c r="D63" i="18"/>
  <c r="L63" i="18" s="1"/>
  <c r="B63" i="18"/>
  <c r="T62" i="18"/>
  <c r="P62" i="18"/>
  <c r="X62" i="18" s="1"/>
  <c r="Z62" i="18" s="1"/>
  <c r="H62" i="18"/>
  <c r="N62" i="18" s="1"/>
  <c r="D62" i="18"/>
  <c r="L62" i="18" s="1"/>
  <c r="B62" i="18"/>
  <c r="T61" i="18"/>
  <c r="P61" i="18"/>
  <c r="X61" i="18" s="1"/>
  <c r="H61" i="18"/>
  <c r="D61" i="18"/>
  <c r="L61" i="18" s="1"/>
  <c r="B61" i="18"/>
  <c r="X60" i="18"/>
  <c r="T60" i="18"/>
  <c r="P60" i="18"/>
  <c r="H60" i="18"/>
  <c r="D60" i="18"/>
  <c r="L60" i="18" s="1"/>
  <c r="B60" i="18"/>
  <c r="T59" i="18"/>
  <c r="P59" i="18"/>
  <c r="X59" i="18" s="1"/>
  <c r="Z59" i="18" s="1"/>
  <c r="H59" i="18"/>
  <c r="D59" i="18"/>
  <c r="B59" i="18"/>
  <c r="T58" i="18"/>
  <c r="P58" i="18"/>
  <c r="X58" i="18" s="1"/>
  <c r="N58" i="18"/>
  <c r="H58" i="18"/>
  <c r="D58" i="18"/>
  <c r="L58" i="18" s="1"/>
  <c r="B58" i="18"/>
  <c r="T57" i="18"/>
  <c r="Z57" i="18" s="1"/>
  <c r="P57" i="18"/>
  <c r="X57" i="18" s="1"/>
  <c r="H57" i="18"/>
  <c r="D57" i="18"/>
  <c r="L57" i="18" s="1"/>
  <c r="B57" i="18"/>
  <c r="T56" i="18"/>
  <c r="P56" i="18"/>
  <c r="X56" i="18" s="1"/>
  <c r="L56" i="18"/>
  <c r="H56" i="18"/>
  <c r="N56" i="18" s="1"/>
  <c r="D56" i="18"/>
  <c r="B56" i="18"/>
  <c r="T55" i="18"/>
  <c r="P55" i="18"/>
  <c r="N55" i="18"/>
  <c r="H55" i="18"/>
  <c r="D55" i="18"/>
  <c r="L55" i="18" s="1"/>
  <c r="B55" i="18"/>
  <c r="T54" i="18"/>
  <c r="P54" i="18"/>
  <c r="X54" i="18" s="1"/>
  <c r="Z54" i="18" s="1"/>
  <c r="H54" i="18"/>
  <c r="D54" i="18"/>
  <c r="L54" i="18" s="1"/>
  <c r="B54" i="18"/>
  <c r="T53" i="18"/>
  <c r="P53" i="18"/>
  <c r="H53" i="18"/>
  <c r="N53" i="18" s="1"/>
  <c r="D53" i="18"/>
  <c r="L53" i="18" s="1"/>
  <c r="B53" i="18"/>
  <c r="X52" i="18"/>
  <c r="T52" i="18"/>
  <c r="Z52" i="18" s="1"/>
  <c r="P52" i="18"/>
  <c r="H52" i="18"/>
  <c r="N52" i="18" s="1"/>
  <c r="D52" i="18"/>
  <c r="L52" i="18" s="1"/>
  <c r="B52" i="18"/>
  <c r="T51" i="18"/>
  <c r="P51" i="18"/>
  <c r="X51" i="18" s="1"/>
  <c r="Z51" i="18" s="1"/>
  <c r="H51" i="18"/>
  <c r="N51" i="18" s="1"/>
  <c r="D51" i="18"/>
  <c r="B51" i="18"/>
  <c r="T50" i="18"/>
  <c r="P50" i="18"/>
  <c r="X50" i="18" s="1"/>
  <c r="N50" i="18"/>
  <c r="H50" i="18"/>
  <c r="D50" i="18"/>
  <c r="L50" i="18" s="1"/>
  <c r="B50" i="18"/>
  <c r="T49" i="18"/>
  <c r="P49" i="18"/>
  <c r="X49" i="18" s="1"/>
  <c r="H49" i="18"/>
  <c r="N49" i="18" s="1"/>
  <c r="D49" i="18"/>
  <c r="L49" i="18" s="1"/>
  <c r="B49" i="18"/>
  <c r="T48" i="18"/>
  <c r="P48" i="18"/>
  <c r="X48" i="18" s="1"/>
  <c r="L48" i="18"/>
  <c r="H48" i="18"/>
  <c r="N48" i="18" s="1"/>
  <c r="D48" i="18"/>
  <c r="B48" i="18"/>
  <c r="T47" i="18"/>
  <c r="P47" i="18"/>
  <c r="N47" i="18"/>
  <c r="H47" i="18"/>
  <c r="D47" i="18"/>
  <c r="L47" i="18" s="1"/>
  <c r="B47" i="18"/>
  <c r="T46" i="18"/>
  <c r="P46" i="18"/>
  <c r="X46" i="18" s="1"/>
  <c r="Z46" i="18" s="1"/>
  <c r="H46" i="18"/>
  <c r="N46" i="18" s="1"/>
  <c r="D46" i="18"/>
  <c r="L46" i="18" s="1"/>
  <c r="B46" i="18"/>
  <c r="T45" i="18"/>
  <c r="P45" i="18"/>
  <c r="X45" i="18" s="1"/>
  <c r="H45" i="18"/>
  <c r="N45" i="18" s="1"/>
  <c r="D45" i="18"/>
  <c r="L45" i="18" s="1"/>
  <c r="B45" i="18"/>
  <c r="X44" i="18"/>
  <c r="T44" i="18"/>
  <c r="P44" i="18"/>
  <c r="H44" i="18"/>
  <c r="N44" i="18" s="1"/>
  <c r="D44" i="18"/>
  <c r="L44" i="18" s="1"/>
  <c r="B44" i="18"/>
  <c r="T43" i="18"/>
  <c r="P43" i="18"/>
  <c r="X43" i="18" s="1"/>
  <c r="Z43" i="18" s="1"/>
  <c r="H43" i="18"/>
  <c r="D43" i="18"/>
  <c r="B43" i="18"/>
  <c r="T42" i="18"/>
  <c r="Z42" i="18" s="1"/>
  <c r="P42" i="18"/>
  <c r="X42" i="18" s="1"/>
  <c r="H42" i="18"/>
  <c r="D42" i="18"/>
  <c r="L42" i="18" s="1"/>
  <c r="N42" i="18" s="1"/>
  <c r="B42" i="18"/>
  <c r="T41" i="18"/>
  <c r="P41" i="18"/>
  <c r="X41" i="18" s="1"/>
  <c r="H41" i="18"/>
  <c r="N41" i="18" s="1"/>
  <c r="D41" i="18"/>
  <c r="L41" i="18" s="1"/>
  <c r="B41" i="18"/>
  <c r="T40" i="18"/>
  <c r="Z40" i="18" s="1"/>
  <c r="P40" i="18"/>
  <c r="X40" i="18" s="1"/>
  <c r="L40" i="18"/>
  <c r="H40" i="18"/>
  <c r="D40" i="18"/>
  <c r="B40" i="18"/>
  <c r="T39" i="18"/>
  <c r="P39" i="18"/>
  <c r="H39" i="18"/>
  <c r="D39" i="18"/>
  <c r="L39" i="18" s="1"/>
  <c r="N39" i="18" s="1"/>
  <c r="B39" i="18"/>
  <c r="T38" i="18"/>
  <c r="P38" i="18"/>
  <c r="X38" i="18" s="1"/>
  <c r="Z38" i="18" s="1"/>
  <c r="H38" i="18"/>
  <c r="N38" i="18" s="1"/>
  <c r="D38" i="18"/>
  <c r="L38" i="18" s="1"/>
  <c r="B38" i="18"/>
  <c r="T37" i="18"/>
  <c r="P37" i="18"/>
  <c r="X37" i="18" s="1"/>
  <c r="H37" i="18"/>
  <c r="D37" i="18"/>
  <c r="L37" i="18" s="1"/>
  <c r="B37" i="18"/>
  <c r="X36" i="18"/>
  <c r="T36" i="18"/>
  <c r="P36" i="18"/>
  <c r="H36" i="18"/>
  <c r="D36" i="18"/>
  <c r="L36" i="18" s="1"/>
  <c r="B36" i="18"/>
  <c r="T35" i="18"/>
  <c r="P35" i="18"/>
  <c r="X35" i="18" s="1"/>
  <c r="Z35" i="18" s="1"/>
  <c r="H35" i="18"/>
  <c r="D35" i="18"/>
  <c r="B35" i="18"/>
  <c r="T34" i="18"/>
  <c r="Z34" i="18" s="1"/>
  <c r="P34" i="18"/>
  <c r="X34" i="18" s="1"/>
  <c r="H34" i="18"/>
  <c r="D34" i="18"/>
  <c r="L34" i="18" s="1"/>
  <c r="N34" i="18" s="1"/>
  <c r="B34" i="18"/>
  <c r="T33" i="18"/>
  <c r="P33" i="18"/>
  <c r="X33" i="18" s="1"/>
  <c r="H33" i="18"/>
  <c r="D33" i="18"/>
  <c r="L33" i="18" s="1"/>
  <c r="B33" i="18"/>
  <c r="T32" i="18"/>
  <c r="P32" i="18"/>
  <c r="X32" i="18" s="1"/>
  <c r="L32" i="18"/>
  <c r="H32" i="18"/>
  <c r="D32" i="18"/>
  <c r="B32" i="18"/>
  <c r="T31" i="18"/>
  <c r="P31" i="18"/>
  <c r="H31" i="18"/>
  <c r="D31" i="18"/>
  <c r="L31" i="18" s="1"/>
  <c r="N31" i="18" s="1"/>
  <c r="B31" i="18"/>
  <c r="T30" i="18"/>
  <c r="P30" i="18"/>
  <c r="X30" i="18" s="1"/>
  <c r="Z30" i="18" s="1"/>
  <c r="H30" i="18"/>
  <c r="N30" i="18" s="1"/>
  <c r="D30" i="18"/>
  <c r="L30" i="18" s="1"/>
  <c r="B30" i="18"/>
  <c r="T29" i="18"/>
  <c r="P29" i="18"/>
  <c r="X29" i="18" s="1"/>
  <c r="H29" i="18"/>
  <c r="D29" i="18"/>
  <c r="L29" i="18" s="1"/>
  <c r="B29" i="18"/>
  <c r="X28" i="18"/>
  <c r="T28" i="18"/>
  <c r="P28" i="18"/>
  <c r="H28" i="18"/>
  <c r="D28" i="18"/>
  <c r="L28" i="18" s="1"/>
  <c r="B28" i="18"/>
  <c r="T27" i="18"/>
  <c r="P27" i="18"/>
  <c r="X27" i="18" s="1"/>
  <c r="Z27" i="18" s="1"/>
  <c r="H27" i="18"/>
  <c r="D27" i="18"/>
  <c r="B27" i="18"/>
  <c r="T26" i="18"/>
  <c r="Z26" i="18" s="1"/>
  <c r="P26" i="18"/>
  <c r="X26" i="18" s="1"/>
  <c r="H26" i="18"/>
  <c r="D26" i="18"/>
  <c r="L26" i="18" s="1"/>
  <c r="N26" i="18" s="1"/>
  <c r="B26" i="18"/>
  <c r="T25" i="18"/>
  <c r="P25" i="18"/>
  <c r="X25" i="18" s="1"/>
  <c r="H25" i="18"/>
  <c r="N25" i="18" s="1"/>
  <c r="D25" i="18"/>
  <c r="L25" i="18" s="1"/>
  <c r="B25" i="18"/>
  <c r="T24" i="18"/>
  <c r="Z24" i="18" s="1"/>
  <c r="P24" i="18"/>
  <c r="X24" i="18" s="1"/>
  <c r="L24" i="18"/>
  <c r="H24" i="18"/>
  <c r="D24" i="18"/>
  <c r="B24" i="18"/>
  <c r="T23" i="18"/>
  <c r="P23" i="18"/>
  <c r="H23" i="18"/>
  <c r="D23" i="18"/>
  <c r="L23" i="18" s="1"/>
  <c r="N23" i="18" s="1"/>
  <c r="B23" i="18"/>
  <c r="T22" i="18"/>
  <c r="P22" i="18"/>
  <c r="X22" i="18" s="1"/>
  <c r="Z22" i="18" s="1"/>
  <c r="H22" i="18"/>
  <c r="N22" i="18" s="1"/>
  <c r="D22" i="18"/>
  <c r="L22" i="18" s="1"/>
  <c r="B22" i="18"/>
  <c r="T21" i="18"/>
  <c r="P21" i="18"/>
  <c r="X21" i="18" s="1"/>
  <c r="H21" i="18"/>
  <c r="D21" i="18"/>
  <c r="L21" i="18" s="1"/>
  <c r="B21" i="18"/>
  <c r="X20" i="18"/>
  <c r="T20" i="18"/>
  <c r="P20" i="18"/>
  <c r="H20" i="18"/>
  <c r="D20" i="18"/>
  <c r="L20" i="18" s="1"/>
  <c r="B20" i="18"/>
  <c r="T19" i="18"/>
  <c r="P19" i="18"/>
  <c r="X19" i="18" s="1"/>
  <c r="Z19" i="18" s="1"/>
  <c r="H19" i="18"/>
  <c r="D19" i="18"/>
  <c r="B19" i="18"/>
  <c r="T18" i="18"/>
  <c r="Z18" i="18" s="1"/>
  <c r="P18" i="18"/>
  <c r="X18" i="18" s="1"/>
  <c r="H18" i="18"/>
  <c r="D18" i="18"/>
  <c r="B18" i="18"/>
  <c r="T17" i="18"/>
  <c r="P17" i="18"/>
  <c r="X17" i="18" s="1"/>
  <c r="H17" i="18"/>
  <c r="D17" i="18"/>
  <c r="L17" i="18" s="1"/>
  <c r="B17" i="18"/>
  <c r="T16" i="18"/>
  <c r="P16" i="18"/>
  <c r="X16" i="18" s="1"/>
  <c r="L16" i="18"/>
  <c r="H16" i="18"/>
  <c r="D16" i="18"/>
  <c r="B16" i="18"/>
  <c r="T15" i="18"/>
  <c r="P15" i="18"/>
  <c r="H15" i="18"/>
  <c r="D15" i="18"/>
  <c r="L15" i="18" s="1"/>
  <c r="N15" i="18" s="1"/>
  <c r="B15" i="18"/>
  <c r="T14" i="18"/>
  <c r="P14" i="18"/>
  <c r="H14" i="18"/>
  <c r="N14" i="18" s="1"/>
  <c r="D14" i="18"/>
  <c r="L14" i="18" s="1"/>
  <c r="B14" i="18"/>
  <c r="T13" i="18"/>
  <c r="P13" i="18"/>
  <c r="X13" i="18" s="1"/>
  <c r="H13" i="18"/>
  <c r="D13" i="18"/>
  <c r="L13" i="18" s="1"/>
  <c r="B13" i="18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P20" i="17"/>
  <c r="H20" i="17"/>
  <c r="N20" i="17" s="1"/>
  <c r="D20" i="17"/>
  <c r="T16" i="17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31" i="17" s="1"/>
  <c r="P12" i="17"/>
  <c r="R20" i="17" s="1"/>
  <c r="H12" i="17"/>
  <c r="J18" i="17" s="1"/>
  <c r="D12" i="17"/>
  <c r="D5" i="17"/>
  <c r="D4" i="17"/>
  <c r="B39" i="16"/>
  <c r="B38" i="16"/>
  <c r="T34" i="16"/>
  <c r="Z34" i="16" s="1"/>
  <c r="P34" i="16"/>
  <c r="H34" i="16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15" i="16" s="1"/>
  <c r="P12" i="16"/>
  <c r="R22" i="16" s="1"/>
  <c r="H12" i="16"/>
  <c r="D12" i="16"/>
  <c r="F20" i="16" s="1"/>
  <c r="D5" i="16"/>
  <c r="D4" i="16"/>
  <c r="Z225" i="15"/>
  <c r="X225" i="15"/>
  <c r="N225" i="15"/>
  <c r="L225" i="15"/>
  <c r="T221" i="15"/>
  <c r="P221" i="15"/>
  <c r="X221" i="15" s="1"/>
  <c r="Z221" i="15" s="1"/>
  <c r="L221" i="15"/>
  <c r="N221" i="15" s="1"/>
  <c r="H221" i="15"/>
  <c r="D221" i="15"/>
  <c r="B221" i="15"/>
  <c r="T220" i="15"/>
  <c r="P220" i="15"/>
  <c r="X220" i="15" s="1"/>
  <c r="H220" i="15"/>
  <c r="N220" i="15" s="1"/>
  <c r="D220" i="15"/>
  <c r="L220" i="15" s="1"/>
  <c r="B220" i="15"/>
  <c r="Z219" i="15"/>
  <c r="T219" i="15"/>
  <c r="P219" i="15"/>
  <c r="X219" i="15" s="1"/>
  <c r="H219" i="15"/>
  <c r="D219" i="15"/>
  <c r="L219" i="15" s="1"/>
  <c r="N219" i="15" s="1"/>
  <c r="B219" i="15"/>
  <c r="T218" i="15"/>
  <c r="P218" i="15"/>
  <c r="P217" i="15" s="1"/>
  <c r="H218" i="15"/>
  <c r="D218" i="15"/>
  <c r="B218" i="15"/>
  <c r="Z215" i="15"/>
  <c r="X215" i="15"/>
  <c r="N215" i="15"/>
  <c r="L215" i="15"/>
  <c r="B215" i="15"/>
  <c r="X214" i="15"/>
  <c r="T214" i="15"/>
  <c r="Z214" i="15" s="1"/>
  <c r="P214" i="15"/>
  <c r="H214" i="15"/>
  <c r="D214" i="15"/>
  <c r="B214" i="15"/>
  <c r="X213" i="15"/>
  <c r="Z213" i="15" s="1"/>
  <c r="N213" i="15"/>
  <c r="L213" i="15"/>
  <c r="B213" i="15"/>
  <c r="X212" i="15"/>
  <c r="Z212" i="15" s="1"/>
  <c r="L212" i="15"/>
  <c r="N212" i="15" s="1"/>
  <c r="B212" i="15"/>
  <c r="Z211" i="15"/>
  <c r="X211" i="15"/>
  <c r="N211" i="15"/>
  <c r="L211" i="15"/>
  <c r="B211" i="15"/>
  <c r="X210" i="15"/>
  <c r="T210" i="15"/>
  <c r="P210" i="15"/>
  <c r="H210" i="15"/>
  <c r="D210" i="15"/>
  <c r="B210" i="15"/>
  <c r="X209" i="15"/>
  <c r="Z209" i="15" s="1"/>
  <c r="N209" i="15"/>
  <c r="L209" i="15"/>
  <c r="B209" i="15"/>
  <c r="T208" i="15"/>
  <c r="P208" i="15"/>
  <c r="H208" i="15"/>
  <c r="N208" i="15" s="1"/>
  <c r="D208" i="15"/>
  <c r="L208" i="15" s="1"/>
  <c r="B208" i="15"/>
  <c r="Z207" i="15"/>
  <c r="X207" i="15"/>
  <c r="N207" i="15"/>
  <c r="L207" i="15"/>
  <c r="B207" i="15"/>
  <c r="X206" i="15"/>
  <c r="Z206" i="15" s="1"/>
  <c r="N206" i="15"/>
  <c r="L206" i="15"/>
  <c r="B206" i="15"/>
  <c r="X205" i="15"/>
  <c r="Z205" i="15" s="1"/>
  <c r="T205" i="15"/>
  <c r="P205" i="15"/>
  <c r="H205" i="15"/>
  <c r="D205" i="15"/>
  <c r="B205" i="15"/>
  <c r="X204" i="15"/>
  <c r="Z204" i="15" s="1"/>
  <c r="L204" i="15"/>
  <c r="N204" i="15" s="1"/>
  <c r="B204" i="15"/>
  <c r="Z203" i="15"/>
  <c r="X203" i="15"/>
  <c r="N203" i="15"/>
  <c r="L203" i="15"/>
  <c r="B203" i="15"/>
  <c r="X202" i="15"/>
  <c r="Z202" i="15" s="1"/>
  <c r="L202" i="15"/>
  <c r="N202" i="15" s="1"/>
  <c r="B202" i="15"/>
  <c r="X201" i="15"/>
  <c r="Z201" i="15" s="1"/>
  <c r="N201" i="15"/>
  <c r="L201" i="15"/>
  <c r="B201" i="15"/>
  <c r="X200" i="15"/>
  <c r="Z200" i="15" s="1"/>
  <c r="L200" i="15"/>
  <c r="N200" i="15" s="1"/>
  <c r="B200" i="15"/>
  <c r="Z199" i="15"/>
  <c r="X199" i="15"/>
  <c r="N199" i="15"/>
  <c r="L199" i="15"/>
  <c r="B199" i="15"/>
  <c r="X198" i="15"/>
  <c r="Z198" i="15" s="1"/>
  <c r="N198" i="15"/>
  <c r="L198" i="15"/>
  <c r="B198" i="15"/>
  <c r="Z197" i="15"/>
  <c r="T197" i="15"/>
  <c r="P197" i="15"/>
  <c r="X197" i="15" s="1"/>
  <c r="H197" i="15"/>
  <c r="D197" i="15"/>
  <c r="L197" i="15" s="1"/>
  <c r="N197" i="15" s="1"/>
  <c r="B197" i="15"/>
  <c r="X196" i="15"/>
  <c r="Z196" i="15" s="1"/>
  <c r="L196" i="15"/>
  <c r="N196" i="15" s="1"/>
  <c r="B196" i="15"/>
  <c r="Z195" i="15"/>
  <c r="X195" i="15"/>
  <c r="N195" i="15"/>
  <c r="L195" i="15"/>
  <c r="B195" i="15"/>
  <c r="X194" i="15"/>
  <c r="T194" i="15"/>
  <c r="P194" i="15"/>
  <c r="H194" i="15"/>
  <c r="D194" i="15"/>
  <c r="B194" i="15"/>
  <c r="X193" i="15"/>
  <c r="Z193" i="15" s="1"/>
  <c r="N193" i="15"/>
  <c r="L193" i="15"/>
  <c r="B193" i="15"/>
  <c r="X192" i="15"/>
  <c r="Z192" i="15" s="1"/>
  <c r="L192" i="15"/>
  <c r="N192" i="15" s="1"/>
  <c r="B192" i="15"/>
  <c r="Z191" i="15"/>
  <c r="X191" i="15"/>
  <c r="N191" i="15"/>
  <c r="L191" i="15"/>
  <c r="B191" i="15"/>
  <c r="X190" i="15"/>
  <c r="Z190" i="15" s="1"/>
  <c r="L190" i="15"/>
  <c r="N190" i="15" s="1"/>
  <c r="B190" i="15"/>
  <c r="Z189" i="15"/>
  <c r="T189" i="15"/>
  <c r="P189" i="15"/>
  <c r="X189" i="15" s="1"/>
  <c r="H189" i="15"/>
  <c r="D189" i="15"/>
  <c r="L189" i="15" s="1"/>
  <c r="N189" i="15" s="1"/>
  <c r="B189" i="15"/>
  <c r="X188" i="15"/>
  <c r="Z188" i="15" s="1"/>
  <c r="L188" i="15"/>
  <c r="N188" i="15" s="1"/>
  <c r="B188" i="15"/>
  <c r="Z187" i="15"/>
  <c r="X187" i="15"/>
  <c r="N187" i="15"/>
  <c r="L187" i="15"/>
  <c r="B187" i="15"/>
  <c r="X186" i="15"/>
  <c r="Z186" i="15" s="1"/>
  <c r="N186" i="15"/>
  <c r="L186" i="15"/>
  <c r="B186" i="15"/>
  <c r="Z185" i="15"/>
  <c r="T185" i="15"/>
  <c r="P185" i="15"/>
  <c r="X185" i="15" s="1"/>
  <c r="H185" i="15"/>
  <c r="D185" i="15"/>
  <c r="L185" i="15" s="1"/>
  <c r="N185" i="15" s="1"/>
  <c r="B185" i="15"/>
  <c r="X184" i="15"/>
  <c r="Z184" i="15" s="1"/>
  <c r="L184" i="15"/>
  <c r="N184" i="15" s="1"/>
  <c r="B184" i="15"/>
  <c r="Z183" i="15"/>
  <c r="X183" i="15"/>
  <c r="L183" i="15"/>
  <c r="N183" i="15" s="1"/>
  <c r="B183" i="15"/>
  <c r="X182" i="15"/>
  <c r="Z182" i="15" s="1"/>
  <c r="N182" i="15"/>
  <c r="L182" i="15"/>
  <c r="B182" i="15"/>
  <c r="Z181" i="15"/>
  <c r="X181" i="15"/>
  <c r="N181" i="15"/>
  <c r="L181" i="15"/>
  <c r="B181" i="15"/>
  <c r="T180" i="15"/>
  <c r="P180" i="15"/>
  <c r="X180" i="15" s="1"/>
  <c r="L180" i="15"/>
  <c r="H180" i="15"/>
  <c r="N180" i="15" s="1"/>
  <c r="D180" i="15"/>
  <c r="B180" i="15"/>
  <c r="Z179" i="15"/>
  <c r="X179" i="15"/>
  <c r="L179" i="15"/>
  <c r="N179" i="15" s="1"/>
  <c r="B179" i="15"/>
  <c r="X178" i="15"/>
  <c r="T178" i="15"/>
  <c r="P178" i="15"/>
  <c r="H178" i="15"/>
  <c r="D178" i="15"/>
  <c r="B178" i="15"/>
  <c r="Z177" i="15"/>
  <c r="X177" i="15"/>
  <c r="N177" i="15"/>
  <c r="L177" i="15"/>
  <c r="B177" i="15"/>
  <c r="T176" i="15"/>
  <c r="Z176" i="15" s="1"/>
  <c r="P176" i="15"/>
  <c r="H176" i="15"/>
  <c r="N176" i="15" s="1"/>
  <c r="D176" i="15"/>
  <c r="B176" i="15"/>
  <c r="Z175" i="15"/>
  <c r="X175" i="15"/>
  <c r="N175" i="15"/>
  <c r="L175" i="15"/>
  <c r="B175" i="15"/>
  <c r="X174" i="15"/>
  <c r="Z174" i="15" s="1"/>
  <c r="L174" i="15"/>
  <c r="N174" i="15" s="1"/>
  <c r="B174" i="15"/>
  <c r="X173" i="15"/>
  <c r="Z173" i="15" s="1"/>
  <c r="T173" i="15"/>
  <c r="P173" i="15"/>
  <c r="H173" i="15"/>
  <c r="D173" i="15"/>
  <c r="B173" i="15"/>
  <c r="X172" i="15"/>
  <c r="Z172" i="15" s="1"/>
  <c r="L172" i="15"/>
  <c r="N172" i="15" s="1"/>
  <c r="B172" i="15"/>
  <c r="T171" i="15"/>
  <c r="P171" i="15"/>
  <c r="H171" i="15"/>
  <c r="D171" i="15"/>
  <c r="L171" i="15" s="1"/>
  <c r="N171" i="15" s="1"/>
  <c r="B171" i="15"/>
  <c r="X170" i="15"/>
  <c r="Z170" i="15" s="1"/>
  <c r="N170" i="15"/>
  <c r="L170" i="15"/>
  <c r="B170" i="15"/>
  <c r="T169" i="15"/>
  <c r="P169" i="15"/>
  <c r="X169" i="15" s="1"/>
  <c r="Z169" i="15" s="1"/>
  <c r="N169" i="15"/>
  <c r="H169" i="15"/>
  <c r="D169" i="15"/>
  <c r="L169" i="15" s="1"/>
  <c r="B169" i="15"/>
  <c r="X168" i="15"/>
  <c r="Z168" i="15" s="1"/>
  <c r="L168" i="15"/>
  <c r="N168" i="15" s="1"/>
  <c r="B168" i="15"/>
  <c r="Z167" i="15"/>
  <c r="X167" i="15"/>
  <c r="L167" i="15"/>
  <c r="N167" i="15" s="1"/>
  <c r="B167" i="15"/>
  <c r="X166" i="15"/>
  <c r="T166" i="15"/>
  <c r="Z166" i="15" s="1"/>
  <c r="P166" i="15"/>
  <c r="L166" i="15"/>
  <c r="H166" i="15"/>
  <c r="D166" i="15"/>
  <c r="B166" i="15"/>
  <c r="X165" i="15"/>
  <c r="Z165" i="15" s="1"/>
  <c r="N165" i="15"/>
  <c r="L165" i="15"/>
  <c r="B165" i="15"/>
  <c r="T164" i="15"/>
  <c r="P164" i="15"/>
  <c r="H164" i="15"/>
  <c r="D164" i="15"/>
  <c r="B164" i="15"/>
  <c r="X163" i="15"/>
  <c r="Z163" i="15" s="1"/>
  <c r="N163" i="15"/>
  <c r="L163" i="15"/>
  <c r="B163" i="15"/>
  <c r="T162" i="15"/>
  <c r="P162" i="15"/>
  <c r="H162" i="15"/>
  <c r="N162" i="15" s="1"/>
  <c r="D162" i="15"/>
  <c r="L162" i="15" s="1"/>
  <c r="B162" i="15"/>
  <c r="Z161" i="15"/>
  <c r="X161" i="15"/>
  <c r="N161" i="15"/>
  <c r="L161" i="15"/>
  <c r="B161" i="15"/>
  <c r="T160" i="15"/>
  <c r="Z160" i="15" s="1"/>
  <c r="P160" i="15"/>
  <c r="X160" i="15" s="1"/>
  <c r="H160" i="15"/>
  <c r="N160" i="15" s="1"/>
  <c r="D160" i="15"/>
  <c r="L160" i="15" s="1"/>
  <c r="B160" i="15"/>
  <c r="Z159" i="15"/>
  <c r="X159" i="15"/>
  <c r="N159" i="15"/>
  <c r="L159" i="15"/>
  <c r="B159" i="15"/>
  <c r="Z158" i="15"/>
  <c r="X158" i="15"/>
  <c r="N158" i="15"/>
  <c r="L158" i="15"/>
  <c r="B158" i="15"/>
  <c r="Z157" i="15"/>
  <c r="T157" i="15"/>
  <c r="P157" i="15"/>
  <c r="X157" i="15" s="1"/>
  <c r="N157" i="15"/>
  <c r="H157" i="15"/>
  <c r="D157" i="15"/>
  <c r="L157" i="15" s="1"/>
  <c r="B157" i="15"/>
  <c r="X156" i="15"/>
  <c r="Z156" i="15" s="1"/>
  <c r="L156" i="15"/>
  <c r="N156" i="15" s="1"/>
  <c r="B156" i="15"/>
  <c r="Z155" i="15"/>
  <c r="X155" i="15"/>
  <c r="L155" i="15"/>
  <c r="N155" i="15" s="1"/>
  <c r="B155" i="15"/>
  <c r="T154" i="15"/>
  <c r="P154" i="15"/>
  <c r="X154" i="15" s="1"/>
  <c r="L154" i="15"/>
  <c r="N154" i="15" s="1"/>
  <c r="H154" i="15"/>
  <c r="D154" i="15"/>
  <c r="B154" i="15"/>
  <c r="Z153" i="15"/>
  <c r="X153" i="15"/>
  <c r="N153" i="15"/>
  <c r="L153" i="15"/>
  <c r="B153" i="15"/>
  <c r="T152" i="15"/>
  <c r="P152" i="15"/>
  <c r="H152" i="15"/>
  <c r="D152" i="15"/>
  <c r="B152" i="15"/>
  <c r="X151" i="15"/>
  <c r="Z151" i="15" s="1"/>
  <c r="N151" i="15"/>
  <c r="L151" i="15"/>
  <c r="B151" i="15"/>
  <c r="X150" i="15"/>
  <c r="Z150" i="15" s="1"/>
  <c r="L150" i="15"/>
  <c r="N150" i="15" s="1"/>
  <c r="B150" i="15"/>
  <c r="X149" i="15"/>
  <c r="Z149" i="15" s="1"/>
  <c r="T149" i="15"/>
  <c r="P149" i="15"/>
  <c r="L149" i="15"/>
  <c r="N149" i="15" s="1"/>
  <c r="H149" i="15"/>
  <c r="D149" i="15"/>
  <c r="B149" i="15"/>
  <c r="X148" i="15"/>
  <c r="Z148" i="15" s="1"/>
  <c r="L148" i="15"/>
  <c r="N148" i="15" s="1"/>
  <c r="B148" i="15"/>
  <c r="T147" i="15"/>
  <c r="P147" i="15"/>
  <c r="H147" i="15"/>
  <c r="D147" i="15"/>
  <c r="B147" i="15"/>
  <c r="X146" i="15"/>
  <c r="Z146" i="15" s="1"/>
  <c r="L146" i="15"/>
  <c r="N146" i="15" s="1"/>
  <c r="B146" i="15"/>
  <c r="Z145" i="15"/>
  <c r="X145" i="15"/>
  <c r="L145" i="15"/>
  <c r="N145" i="15" s="1"/>
  <c r="B145" i="15"/>
  <c r="X144" i="15"/>
  <c r="Z144" i="15" s="1"/>
  <c r="L144" i="15"/>
  <c r="N144" i="15" s="1"/>
  <c r="B144" i="15"/>
  <c r="X143" i="15"/>
  <c r="Z143" i="15" s="1"/>
  <c r="N143" i="15"/>
  <c r="L143" i="15"/>
  <c r="B143" i="15"/>
  <c r="X142" i="15"/>
  <c r="Z142" i="15" s="1"/>
  <c r="L142" i="15"/>
  <c r="N142" i="15" s="1"/>
  <c r="B142" i="15"/>
  <c r="Z141" i="15"/>
  <c r="X141" i="15"/>
  <c r="N141" i="15"/>
  <c r="L141" i="15"/>
  <c r="B141" i="15"/>
  <c r="Z140" i="15"/>
  <c r="X140" i="15"/>
  <c r="L140" i="15"/>
  <c r="N140" i="15" s="1"/>
  <c r="B140" i="15"/>
  <c r="Z139" i="15"/>
  <c r="T139" i="15"/>
  <c r="P139" i="15"/>
  <c r="X139" i="15" s="1"/>
  <c r="L139" i="15"/>
  <c r="N139" i="15" s="1"/>
  <c r="H139" i="15"/>
  <c r="D139" i="15"/>
  <c r="B139" i="15"/>
  <c r="Z138" i="15"/>
  <c r="X138" i="15"/>
  <c r="L138" i="15"/>
  <c r="N138" i="15" s="1"/>
  <c r="B138" i="15"/>
  <c r="Z137" i="15"/>
  <c r="X137" i="15"/>
  <c r="N137" i="15"/>
  <c r="L137" i="15"/>
  <c r="B137" i="15"/>
  <c r="Z136" i="15"/>
  <c r="X136" i="15"/>
  <c r="L136" i="15"/>
  <c r="N136" i="15" s="1"/>
  <c r="B136" i="15"/>
  <c r="Z135" i="15"/>
  <c r="X135" i="15"/>
  <c r="L135" i="15"/>
  <c r="N135" i="15" s="1"/>
  <c r="B135" i="15"/>
  <c r="Z134" i="15"/>
  <c r="X134" i="15"/>
  <c r="N134" i="15"/>
  <c r="L134" i="15"/>
  <c r="B134" i="15"/>
  <c r="X133" i="15"/>
  <c r="Z133" i="15" s="1"/>
  <c r="L133" i="15"/>
  <c r="N133" i="15" s="1"/>
  <c r="B133" i="15"/>
  <c r="Z132" i="15"/>
  <c r="X132" i="15"/>
  <c r="L132" i="15"/>
  <c r="N132" i="15" s="1"/>
  <c r="B132" i="15"/>
  <c r="X131" i="15"/>
  <c r="Z131" i="15" s="1"/>
  <c r="L131" i="15"/>
  <c r="N131" i="15" s="1"/>
  <c r="B131" i="15"/>
  <c r="X130" i="15"/>
  <c r="Z130" i="15" s="1"/>
  <c r="N130" i="15"/>
  <c r="L130" i="15"/>
  <c r="B130" i="15"/>
  <c r="X129" i="15"/>
  <c r="Z129" i="15" s="1"/>
  <c r="L129" i="15"/>
  <c r="N129" i="15" s="1"/>
  <c r="B129" i="15"/>
  <c r="X128" i="15"/>
  <c r="Z128" i="15" s="1"/>
  <c r="T128" i="15"/>
  <c r="P128" i="15"/>
  <c r="H128" i="15"/>
  <c r="D128" i="15"/>
  <c r="L128" i="15" s="1"/>
  <c r="B128" i="15"/>
  <c r="T127" i="15" a="1"/>
  <c r="T127" i="15" s="1"/>
  <c r="P127" i="15" a="1"/>
  <c r="P127" i="15"/>
  <c r="X127" i="15" s="1"/>
  <c r="H127" i="15" a="1"/>
  <c r="H127" i="15" s="1"/>
  <c r="D127" i="15" a="1"/>
  <c r="D127" i="15"/>
  <c r="Z123" i="15"/>
  <c r="X123" i="15"/>
  <c r="N123" i="15"/>
  <c r="L123" i="15"/>
  <c r="B123" i="15"/>
  <c r="X122" i="15"/>
  <c r="Z122" i="15" s="1"/>
  <c r="L122" i="15"/>
  <c r="N122" i="15" s="1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X117" i="15"/>
  <c r="Z117" i="15" s="1"/>
  <c r="L117" i="15"/>
  <c r="N117" i="15" s="1"/>
  <c r="B117" i="15"/>
  <c r="Z116" i="15"/>
  <c r="X116" i="15"/>
  <c r="N116" i="15"/>
  <c r="L116" i="15"/>
  <c r="B116" i="15"/>
  <c r="X115" i="15"/>
  <c r="Z115" i="15" s="1"/>
  <c r="L115" i="15"/>
  <c r="N115" i="15" s="1"/>
  <c r="B115" i="15"/>
  <c r="Z114" i="15"/>
  <c r="X114" i="15"/>
  <c r="N114" i="15"/>
  <c r="L114" i="15"/>
  <c r="B114" i="15"/>
  <c r="X113" i="15"/>
  <c r="Z113" i="15" s="1"/>
  <c r="N113" i="15"/>
  <c r="L113" i="15"/>
  <c r="B113" i="15"/>
  <c r="Z112" i="15"/>
  <c r="X112" i="15"/>
  <c r="N112" i="15"/>
  <c r="L112" i="15"/>
  <c r="B112" i="15"/>
  <c r="X111" i="15"/>
  <c r="Z111" i="15" s="1"/>
  <c r="L111" i="15"/>
  <c r="N111" i="15" s="1"/>
  <c r="B111" i="15"/>
  <c r="X110" i="15"/>
  <c r="Z110" i="15" s="1"/>
  <c r="N110" i="15"/>
  <c r="L110" i="15"/>
  <c r="B110" i="15"/>
  <c r="X109" i="15"/>
  <c r="Z109" i="15" s="1"/>
  <c r="L109" i="15"/>
  <c r="N109" i="15" s="1"/>
  <c r="B109" i="15"/>
  <c r="Z108" i="15"/>
  <c r="X108" i="15"/>
  <c r="N108" i="15"/>
  <c r="L108" i="15"/>
  <c r="B108" i="15"/>
  <c r="Z107" i="15"/>
  <c r="X107" i="15"/>
  <c r="N107" i="15"/>
  <c r="L107" i="15"/>
  <c r="B107" i="15"/>
  <c r="X106" i="15"/>
  <c r="Z106" i="15" s="1"/>
  <c r="L106" i="15"/>
  <c r="N106" i="15" s="1"/>
  <c r="B106" i="15"/>
  <c r="X105" i="15"/>
  <c r="Z105" i="15" s="1"/>
  <c r="L105" i="15"/>
  <c r="N105" i="15" s="1"/>
  <c r="B105" i="15"/>
  <c r="Z104" i="15"/>
  <c r="X104" i="15"/>
  <c r="N104" i="15"/>
  <c r="L104" i="15"/>
  <c r="B104" i="15"/>
  <c r="Z103" i="15"/>
  <c r="X103" i="15"/>
  <c r="N103" i="15"/>
  <c r="L103" i="15"/>
  <c r="B103" i="15"/>
  <c r="X102" i="15"/>
  <c r="Z102" i="15" s="1"/>
  <c r="L102" i="15"/>
  <c r="N102" i="15" s="1"/>
  <c r="B102" i="15"/>
  <c r="X101" i="15"/>
  <c r="Z101" i="15" s="1"/>
  <c r="N101" i="15"/>
  <c r="L101" i="15"/>
  <c r="B101" i="15"/>
  <c r="Z100" i="15"/>
  <c r="X100" i="15"/>
  <c r="N100" i="15"/>
  <c r="L100" i="15"/>
  <c r="B100" i="15"/>
  <c r="X99" i="15"/>
  <c r="Z99" i="15" s="1"/>
  <c r="L99" i="15"/>
  <c r="N99" i="15" s="1"/>
  <c r="B99" i="15"/>
  <c r="X98" i="15"/>
  <c r="Z98" i="15" s="1"/>
  <c r="L98" i="15"/>
  <c r="N98" i="15" s="1"/>
  <c r="B98" i="15"/>
  <c r="X97" i="15"/>
  <c r="Z97" i="15" s="1"/>
  <c r="L97" i="15"/>
  <c r="N97" i="15" s="1"/>
  <c r="B97" i="15"/>
  <c r="Z96" i="15"/>
  <c r="X96" i="15"/>
  <c r="N96" i="15"/>
  <c r="L96" i="15"/>
  <c r="B96" i="15"/>
  <c r="Z95" i="15"/>
  <c r="X95" i="15"/>
  <c r="L95" i="15"/>
  <c r="N95" i="15" s="1"/>
  <c r="B95" i="15"/>
  <c r="X94" i="15"/>
  <c r="Z94" i="15" s="1"/>
  <c r="L94" i="15"/>
  <c r="N94" i="15" s="1"/>
  <c r="B94" i="15"/>
  <c r="X93" i="15"/>
  <c r="Z93" i="15" s="1"/>
  <c r="L93" i="15"/>
  <c r="N93" i="15" s="1"/>
  <c r="B93" i="15"/>
  <c r="Z92" i="15"/>
  <c r="X92" i="15"/>
  <c r="N92" i="15"/>
  <c r="L92" i="15"/>
  <c r="B92" i="15"/>
  <c r="X91" i="15"/>
  <c r="Z91" i="15" s="1"/>
  <c r="N91" i="15"/>
  <c r="L91" i="15"/>
  <c r="B91" i="15"/>
  <c r="X90" i="15"/>
  <c r="Z90" i="15" s="1"/>
  <c r="N90" i="15"/>
  <c r="L90" i="15"/>
  <c r="B90" i="15"/>
  <c r="X89" i="15"/>
  <c r="Z89" i="15" s="1"/>
  <c r="L89" i="15"/>
  <c r="N89" i="15" s="1"/>
  <c r="B89" i="15"/>
  <c r="Z88" i="15"/>
  <c r="X88" i="15"/>
  <c r="N88" i="15"/>
  <c r="L88" i="15"/>
  <c r="B88" i="15"/>
  <c r="X87" i="15"/>
  <c r="Z87" i="15" s="1"/>
  <c r="L87" i="15"/>
  <c r="N87" i="15" s="1"/>
  <c r="B87" i="15"/>
  <c r="X86" i="15"/>
  <c r="Z86" i="15" s="1"/>
  <c r="N86" i="15"/>
  <c r="L86" i="15"/>
  <c r="B86" i="15"/>
  <c r="X85" i="15"/>
  <c r="Z85" i="15" s="1"/>
  <c r="L85" i="15"/>
  <c r="N85" i="15" s="1"/>
  <c r="B85" i="15"/>
  <c r="Z84" i="15"/>
  <c r="X84" i="15"/>
  <c r="N84" i="15"/>
  <c r="L84" i="15"/>
  <c r="B84" i="15"/>
  <c r="Z83" i="15"/>
  <c r="X83" i="15"/>
  <c r="N83" i="15"/>
  <c r="L83" i="15"/>
  <c r="B83" i="15"/>
  <c r="X82" i="15"/>
  <c r="Z82" i="15" s="1"/>
  <c r="T82" i="15"/>
  <c r="P82" i="15"/>
  <c r="H82" i="15"/>
  <c r="D82" i="15"/>
  <c r="T80" i="15"/>
  <c r="Z80" i="15" s="1"/>
  <c r="P80" i="15"/>
  <c r="X80" i="15" s="1"/>
  <c r="H80" i="15"/>
  <c r="D80" i="15"/>
  <c r="B80" i="15"/>
  <c r="X79" i="15"/>
  <c r="T79" i="15"/>
  <c r="Z79" i="15" s="1"/>
  <c r="P79" i="15"/>
  <c r="N79" i="15"/>
  <c r="L79" i="15"/>
  <c r="H79" i="15"/>
  <c r="D79" i="15"/>
  <c r="B79" i="15"/>
  <c r="T78" i="15"/>
  <c r="P78" i="15"/>
  <c r="X78" i="15" s="1"/>
  <c r="Z78" i="15" s="1"/>
  <c r="H78" i="15"/>
  <c r="D78" i="15"/>
  <c r="L78" i="15" s="1"/>
  <c r="N78" i="15" s="1"/>
  <c r="B78" i="15"/>
  <c r="T77" i="15"/>
  <c r="Z77" i="15" s="1"/>
  <c r="P77" i="15"/>
  <c r="X77" i="15" s="1"/>
  <c r="H77" i="15"/>
  <c r="D77" i="15"/>
  <c r="L77" i="15" s="1"/>
  <c r="B77" i="15"/>
  <c r="T76" i="15"/>
  <c r="P76" i="15"/>
  <c r="H76" i="15"/>
  <c r="D76" i="15"/>
  <c r="L76" i="15" s="1"/>
  <c r="B76" i="15"/>
  <c r="X75" i="15"/>
  <c r="Z75" i="15" s="1"/>
  <c r="T75" i="15"/>
  <c r="P75" i="15"/>
  <c r="L75" i="15"/>
  <c r="H75" i="15"/>
  <c r="N75" i="15" s="1"/>
  <c r="D75" i="15"/>
  <c r="B75" i="15"/>
  <c r="T74" i="15"/>
  <c r="P74" i="15"/>
  <c r="X74" i="15" s="1"/>
  <c r="Z74" i="15" s="1"/>
  <c r="N74" i="15"/>
  <c r="H74" i="15"/>
  <c r="D74" i="15"/>
  <c r="L74" i="15" s="1"/>
  <c r="B74" i="15"/>
  <c r="T73" i="15"/>
  <c r="Z73" i="15" s="1"/>
  <c r="P73" i="15"/>
  <c r="X73" i="15" s="1"/>
  <c r="H73" i="15"/>
  <c r="N73" i="15" s="1"/>
  <c r="D73" i="15"/>
  <c r="L73" i="15" s="1"/>
  <c r="B73" i="15"/>
  <c r="T72" i="15"/>
  <c r="P72" i="15"/>
  <c r="X72" i="15" s="1"/>
  <c r="H72" i="15"/>
  <c r="D72" i="15"/>
  <c r="B72" i="15"/>
  <c r="X71" i="15"/>
  <c r="T71" i="15"/>
  <c r="Z71" i="15" s="1"/>
  <c r="P71" i="15"/>
  <c r="L71" i="15"/>
  <c r="N71" i="15" s="1"/>
  <c r="H71" i="15"/>
  <c r="D71" i="15"/>
  <c r="B71" i="15"/>
  <c r="T70" i="15"/>
  <c r="P70" i="15"/>
  <c r="X70" i="15" s="1"/>
  <c r="Z70" i="15" s="1"/>
  <c r="N70" i="15"/>
  <c r="H70" i="15"/>
  <c r="D70" i="15"/>
  <c r="L70" i="15" s="1"/>
  <c r="B70" i="15"/>
  <c r="T69" i="15"/>
  <c r="P69" i="15"/>
  <c r="X69" i="15" s="1"/>
  <c r="H69" i="15"/>
  <c r="D69" i="15"/>
  <c r="L69" i="15" s="1"/>
  <c r="B69" i="15"/>
  <c r="T68" i="15"/>
  <c r="P68" i="15"/>
  <c r="H68" i="15"/>
  <c r="N68" i="15" s="1"/>
  <c r="D68" i="15"/>
  <c r="L68" i="15" s="1"/>
  <c r="B68" i="15"/>
  <c r="X67" i="15"/>
  <c r="Z67" i="15" s="1"/>
  <c r="T67" i="15"/>
  <c r="P67" i="15"/>
  <c r="L67" i="15"/>
  <c r="H67" i="15"/>
  <c r="N67" i="15" s="1"/>
  <c r="D67" i="15"/>
  <c r="B67" i="15"/>
  <c r="Z66" i="15"/>
  <c r="T66" i="15"/>
  <c r="P66" i="15"/>
  <c r="X66" i="15" s="1"/>
  <c r="H66" i="15"/>
  <c r="D66" i="15"/>
  <c r="L66" i="15" s="1"/>
  <c r="N66" i="15" s="1"/>
  <c r="B66" i="15"/>
  <c r="T65" i="15"/>
  <c r="Z65" i="15" s="1"/>
  <c r="P65" i="15"/>
  <c r="X65" i="15" s="1"/>
  <c r="H65" i="15"/>
  <c r="N65" i="15" s="1"/>
  <c r="D65" i="15"/>
  <c r="L65" i="15" s="1"/>
  <c r="B65" i="15"/>
  <c r="T64" i="15"/>
  <c r="P64" i="15"/>
  <c r="H64" i="15"/>
  <c r="D64" i="15"/>
  <c r="B64" i="15"/>
  <c r="X63" i="15"/>
  <c r="Z63" i="15" s="1"/>
  <c r="T63" i="15"/>
  <c r="P63" i="15"/>
  <c r="L63" i="15"/>
  <c r="N63" i="15" s="1"/>
  <c r="H63" i="15"/>
  <c r="D63" i="15"/>
  <c r="B63" i="15"/>
  <c r="T62" i="15"/>
  <c r="P62" i="15"/>
  <c r="X62" i="15" s="1"/>
  <c r="Z62" i="15" s="1"/>
  <c r="N62" i="15"/>
  <c r="H62" i="15"/>
  <c r="D62" i="15"/>
  <c r="L62" i="15" s="1"/>
  <c r="B62" i="15"/>
  <c r="T61" i="15"/>
  <c r="Z61" i="15" s="1"/>
  <c r="P61" i="15"/>
  <c r="X61" i="15" s="1"/>
  <c r="H61" i="15"/>
  <c r="N61" i="15" s="1"/>
  <c r="D61" i="15"/>
  <c r="L61" i="15" s="1"/>
  <c r="B61" i="15"/>
  <c r="T60" i="15"/>
  <c r="P60" i="15"/>
  <c r="H60" i="15"/>
  <c r="D60" i="15"/>
  <c r="B60" i="15"/>
  <c r="X59" i="15"/>
  <c r="Z59" i="15" s="1"/>
  <c r="T59" i="15"/>
  <c r="P59" i="15"/>
  <c r="L59" i="15"/>
  <c r="N59" i="15" s="1"/>
  <c r="H59" i="15"/>
  <c r="D59" i="15"/>
  <c r="B59" i="15"/>
  <c r="Z58" i="15"/>
  <c r="T58" i="15"/>
  <c r="P58" i="15"/>
  <c r="X58" i="15" s="1"/>
  <c r="N58" i="15"/>
  <c r="H58" i="15"/>
  <c r="D58" i="15"/>
  <c r="L58" i="15" s="1"/>
  <c r="B58" i="15"/>
  <c r="T57" i="15"/>
  <c r="Z57" i="15" s="1"/>
  <c r="P57" i="15"/>
  <c r="X57" i="15" s="1"/>
  <c r="H57" i="15"/>
  <c r="D57" i="15"/>
  <c r="L57" i="15" s="1"/>
  <c r="B57" i="15"/>
  <c r="T56" i="15"/>
  <c r="P56" i="15"/>
  <c r="H56" i="15"/>
  <c r="D56" i="15"/>
  <c r="B56" i="15"/>
  <c r="X55" i="15"/>
  <c r="Z55" i="15" s="1"/>
  <c r="T55" i="15"/>
  <c r="P55" i="15"/>
  <c r="N55" i="15"/>
  <c r="L55" i="15"/>
  <c r="H55" i="15"/>
  <c r="D55" i="15"/>
  <c r="B55" i="15"/>
  <c r="T54" i="15"/>
  <c r="P54" i="15"/>
  <c r="X54" i="15" s="1"/>
  <c r="Z54" i="15" s="1"/>
  <c r="H54" i="15"/>
  <c r="D54" i="15"/>
  <c r="L54" i="15" s="1"/>
  <c r="N54" i="15" s="1"/>
  <c r="B54" i="15"/>
  <c r="T53" i="15"/>
  <c r="Z53" i="15" s="1"/>
  <c r="P53" i="15"/>
  <c r="X53" i="15" s="1"/>
  <c r="H53" i="15"/>
  <c r="D53" i="15"/>
  <c r="L53" i="15" s="1"/>
  <c r="B53" i="15"/>
  <c r="T52" i="15"/>
  <c r="P52" i="15"/>
  <c r="H52" i="15"/>
  <c r="D52" i="15"/>
  <c r="B52" i="15"/>
  <c r="X51" i="15"/>
  <c r="Z51" i="15" s="1"/>
  <c r="T51" i="15"/>
  <c r="P51" i="15"/>
  <c r="L51" i="15"/>
  <c r="N51" i="15" s="1"/>
  <c r="H51" i="15"/>
  <c r="D51" i="15"/>
  <c r="B51" i="15"/>
  <c r="T50" i="15"/>
  <c r="P50" i="15"/>
  <c r="X50" i="15" s="1"/>
  <c r="Z50" i="15" s="1"/>
  <c r="H50" i="15"/>
  <c r="D50" i="15"/>
  <c r="L50" i="15" s="1"/>
  <c r="N50" i="15" s="1"/>
  <c r="B50" i="15"/>
  <c r="T49" i="15"/>
  <c r="P49" i="15"/>
  <c r="X49" i="15" s="1"/>
  <c r="H49" i="15"/>
  <c r="N49" i="15" s="1"/>
  <c r="D49" i="15"/>
  <c r="L49" i="15" s="1"/>
  <c r="B49" i="15"/>
  <c r="T48" i="15"/>
  <c r="P48" i="15"/>
  <c r="H48" i="15"/>
  <c r="D48" i="15"/>
  <c r="B48" i="15"/>
  <c r="X47" i="15"/>
  <c r="Z47" i="15" s="1"/>
  <c r="T47" i="15"/>
  <c r="P47" i="15"/>
  <c r="N47" i="15"/>
  <c r="L47" i="15"/>
  <c r="H47" i="15"/>
  <c r="D47" i="15"/>
  <c r="B47" i="15"/>
  <c r="T46" i="15"/>
  <c r="P46" i="15"/>
  <c r="X46" i="15" s="1"/>
  <c r="Z46" i="15" s="1"/>
  <c r="N46" i="15"/>
  <c r="H46" i="15"/>
  <c r="D46" i="15"/>
  <c r="L46" i="15" s="1"/>
  <c r="B46" i="15"/>
  <c r="T45" i="15"/>
  <c r="P45" i="15"/>
  <c r="X45" i="15" s="1"/>
  <c r="H45" i="15"/>
  <c r="N45" i="15" s="1"/>
  <c r="D45" i="15"/>
  <c r="L45" i="15" s="1"/>
  <c r="B45" i="15"/>
  <c r="T44" i="15"/>
  <c r="P44" i="15"/>
  <c r="H44" i="15"/>
  <c r="N44" i="15" s="1"/>
  <c r="D44" i="15"/>
  <c r="B44" i="15"/>
  <c r="X43" i="15"/>
  <c r="Z43" i="15" s="1"/>
  <c r="T43" i="15"/>
  <c r="P43" i="15"/>
  <c r="L43" i="15"/>
  <c r="N43" i="15" s="1"/>
  <c r="H43" i="15"/>
  <c r="D43" i="15"/>
  <c r="B43" i="15"/>
  <c r="Z42" i="15"/>
  <c r="T42" i="15"/>
  <c r="P42" i="15"/>
  <c r="X42" i="15" s="1"/>
  <c r="N42" i="15"/>
  <c r="H42" i="15"/>
  <c r="D42" i="15"/>
  <c r="L42" i="15" s="1"/>
  <c r="B42" i="15"/>
  <c r="T41" i="15"/>
  <c r="P41" i="15"/>
  <c r="X41" i="15" s="1"/>
  <c r="H41" i="15"/>
  <c r="N41" i="15" s="1"/>
  <c r="D41" i="15"/>
  <c r="L41" i="15" s="1"/>
  <c r="B41" i="15"/>
  <c r="T40" i="15"/>
  <c r="P40" i="15"/>
  <c r="H40" i="15"/>
  <c r="D40" i="15"/>
  <c r="B40" i="15"/>
  <c r="X39" i="15"/>
  <c r="Z39" i="15" s="1"/>
  <c r="T39" i="15"/>
  <c r="P39" i="15"/>
  <c r="L39" i="15"/>
  <c r="N39" i="15" s="1"/>
  <c r="H39" i="15"/>
  <c r="D39" i="15"/>
  <c r="B39" i="15"/>
  <c r="T38" i="15"/>
  <c r="P38" i="15"/>
  <c r="X38" i="15" s="1"/>
  <c r="Z38" i="15" s="1"/>
  <c r="N38" i="15"/>
  <c r="H38" i="15"/>
  <c r="D38" i="15"/>
  <c r="L38" i="15" s="1"/>
  <c r="B38" i="15"/>
  <c r="T37" i="15"/>
  <c r="Z37" i="15" s="1"/>
  <c r="P37" i="15"/>
  <c r="X37" i="15" s="1"/>
  <c r="H37" i="15"/>
  <c r="D37" i="15"/>
  <c r="L37" i="15" s="1"/>
  <c r="B37" i="15"/>
  <c r="T36" i="15"/>
  <c r="P36" i="15"/>
  <c r="H36" i="15"/>
  <c r="D36" i="15"/>
  <c r="B36" i="15"/>
  <c r="X35" i="15"/>
  <c r="Z35" i="15" s="1"/>
  <c r="T35" i="15"/>
  <c r="P35" i="15"/>
  <c r="L35" i="15"/>
  <c r="N35" i="15" s="1"/>
  <c r="H35" i="15"/>
  <c r="D35" i="15"/>
  <c r="B35" i="15"/>
  <c r="T34" i="15"/>
  <c r="P34" i="15"/>
  <c r="X34" i="15" s="1"/>
  <c r="Z34" i="15" s="1"/>
  <c r="H34" i="15"/>
  <c r="D34" i="15"/>
  <c r="L34" i="15" s="1"/>
  <c r="N34" i="15" s="1"/>
  <c r="B34" i="15"/>
  <c r="T33" i="15"/>
  <c r="P33" i="15"/>
  <c r="X33" i="15" s="1"/>
  <c r="H33" i="15"/>
  <c r="N33" i="15" s="1"/>
  <c r="D33" i="15"/>
  <c r="L33" i="15" s="1"/>
  <c r="B33" i="15"/>
  <c r="T32" i="15"/>
  <c r="P32" i="15"/>
  <c r="H32" i="15"/>
  <c r="D32" i="15"/>
  <c r="B32" i="15"/>
  <c r="X31" i="15"/>
  <c r="Z31" i="15" s="1"/>
  <c r="T31" i="15"/>
  <c r="P31" i="15"/>
  <c r="L31" i="15"/>
  <c r="N31" i="15" s="1"/>
  <c r="H31" i="15"/>
  <c r="D31" i="15"/>
  <c r="B31" i="15"/>
  <c r="T30" i="15"/>
  <c r="P30" i="15"/>
  <c r="X30" i="15" s="1"/>
  <c r="Z30" i="15" s="1"/>
  <c r="N30" i="15"/>
  <c r="H30" i="15"/>
  <c r="D30" i="15"/>
  <c r="L30" i="15" s="1"/>
  <c r="B30" i="15"/>
  <c r="T29" i="15"/>
  <c r="Z29" i="15" s="1"/>
  <c r="P29" i="15"/>
  <c r="X29" i="15" s="1"/>
  <c r="H29" i="15"/>
  <c r="N29" i="15" s="1"/>
  <c r="D29" i="15"/>
  <c r="L29" i="15" s="1"/>
  <c r="B29" i="15"/>
  <c r="T28" i="15"/>
  <c r="P28" i="15"/>
  <c r="H28" i="15"/>
  <c r="D28" i="15"/>
  <c r="B28" i="15"/>
  <c r="X27" i="15"/>
  <c r="Z27" i="15" s="1"/>
  <c r="T27" i="15"/>
  <c r="P27" i="15"/>
  <c r="L27" i="15"/>
  <c r="N27" i="15" s="1"/>
  <c r="H27" i="15"/>
  <c r="D27" i="15"/>
  <c r="B27" i="15"/>
  <c r="Z26" i="15"/>
  <c r="T26" i="15"/>
  <c r="P26" i="15"/>
  <c r="X26" i="15" s="1"/>
  <c r="H26" i="15"/>
  <c r="D26" i="15"/>
  <c r="L26" i="15" s="1"/>
  <c r="N26" i="15" s="1"/>
  <c r="B26" i="15"/>
  <c r="T25" i="15"/>
  <c r="Z25" i="15" s="1"/>
  <c r="P25" i="15"/>
  <c r="X25" i="15" s="1"/>
  <c r="H25" i="15"/>
  <c r="N25" i="15" s="1"/>
  <c r="D25" i="15"/>
  <c r="L25" i="15" s="1"/>
  <c r="B25" i="15"/>
  <c r="T24" i="15"/>
  <c r="P24" i="15"/>
  <c r="H24" i="15"/>
  <c r="D24" i="15"/>
  <c r="B24" i="15"/>
  <c r="X23" i="15"/>
  <c r="Z23" i="15" s="1"/>
  <c r="T23" i="15"/>
  <c r="P23" i="15"/>
  <c r="L23" i="15"/>
  <c r="N23" i="15" s="1"/>
  <c r="H23" i="15"/>
  <c r="D23" i="15"/>
  <c r="B23" i="15"/>
  <c r="T22" i="15"/>
  <c r="P22" i="15"/>
  <c r="X22" i="15" s="1"/>
  <c r="Z22" i="15" s="1"/>
  <c r="N22" i="15"/>
  <c r="H22" i="15"/>
  <c r="D22" i="15"/>
  <c r="L22" i="15" s="1"/>
  <c r="B22" i="15"/>
  <c r="T21" i="15"/>
  <c r="P21" i="15"/>
  <c r="X21" i="15" s="1"/>
  <c r="H21" i="15"/>
  <c r="D21" i="15"/>
  <c r="L21" i="15" s="1"/>
  <c r="B21" i="15"/>
  <c r="T20" i="15"/>
  <c r="P20" i="15"/>
  <c r="H20" i="15"/>
  <c r="D20" i="15"/>
  <c r="B20" i="15"/>
  <c r="X19" i="15"/>
  <c r="Z19" i="15" s="1"/>
  <c r="T19" i="15"/>
  <c r="P19" i="15"/>
  <c r="L19" i="15"/>
  <c r="N19" i="15" s="1"/>
  <c r="H19" i="15"/>
  <c r="D19" i="15"/>
  <c r="B19" i="15"/>
  <c r="Z18" i="15"/>
  <c r="T18" i="15"/>
  <c r="P18" i="15"/>
  <c r="X18" i="15" s="1"/>
  <c r="H18" i="15"/>
  <c r="D18" i="15"/>
  <c r="L18" i="15" s="1"/>
  <c r="N18" i="15" s="1"/>
  <c r="B18" i="15"/>
  <c r="T17" i="15"/>
  <c r="Z17" i="15" s="1"/>
  <c r="P17" i="15"/>
  <c r="X17" i="15" s="1"/>
  <c r="H17" i="15"/>
  <c r="N17" i="15" s="1"/>
  <c r="D17" i="15"/>
  <c r="L17" i="15" s="1"/>
  <c r="B17" i="15"/>
  <c r="T16" i="15"/>
  <c r="P16" i="15"/>
  <c r="H16" i="15"/>
  <c r="D16" i="15"/>
  <c r="B16" i="15"/>
  <c r="X15" i="15"/>
  <c r="Z15" i="15" s="1"/>
  <c r="T15" i="15"/>
  <c r="P15" i="15"/>
  <c r="L15" i="15"/>
  <c r="N15" i="15" s="1"/>
  <c r="H15" i="15"/>
  <c r="D15" i="15"/>
  <c r="B15" i="15"/>
  <c r="T14" i="15"/>
  <c r="P14" i="15"/>
  <c r="X14" i="15" s="1"/>
  <c r="Z14" i="15" s="1"/>
  <c r="H14" i="15"/>
  <c r="D14" i="15"/>
  <c r="L14" i="15" s="1"/>
  <c r="N14" i="15" s="1"/>
  <c r="B14" i="15"/>
  <c r="T13" i="15"/>
  <c r="P13" i="15"/>
  <c r="H13" i="15"/>
  <c r="D13" i="15"/>
  <c r="L13" i="15" s="1"/>
  <c r="B13" i="15"/>
  <c r="D4" i="15"/>
  <c r="B39" i="14"/>
  <c r="B38" i="14"/>
  <c r="T34" i="14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P12" i="14"/>
  <c r="R21" i="14" s="1"/>
  <c r="H12" i="14"/>
  <c r="D12" i="14"/>
  <c r="F24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P20" i="13"/>
  <c r="H20" i="13"/>
  <c r="N20" i="13" s="1"/>
  <c r="D20" i="13"/>
  <c r="T16" i="13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P13" i="13"/>
  <c r="H13" i="13"/>
  <c r="N13" i="13" s="1"/>
  <c r="D13" i="13"/>
  <c r="B13" i="13"/>
  <c r="T12" i="13"/>
  <c r="V24" i="13" s="1"/>
  <c r="P12" i="13"/>
  <c r="R20" i="13" s="1"/>
  <c r="H12" i="13"/>
  <c r="J18" i="13" s="1"/>
  <c r="D12" i="13"/>
  <c r="D5" i="13"/>
  <c r="D4" i="13"/>
  <c r="Z235" i="12"/>
  <c r="X235" i="12"/>
  <c r="L235" i="12"/>
  <c r="N235" i="12" s="1"/>
  <c r="T231" i="12"/>
  <c r="P231" i="12"/>
  <c r="H231" i="12"/>
  <c r="N231" i="12" s="1"/>
  <c r="D231" i="12"/>
  <c r="L231" i="12" s="1"/>
  <c r="B231" i="12"/>
  <c r="T230" i="12"/>
  <c r="Z230" i="12" s="1"/>
  <c r="P230" i="12"/>
  <c r="X230" i="12" s="1"/>
  <c r="N230" i="12"/>
  <c r="H230" i="12"/>
  <c r="D230" i="12"/>
  <c r="L230" i="12" s="1"/>
  <c r="B230" i="12"/>
  <c r="X229" i="12"/>
  <c r="Z229" i="12" s="1"/>
  <c r="T229" i="12"/>
  <c r="P229" i="12"/>
  <c r="P227" i="12" s="1"/>
  <c r="H229" i="12"/>
  <c r="D229" i="12"/>
  <c r="B229" i="12"/>
  <c r="T228" i="12"/>
  <c r="P228" i="12"/>
  <c r="H228" i="12"/>
  <c r="D228" i="12"/>
  <c r="L228" i="12" s="1"/>
  <c r="B228" i="12"/>
  <c r="X225" i="12"/>
  <c r="Z225" i="12" s="1"/>
  <c r="L225" i="12"/>
  <c r="N225" i="12" s="1"/>
  <c r="B225" i="12"/>
  <c r="X224" i="12"/>
  <c r="Z224" i="12" s="1"/>
  <c r="T224" i="12"/>
  <c r="P224" i="12"/>
  <c r="H224" i="12"/>
  <c r="D224" i="12"/>
  <c r="B224" i="12"/>
  <c r="X223" i="12"/>
  <c r="Z223" i="12" s="1"/>
  <c r="N223" i="12"/>
  <c r="L223" i="12"/>
  <c r="B223" i="12"/>
  <c r="Z222" i="12"/>
  <c r="X222" i="12"/>
  <c r="N222" i="12"/>
  <c r="L222" i="12"/>
  <c r="B222" i="12"/>
  <c r="X221" i="12"/>
  <c r="Z221" i="12" s="1"/>
  <c r="N221" i="12"/>
  <c r="L221" i="12"/>
  <c r="B221" i="12"/>
  <c r="X220" i="12"/>
  <c r="Z220" i="12" s="1"/>
  <c r="T220" i="12"/>
  <c r="P220" i="12"/>
  <c r="H220" i="12"/>
  <c r="D220" i="12"/>
  <c r="B220" i="12"/>
  <c r="X219" i="12"/>
  <c r="Z219" i="12" s="1"/>
  <c r="N219" i="12"/>
  <c r="L219" i="12"/>
  <c r="B219" i="12"/>
  <c r="T218" i="12"/>
  <c r="P218" i="12"/>
  <c r="H218" i="12"/>
  <c r="N218" i="12" s="1"/>
  <c r="D218" i="12"/>
  <c r="L218" i="12" s="1"/>
  <c r="B218" i="12"/>
  <c r="Z217" i="12"/>
  <c r="X217" i="12"/>
  <c r="L217" i="12"/>
  <c r="N217" i="12" s="1"/>
  <c r="B217" i="12"/>
  <c r="X216" i="12"/>
  <c r="Z216" i="12" s="1"/>
  <c r="N216" i="12"/>
  <c r="L216" i="12"/>
  <c r="B216" i="12"/>
  <c r="T215" i="12"/>
  <c r="Z215" i="12" s="1"/>
  <c r="P215" i="12"/>
  <c r="X215" i="12" s="1"/>
  <c r="H215" i="12"/>
  <c r="N215" i="12" s="1"/>
  <c r="D215" i="12"/>
  <c r="L215" i="12" s="1"/>
  <c r="B215" i="12"/>
  <c r="Z214" i="12"/>
  <c r="X214" i="12"/>
  <c r="N214" i="12"/>
  <c r="L214" i="12"/>
  <c r="B214" i="12"/>
  <c r="X213" i="12"/>
  <c r="Z213" i="12" s="1"/>
  <c r="L213" i="12"/>
  <c r="N213" i="12" s="1"/>
  <c r="B213" i="12"/>
  <c r="X212" i="12"/>
  <c r="Z212" i="12" s="1"/>
  <c r="L212" i="12"/>
  <c r="N212" i="12" s="1"/>
  <c r="B212" i="12"/>
  <c r="X211" i="12"/>
  <c r="Z211" i="12" s="1"/>
  <c r="L211" i="12"/>
  <c r="N211" i="12" s="1"/>
  <c r="B211" i="12"/>
  <c r="Z210" i="12"/>
  <c r="X210" i="12"/>
  <c r="N210" i="12"/>
  <c r="L210" i="12"/>
  <c r="B210" i="12"/>
  <c r="X209" i="12"/>
  <c r="Z209" i="12" s="1"/>
  <c r="L209" i="12"/>
  <c r="N209" i="12" s="1"/>
  <c r="B209" i="12"/>
  <c r="X208" i="12"/>
  <c r="Z208" i="12" s="1"/>
  <c r="N208" i="12"/>
  <c r="L208" i="12"/>
  <c r="B208" i="12"/>
  <c r="X207" i="12"/>
  <c r="Z207" i="12" s="1"/>
  <c r="T207" i="12"/>
  <c r="P207" i="12"/>
  <c r="H207" i="12"/>
  <c r="D207" i="12"/>
  <c r="B207" i="12"/>
  <c r="Z206" i="12"/>
  <c r="X206" i="12"/>
  <c r="N206" i="12"/>
  <c r="L206" i="12"/>
  <c r="B206" i="12"/>
  <c r="X205" i="12"/>
  <c r="Z205" i="12" s="1"/>
  <c r="L205" i="12"/>
  <c r="N205" i="12" s="1"/>
  <c r="B205" i="12"/>
  <c r="X204" i="12"/>
  <c r="Z204" i="12" s="1"/>
  <c r="T204" i="12"/>
  <c r="P204" i="12"/>
  <c r="H204" i="12"/>
  <c r="D204" i="12"/>
  <c r="B204" i="12"/>
  <c r="Z203" i="12"/>
  <c r="X203" i="12"/>
  <c r="N203" i="12"/>
  <c r="L203" i="12"/>
  <c r="B203" i="12"/>
  <c r="Z202" i="12"/>
  <c r="X202" i="12"/>
  <c r="N202" i="12"/>
  <c r="L202" i="12"/>
  <c r="B202" i="12"/>
  <c r="X201" i="12"/>
  <c r="Z201" i="12" s="1"/>
  <c r="L201" i="12"/>
  <c r="N201" i="12" s="1"/>
  <c r="B201" i="12"/>
  <c r="X200" i="12"/>
  <c r="Z200" i="12" s="1"/>
  <c r="N200" i="12"/>
  <c r="L200" i="12"/>
  <c r="B200" i="12"/>
  <c r="X199" i="12"/>
  <c r="Z199" i="12" s="1"/>
  <c r="L199" i="12"/>
  <c r="N199" i="12" s="1"/>
  <c r="B199" i="12"/>
  <c r="T198" i="12"/>
  <c r="P198" i="12"/>
  <c r="X198" i="12" s="1"/>
  <c r="Z198" i="12" s="1"/>
  <c r="L198" i="12"/>
  <c r="N198" i="12" s="1"/>
  <c r="H198" i="12"/>
  <c r="D198" i="12"/>
  <c r="B198" i="12"/>
  <c r="X197" i="12"/>
  <c r="Z197" i="12" s="1"/>
  <c r="L197" i="12"/>
  <c r="N197" i="12" s="1"/>
  <c r="B197" i="12"/>
  <c r="X196" i="12"/>
  <c r="Z196" i="12" s="1"/>
  <c r="N196" i="12"/>
  <c r="L196" i="12"/>
  <c r="B196" i="12"/>
  <c r="X195" i="12"/>
  <c r="Z195" i="12" s="1"/>
  <c r="N195" i="12"/>
  <c r="L195" i="12"/>
  <c r="B195" i="12"/>
  <c r="T194" i="12"/>
  <c r="P194" i="12"/>
  <c r="X194" i="12" s="1"/>
  <c r="Z194" i="12" s="1"/>
  <c r="L194" i="12"/>
  <c r="N194" i="12" s="1"/>
  <c r="H194" i="12"/>
  <c r="D194" i="12"/>
  <c r="B194" i="12"/>
  <c r="X193" i="12"/>
  <c r="Z193" i="12" s="1"/>
  <c r="L193" i="12"/>
  <c r="N193" i="12" s="1"/>
  <c r="B193" i="12"/>
  <c r="X192" i="12"/>
  <c r="Z192" i="12" s="1"/>
  <c r="L192" i="12"/>
  <c r="N192" i="12" s="1"/>
  <c r="B192" i="12"/>
  <c r="X191" i="12"/>
  <c r="Z191" i="12" s="1"/>
  <c r="N191" i="12"/>
  <c r="L191" i="12"/>
  <c r="B191" i="12"/>
  <c r="Z190" i="12"/>
  <c r="X190" i="12"/>
  <c r="N190" i="12"/>
  <c r="L190" i="12"/>
  <c r="B190" i="12"/>
  <c r="T189" i="12"/>
  <c r="P189" i="12"/>
  <c r="X189" i="12" s="1"/>
  <c r="L189" i="12"/>
  <c r="N189" i="12" s="1"/>
  <c r="H189" i="12"/>
  <c r="D189" i="12"/>
  <c r="B189" i="12"/>
  <c r="X188" i="12"/>
  <c r="Z188" i="12" s="1"/>
  <c r="L188" i="12"/>
  <c r="N188" i="12" s="1"/>
  <c r="B188" i="12"/>
  <c r="X187" i="12"/>
  <c r="Z187" i="12" s="1"/>
  <c r="T187" i="12"/>
  <c r="P187" i="12"/>
  <c r="H187" i="12"/>
  <c r="D187" i="12"/>
  <c r="B187" i="12"/>
  <c r="Z186" i="12"/>
  <c r="X186" i="12"/>
  <c r="N186" i="12"/>
  <c r="L186" i="12"/>
  <c r="B186" i="12"/>
  <c r="T185" i="12"/>
  <c r="P185" i="12"/>
  <c r="H185" i="12"/>
  <c r="N185" i="12" s="1"/>
  <c r="D185" i="12"/>
  <c r="L185" i="12" s="1"/>
  <c r="B185" i="12"/>
  <c r="Z184" i="12"/>
  <c r="X184" i="12"/>
  <c r="N184" i="12"/>
  <c r="L184" i="12"/>
  <c r="B184" i="12"/>
  <c r="X183" i="12"/>
  <c r="Z183" i="12" s="1"/>
  <c r="L183" i="12"/>
  <c r="N183" i="12" s="1"/>
  <c r="B183" i="12"/>
  <c r="T182" i="12"/>
  <c r="P182" i="12"/>
  <c r="H182" i="12"/>
  <c r="D182" i="12"/>
  <c r="L182" i="12" s="1"/>
  <c r="B182" i="12"/>
  <c r="X181" i="12"/>
  <c r="Z181" i="12" s="1"/>
  <c r="L181" i="12"/>
  <c r="N181" i="12" s="1"/>
  <c r="B181" i="12"/>
  <c r="T180" i="12"/>
  <c r="P180" i="12"/>
  <c r="X180" i="12" s="1"/>
  <c r="H180" i="12"/>
  <c r="D180" i="12"/>
  <c r="L180" i="12" s="1"/>
  <c r="N180" i="12" s="1"/>
  <c r="B180" i="12"/>
  <c r="X179" i="12"/>
  <c r="Z179" i="12" s="1"/>
  <c r="L179" i="12"/>
  <c r="N179" i="12" s="1"/>
  <c r="B179" i="12"/>
  <c r="Z178" i="12"/>
  <c r="T178" i="12"/>
  <c r="P178" i="12"/>
  <c r="X178" i="12" s="1"/>
  <c r="L178" i="12"/>
  <c r="N178" i="12" s="1"/>
  <c r="H178" i="12"/>
  <c r="D178" i="12"/>
  <c r="B178" i="12"/>
  <c r="X177" i="12"/>
  <c r="Z177" i="12" s="1"/>
  <c r="N177" i="12"/>
  <c r="L177" i="12"/>
  <c r="B177" i="12"/>
  <c r="X176" i="12"/>
  <c r="Z176" i="12" s="1"/>
  <c r="T176" i="12"/>
  <c r="P176" i="12"/>
  <c r="H176" i="12"/>
  <c r="D176" i="12"/>
  <c r="B176" i="12"/>
  <c r="X175" i="12"/>
  <c r="Z175" i="12" s="1"/>
  <c r="L175" i="12"/>
  <c r="N175" i="12" s="1"/>
  <c r="B175" i="12"/>
  <c r="Z174" i="12"/>
  <c r="X174" i="12"/>
  <c r="N174" i="12"/>
  <c r="L174" i="12"/>
  <c r="B174" i="12"/>
  <c r="T173" i="12"/>
  <c r="P173" i="12"/>
  <c r="H173" i="12"/>
  <c r="D173" i="12"/>
  <c r="L173" i="12" s="1"/>
  <c r="B173" i="12"/>
  <c r="X172" i="12"/>
  <c r="Z172" i="12" s="1"/>
  <c r="L172" i="12"/>
  <c r="N172" i="12" s="1"/>
  <c r="B172" i="12"/>
  <c r="T171" i="12"/>
  <c r="Z171" i="12" s="1"/>
  <c r="P171" i="12"/>
  <c r="X171" i="12" s="1"/>
  <c r="H171" i="12"/>
  <c r="D171" i="12"/>
  <c r="L171" i="12" s="1"/>
  <c r="B171" i="12"/>
  <c r="Z170" i="12"/>
  <c r="X170" i="12"/>
  <c r="N170" i="12"/>
  <c r="L170" i="12"/>
  <c r="B170" i="12"/>
  <c r="T169" i="12"/>
  <c r="P169" i="12"/>
  <c r="X169" i="12" s="1"/>
  <c r="N169" i="12"/>
  <c r="L169" i="12"/>
  <c r="H169" i="12"/>
  <c r="D169" i="12"/>
  <c r="B169" i="12"/>
  <c r="Z168" i="12"/>
  <c r="X168" i="12"/>
  <c r="N168" i="12"/>
  <c r="L168" i="12"/>
  <c r="B168" i="12"/>
  <c r="Z167" i="12"/>
  <c r="X167" i="12"/>
  <c r="T167" i="12"/>
  <c r="P167" i="12"/>
  <c r="H167" i="12"/>
  <c r="D167" i="12"/>
  <c r="B167" i="12"/>
  <c r="Z166" i="12"/>
  <c r="X166" i="12"/>
  <c r="N166" i="12"/>
  <c r="L166" i="12"/>
  <c r="B166" i="12"/>
  <c r="Z165" i="12"/>
  <c r="X165" i="12"/>
  <c r="N165" i="12"/>
  <c r="L165" i="12"/>
  <c r="B165" i="12"/>
  <c r="Z164" i="12"/>
  <c r="X164" i="12"/>
  <c r="T164" i="12"/>
  <c r="P164" i="12"/>
  <c r="H164" i="12"/>
  <c r="N164" i="12" s="1"/>
  <c r="D164" i="12"/>
  <c r="B164" i="12"/>
  <c r="X163" i="12"/>
  <c r="Z163" i="12" s="1"/>
  <c r="L163" i="12"/>
  <c r="N163" i="12" s="1"/>
  <c r="B163" i="12"/>
  <c r="Z162" i="12"/>
  <c r="X162" i="12"/>
  <c r="N162" i="12"/>
  <c r="L162" i="12"/>
  <c r="B162" i="12"/>
  <c r="T161" i="12"/>
  <c r="P161" i="12"/>
  <c r="H161" i="12"/>
  <c r="D161" i="12"/>
  <c r="L161" i="12" s="1"/>
  <c r="B161" i="12"/>
  <c r="X160" i="12"/>
  <c r="Z160" i="12" s="1"/>
  <c r="L160" i="12"/>
  <c r="N160" i="12" s="1"/>
  <c r="B160" i="12"/>
  <c r="T159" i="12"/>
  <c r="Z159" i="12" s="1"/>
  <c r="P159" i="12"/>
  <c r="X159" i="12" s="1"/>
  <c r="H159" i="12"/>
  <c r="N159" i="12" s="1"/>
  <c r="D159" i="12"/>
  <c r="L159" i="12" s="1"/>
  <c r="B159" i="12"/>
  <c r="Z158" i="12"/>
  <c r="X158" i="12"/>
  <c r="N158" i="12"/>
  <c r="L158" i="12"/>
  <c r="B158" i="12"/>
  <c r="X157" i="12"/>
  <c r="Z157" i="12" s="1"/>
  <c r="L157" i="12"/>
  <c r="N157" i="12" s="1"/>
  <c r="B157" i="12"/>
  <c r="T156" i="12"/>
  <c r="P156" i="12"/>
  <c r="X156" i="12" s="1"/>
  <c r="H156" i="12"/>
  <c r="D156" i="12"/>
  <c r="L156" i="12" s="1"/>
  <c r="N156" i="12" s="1"/>
  <c r="B156" i="12"/>
  <c r="X155" i="12"/>
  <c r="Z155" i="12" s="1"/>
  <c r="L155" i="12"/>
  <c r="N155" i="12" s="1"/>
  <c r="B155" i="12"/>
  <c r="Z154" i="12"/>
  <c r="T154" i="12"/>
  <c r="P154" i="12"/>
  <c r="X154" i="12" s="1"/>
  <c r="L154" i="12"/>
  <c r="N154" i="12" s="1"/>
  <c r="H154" i="12"/>
  <c r="D154" i="12"/>
  <c r="B154" i="12"/>
  <c r="X153" i="12"/>
  <c r="Z153" i="12" s="1"/>
  <c r="N153" i="12"/>
  <c r="L153" i="12"/>
  <c r="B153" i="12"/>
  <c r="X152" i="12"/>
  <c r="Z152" i="12" s="1"/>
  <c r="L152" i="12"/>
  <c r="N152" i="12" s="1"/>
  <c r="B152" i="12"/>
  <c r="X151" i="12"/>
  <c r="Z151" i="12" s="1"/>
  <c r="L151" i="12"/>
  <c r="N151" i="12" s="1"/>
  <c r="B151" i="12"/>
  <c r="Z150" i="12"/>
  <c r="X150" i="12"/>
  <c r="N150" i="12"/>
  <c r="L150" i="12"/>
  <c r="B150" i="12"/>
  <c r="X149" i="12"/>
  <c r="Z149" i="12" s="1"/>
  <c r="L149" i="12"/>
  <c r="N149" i="12" s="1"/>
  <c r="B149" i="12"/>
  <c r="X148" i="12"/>
  <c r="Z148" i="12" s="1"/>
  <c r="L148" i="12"/>
  <c r="N148" i="12" s="1"/>
  <c r="B148" i="12"/>
  <c r="X147" i="12"/>
  <c r="Z147" i="12" s="1"/>
  <c r="L147" i="12"/>
  <c r="N147" i="12" s="1"/>
  <c r="B147" i="12"/>
  <c r="T146" i="12"/>
  <c r="P146" i="12"/>
  <c r="H146" i="12"/>
  <c r="D146" i="12"/>
  <c r="L146" i="12" s="1"/>
  <c r="B146" i="12"/>
  <c r="X145" i="12"/>
  <c r="Z145" i="12" s="1"/>
  <c r="L145" i="12"/>
  <c r="N145" i="12" s="1"/>
  <c r="B145" i="12"/>
  <c r="X144" i="12"/>
  <c r="Z144" i="12" s="1"/>
  <c r="L144" i="12"/>
  <c r="N144" i="12" s="1"/>
  <c r="B144" i="12"/>
  <c r="X143" i="12"/>
  <c r="Z143" i="12" s="1"/>
  <c r="L143" i="12"/>
  <c r="N143" i="12" s="1"/>
  <c r="B143" i="12"/>
  <c r="Z142" i="12"/>
  <c r="X142" i="12"/>
  <c r="N142" i="12"/>
  <c r="L142" i="12"/>
  <c r="B142" i="12"/>
  <c r="Z141" i="12"/>
  <c r="X141" i="12"/>
  <c r="N141" i="12"/>
  <c r="L141" i="12"/>
  <c r="B141" i="12"/>
  <c r="X140" i="12"/>
  <c r="Z140" i="12" s="1"/>
  <c r="L140" i="12"/>
  <c r="N140" i="12" s="1"/>
  <c r="B140" i="12"/>
  <c r="X139" i="12"/>
  <c r="Z139" i="12" s="1"/>
  <c r="L139" i="12"/>
  <c r="N139" i="12" s="1"/>
  <c r="B139" i="12"/>
  <c r="Z138" i="12"/>
  <c r="X138" i="12"/>
  <c r="N138" i="12"/>
  <c r="L138" i="12"/>
  <c r="B138" i="12"/>
  <c r="X137" i="12"/>
  <c r="Z137" i="12" s="1"/>
  <c r="L137" i="12"/>
  <c r="N137" i="12" s="1"/>
  <c r="B137" i="12"/>
  <c r="X136" i="12"/>
  <c r="Z136" i="12" s="1"/>
  <c r="L136" i="12"/>
  <c r="N136" i="12" s="1"/>
  <c r="B136" i="12"/>
  <c r="T135" i="12"/>
  <c r="P135" i="12"/>
  <c r="X135" i="12" s="1"/>
  <c r="H135" i="12"/>
  <c r="N135" i="12" s="1"/>
  <c r="D135" i="12"/>
  <c r="L135" i="12" s="1"/>
  <c r="B135" i="12"/>
  <c r="T134" i="12" a="1"/>
  <c r="T134" i="12" s="1"/>
  <c r="P134" i="12" a="1"/>
  <c r="P134" i="12" s="1"/>
  <c r="H134" i="12" a="1"/>
  <c r="H134" i="12" s="1"/>
  <c r="D134" i="12" a="1"/>
  <c r="D134" i="12" s="1"/>
  <c r="Z130" i="12"/>
  <c r="X130" i="12"/>
  <c r="N130" i="12"/>
  <c r="L130" i="12"/>
  <c r="B130" i="12"/>
  <c r="X129" i="12"/>
  <c r="Z129" i="12" s="1"/>
  <c r="L129" i="12"/>
  <c r="N129" i="12" s="1"/>
  <c r="B129" i="12"/>
  <c r="Z128" i="12"/>
  <c r="X128" i="12"/>
  <c r="N128" i="12"/>
  <c r="L128" i="12"/>
  <c r="B128" i="12"/>
  <c r="X127" i="12"/>
  <c r="Z127" i="12" s="1"/>
  <c r="N127" i="12"/>
  <c r="L127" i="12"/>
  <c r="B127" i="12"/>
  <c r="Z126" i="12"/>
  <c r="X126" i="12"/>
  <c r="N126" i="12"/>
  <c r="L126" i="12"/>
  <c r="B126" i="12"/>
  <c r="X125" i="12"/>
  <c r="Z125" i="12" s="1"/>
  <c r="L125" i="12"/>
  <c r="N125" i="12" s="1"/>
  <c r="B125" i="12"/>
  <c r="X124" i="12"/>
  <c r="Z124" i="12" s="1"/>
  <c r="N124" i="12"/>
  <c r="L124" i="12"/>
  <c r="B124" i="12"/>
  <c r="X123" i="12"/>
  <c r="Z123" i="12" s="1"/>
  <c r="L123" i="12"/>
  <c r="N123" i="12" s="1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X117" i="12"/>
  <c r="Z117" i="12" s="1"/>
  <c r="N117" i="12"/>
  <c r="L117" i="12"/>
  <c r="B117" i="12"/>
  <c r="X116" i="12"/>
  <c r="Z116" i="12" s="1"/>
  <c r="N116" i="12"/>
  <c r="L116" i="12"/>
  <c r="B116" i="12"/>
  <c r="X115" i="12"/>
  <c r="Z115" i="12" s="1"/>
  <c r="L115" i="12"/>
  <c r="N115" i="12" s="1"/>
  <c r="B115" i="12"/>
  <c r="Z114" i="12"/>
  <c r="X114" i="12"/>
  <c r="N114" i="12"/>
  <c r="L114" i="12"/>
  <c r="B114" i="12"/>
  <c r="X113" i="12"/>
  <c r="Z113" i="12" s="1"/>
  <c r="L113" i="12"/>
  <c r="N113" i="12" s="1"/>
  <c r="B113" i="12"/>
  <c r="Z112" i="12"/>
  <c r="X112" i="12"/>
  <c r="L112" i="12"/>
  <c r="N112" i="12" s="1"/>
  <c r="B112" i="12"/>
  <c r="Z111" i="12"/>
  <c r="X111" i="12"/>
  <c r="N111" i="12"/>
  <c r="L111" i="12"/>
  <c r="B111" i="12"/>
  <c r="Z110" i="12"/>
  <c r="X110" i="12"/>
  <c r="N110" i="12"/>
  <c r="L110" i="12"/>
  <c r="B110" i="12"/>
  <c r="X109" i="12"/>
  <c r="Z109" i="12" s="1"/>
  <c r="L109" i="12"/>
  <c r="N109" i="12" s="1"/>
  <c r="B109" i="12"/>
  <c r="X108" i="12"/>
  <c r="Z108" i="12" s="1"/>
  <c r="N108" i="12"/>
  <c r="L108" i="12"/>
  <c r="B108" i="12"/>
  <c r="X107" i="12"/>
  <c r="Z107" i="12" s="1"/>
  <c r="L107" i="12"/>
  <c r="N107" i="12" s="1"/>
  <c r="B107" i="12"/>
  <c r="Z106" i="12"/>
  <c r="X106" i="12"/>
  <c r="N106" i="12"/>
  <c r="L106" i="12"/>
  <c r="B106" i="12"/>
  <c r="X105" i="12"/>
  <c r="Z105" i="12" s="1"/>
  <c r="N105" i="12"/>
  <c r="L105" i="12"/>
  <c r="B105" i="12"/>
  <c r="Z104" i="12"/>
  <c r="X104" i="12"/>
  <c r="L104" i="12"/>
  <c r="N104" i="12" s="1"/>
  <c r="B104" i="12"/>
  <c r="X103" i="12"/>
  <c r="Z103" i="12" s="1"/>
  <c r="L103" i="12"/>
  <c r="N103" i="12" s="1"/>
  <c r="B103" i="12"/>
  <c r="Z102" i="12"/>
  <c r="X102" i="12"/>
  <c r="N102" i="12"/>
  <c r="L102" i="12"/>
  <c r="B102" i="12"/>
  <c r="X101" i="12"/>
  <c r="Z101" i="12" s="1"/>
  <c r="N101" i="12"/>
  <c r="L101" i="12"/>
  <c r="B101" i="12"/>
  <c r="X100" i="12"/>
  <c r="Z100" i="12" s="1"/>
  <c r="N100" i="12"/>
  <c r="L100" i="12"/>
  <c r="B100" i="12"/>
  <c r="X99" i="12"/>
  <c r="Z99" i="12" s="1"/>
  <c r="L99" i="12"/>
  <c r="N99" i="12" s="1"/>
  <c r="B99" i="12"/>
  <c r="Z98" i="12"/>
  <c r="X98" i="12"/>
  <c r="N98" i="12"/>
  <c r="L98" i="12"/>
  <c r="B98" i="12"/>
  <c r="X97" i="12"/>
  <c r="Z97" i="12" s="1"/>
  <c r="N97" i="12"/>
  <c r="L97" i="12"/>
  <c r="B97" i="12"/>
  <c r="Z96" i="12"/>
  <c r="X96" i="12"/>
  <c r="L96" i="12"/>
  <c r="N96" i="12" s="1"/>
  <c r="B96" i="12"/>
  <c r="X95" i="12"/>
  <c r="Z95" i="12" s="1"/>
  <c r="N95" i="12"/>
  <c r="L95" i="12"/>
  <c r="B95" i="12"/>
  <c r="Z94" i="12"/>
  <c r="X94" i="12"/>
  <c r="N94" i="12"/>
  <c r="L94" i="12"/>
  <c r="B94" i="12"/>
  <c r="X93" i="12"/>
  <c r="Z93" i="12" s="1"/>
  <c r="N93" i="12"/>
  <c r="L93" i="12"/>
  <c r="B93" i="12"/>
  <c r="X92" i="12"/>
  <c r="Z92" i="12" s="1"/>
  <c r="N92" i="12"/>
  <c r="L92" i="12"/>
  <c r="B92" i="12"/>
  <c r="X91" i="12"/>
  <c r="Z91" i="12" s="1"/>
  <c r="N91" i="12"/>
  <c r="L91" i="12"/>
  <c r="B91" i="12"/>
  <c r="Z90" i="12"/>
  <c r="X90" i="12"/>
  <c r="N90" i="12"/>
  <c r="L90" i="12"/>
  <c r="B90" i="12"/>
  <c r="X89" i="12"/>
  <c r="Z89" i="12" s="1"/>
  <c r="L89" i="12"/>
  <c r="N89" i="12" s="1"/>
  <c r="B89" i="12"/>
  <c r="Z88" i="12"/>
  <c r="X88" i="12"/>
  <c r="N88" i="12"/>
  <c r="L88" i="12"/>
  <c r="B88" i="12"/>
  <c r="X87" i="12"/>
  <c r="Z87" i="12" s="1"/>
  <c r="T87" i="12"/>
  <c r="P87" i="12"/>
  <c r="H87" i="12"/>
  <c r="D87" i="12"/>
  <c r="Z85" i="12"/>
  <c r="T85" i="12"/>
  <c r="P85" i="12"/>
  <c r="X85" i="12" s="1"/>
  <c r="N85" i="12"/>
  <c r="L85" i="12"/>
  <c r="H85" i="12"/>
  <c r="D85" i="12"/>
  <c r="B85" i="12"/>
  <c r="T84" i="12"/>
  <c r="P84" i="12"/>
  <c r="X84" i="12" s="1"/>
  <c r="N84" i="12"/>
  <c r="H84" i="12"/>
  <c r="D84" i="12"/>
  <c r="L84" i="12" s="1"/>
  <c r="B84" i="12"/>
  <c r="T83" i="12"/>
  <c r="Z83" i="12" s="1"/>
  <c r="P83" i="12"/>
  <c r="X83" i="12" s="1"/>
  <c r="H83" i="12"/>
  <c r="D83" i="12"/>
  <c r="L83" i="12" s="1"/>
  <c r="B83" i="12"/>
  <c r="T82" i="12"/>
  <c r="P82" i="12"/>
  <c r="H82" i="12"/>
  <c r="D82" i="12"/>
  <c r="B82" i="12"/>
  <c r="X81" i="12"/>
  <c r="Z81" i="12" s="1"/>
  <c r="T81" i="12"/>
  <c r="P81" i="12"/>
  <c r="H81" i="12"/>
  <c r="D81" i="12"/>
  <c r="L81" i="12" s="1"/>
  <c r="N81" i="12" s="1"/>
  <c r="B81" i="12"/>
  <c r="T80" i="12"/>
  <c r="P80" i="12"/>
  <c r="X80" i="12" s="1"/>
  <c r="Z80" i="12" s="1"/>
  <c r="H80" i="12"/>
  <c r="N80" i="12" s="1"/>
  <c r="D80" i="12"/>
  <c r="L80" i="12" s="1"/>
  <c r="B80" i="12"/>
  <c r="T79" i="12"/>
  <c r="P79" i="12"/>
  <c r="X79" i="12" s="1"/>
  <c r="H79" i="12"/>
  <c r="N79" i="12" s="1"/>
  <c r="D79" i="12"/>
  <c r="L79" i="12" s="1"/>
  <c r="B79" i="12"/>
  <c r="T78" i="12"/>
  <c r="Z78" i="12" s="1"/>
  <c r="P78" i="12"/>
  <c r="H78" i="12"/>
  <c r="D78" i="12"/>
  <c r="B78" i="12"/>
  <c r="T77" i="12"/>
  <c r="P77" i="12"/>
  <c r="X77" i="12" s="1"/>
  <c r="Z77" i="12" s="1"/>
  <c r="N77" i="12"/>
  <c r="L77" i="12"/>
  <c r="H77" i="12"/>
  <c r="D77" i="12"/>
  <c r="B77" i="12"/>
  <c r="T76" i="12"/>
  <c r="Z76" i="12" s="1"/>
  <c r="P76" i="12"/>
  <c r="X76" i="12" s="1"/>
  <c r="H76" i="12"/>
  <c r="D76" i="12"/>
  <c r="L76" i="12" s="1"/>
  <c r="N76" i="12" s="1"/>
  <c r="B76" i="12"/>
  <c r="T75" i="12"/>
  <c r="Z75" i="12" s="1"/>
  <c r="P75" i="12"/>
  <c r="X75" i="12" s="1"/>
  <c r="H75" i="12"/>
  <c r="N75" i="12" s="1"/>
  <c r="D75" i="12"/>
  <c r="L75" i="12" s="1"/>
  <c r="B75" i="12"/>
  <c r="T74" i="12"/>
  <c r="P74" i="12"/>
  <c r="H74" i="12"/>
  <c r="D74" i="12"/>
  <c r="B74" i="12"/>
  <c r="X73" i="12"/>
  <c r="Z73" i="12" s="1"/>
  <c r="T73" i="12"/>
  <c r="P73" i="12"/>
  <c r="H73" i="12"/>
  <c r="D73" i="12"/>
  <c r="L73" i="12" s="1"/>
  <c r="N73" i="12" s="1"/>
  <c r="B73" i="12"/>
  <c r="Z72" i="12"/>
  <c r="T72" i="12"/>
  <c r="P72" i="12"/>
  <c r="X72" i="12" s="1"/>
  <c r="H72" i="12"/>
  <c r="N72" i="12" s="1"/>
  <c r="D72" i="12"/>
  <c r="L72" i="12" s="1"/>
  <c r="B72" i="12"/>
  <c r="T71" i="12"/>
  <c r="Z71" i="12" s="1"/>
  <c r="P71" i="12"/>
  <c r="X71" i="12" s="1"/>
  <c r="H71" i="12"/>
  <c r="N71" i="12" s="1"/>
  <c r="D71" i="12"/>
  <c r="L71" i="12" s="1"/>
  <c r="B71" i="12"/>
  <c r="T70" i="12"/>
  <c r="P70" i="12"/>
  <c r="H70" i="12"/>
  <c r="D70" i="12"/>
  <c r="B70" i="12"/>
  <c r="T69" i="12"/>
  <c r="P69" i="12"/>
  <c r="X69" i="12" s="1"/>
  <c r="Z69" i="12" s="1"/>
  <c r="N69" i="12"/>
  <c r="L69" i="12"/>
  <c r="H69" i="12"/>
  <c r="D69" i="12"/>
  <c r="B69" i="12"/>
  <c r="T68" i="12"/>
  <c r="P68" i="12"/>
  <c r="X68" i="12" s="1"/>
  <c r="H68" i="12"/>
  <c r="D68" i="12"/>
  <c r="L68" i="12" s="1"/>
  <c r="N68" i="12" s="1"/>
  <c r="B68" i="12"/>
  <c r="T67" i="12"/>
  <c r="P67" i="12"/>
  <c r="X67" i="12" s="1"/>
  <c r="H67" i="12"/>
  <c r="N67" i="12" s="1"/>
  <c r="D67" i="12"/>
  <c r="L67" i="12" s="1"/>
  <c r="B67" i="12"/>
  <c r="T66" i="12"/>
  <c r="P66" i="12"/>
  <c r="H66" i="12"/>
  <c r="N66" i="12" s="1"/>
  <c r="D66" i="12"/>
  <c r="B66" i="12"/>
  <c r="X65" i="12"/>
  <c r="Z65" i="12" s="1"/>
  <c r="T65" i="12"/>
  <c r="P65" i="12"/>
  <c r="H65" i="12"/>
  <c r="D65" i="12"/>
  <c r="L65" i="12" s="1"/>
  <c r="N65" i="12" s="1"/>
  <c r="B65" i="12"/>
  <c r="Z64" i="12"/>
  <c r="T64" i="12"/>
  <c r="P64" i="12"/>
  <c r="X64" i="12" s="1"/>
  <c r="H64" i="12"/>
  <c r="N64" i="12" s="1"/>
  <c r="D64" i="12"/>
  <c r="L64" i="12" s="1"/>
  <c r="B64" i="12"/>
  <c r="T63" i="12"/>
  <c r="Z63" i="12" s="1"/>
  <c r="P63" i="12"/>
  <c r="X63" i="12" s="1"/>
  <c r="H63" i="12"/>
  <c r="N63" i="12" s="1"/>
  <c r="D63" i="12"/>
  <c r="L63" i="12" s="1"/>
  <c r="B63" i="12"/>
  <c r="T62" i="12"/>
  <c r="P62" i="12"/>
  <c r="H62" i="12"/>
  <c r="D62" i="12"/>
  <c r="B62" i="12"/>
  <c r="Z61" i="12"/>
  <c r="T61" i="12"/>
  <c r="P61" i="12"/>
  <c r="X61" i="12" s="1"/>
  <c r="N61" i="12"/>
  <c r="L61" i="12"/>
  <c r="H61" i="12"/>
  <c r="D61" i="12"/>
  <c r="B61" i="12"/>
  <c r="T60" i="12"/>
  <c r="P60" i="12"/>
  <c r="X60" i="12" s="1"/>
  <c r="H60" i="12"/>
  <c r="D60" i="12"/>
  <c r="L60" i="12" s="1"/>
  <c r="N60" i="12" s="1"/>
  <c r="B60" i="12"/>
  <c r="T59" i="12"/>
  <c r="Z59" i="12" s="1"/>
  <c r="P59" i="12"/>
  <c r="X59" i="12" s="1"/>
  <c r="H59" i="12"/>
  <c r="D59" i="12"/>
  <c r="L59" i="12" s="1"/>
  <c r="B59" i="12"/>
  <c r="T58" i="12"/>
  <c r="P58" i="12"/>
  <c r="H58" i="12"/>
  <c r="N58" i="12" s="1"/>
  <c r="D58" i="12"/>
  <c r="B58" i="12"/>
  <c r="X57" i="12"/>
  <c r="Z57" i="12" s="1"/>
  <c r="T57" i="12"/>
  <c r="P57" i="12"/>
  <c r="H57" i="12"/>
  <c r="D57" i="12"/>
  <c r="L57" i="12" s="1"/>
  <c r="N57" i="12" s="1"/>
  <c r="B57" i="12"/>
  <c r="T56" i="12"/>
  <c r="P56" i="12"/>
  <c r="X56" i="12" s="1"/>
  <c r="Z56" i="12" s="1"/>
  <c r="H56" i="12"/>
  <c r="N56" i="12" s="1"/>
  <c r="D56" i="12"/>
  <c r="L56" i="12" s="1"/>
  <c r="B56" i="12"/>
  <c r="T55" i="12"/>
  <c r="P55" i="12"/>
  <c r="X55" i="12" s="1"/>
  <c r="H55" i="12"/>
  <c r="N55" i="12" s="1"/>
  <c r="D55" i="12"/>
  <c r="L55" i="12" s="1"/>
  <c r="B55" i="12"/>
  <c r="X54" i="12"/>
  <c r="T54" i="12"/>
  <c r="Z54" i="12" s="1"/>
  <c r="P54" i="12"/>
  <c r="H54" i="12"/>
  <c r="D54" i="12"/>
  <c r="B54" i="12"/>
  <c r="T53" i="12"/>
  <c r="P53" i="12"/>
  <c r="X53" i="12" s="1"/>
  <c r="Z53" i="12" s="1"/>
  <c r="L53" i="12"/>
  <c r="N53" i="12" s="1"/>
  <c r="H53" i="12"/>
  <c r="D53" i="12"/>
  <c r="B53" i="12"/>
  <c r="T52" i="12"/>
  <c r="Z52" i="12" s="1"/>
  <c r="P52" i="12"/>
  <c r="X52" i="12" s="1"/>
  <c r="N52" i="12"/>
  <c r="H52" i="12"/>
  <c r="D52" i="12"/>
  <c r="L52" i="12" s="1"/>
  <c r="B52" i="12"/>
  <c r="T51" i="12"/>
  <c r="Z51" i="12" s="1"/>
  <c r="P51" i="12"/>
  <c r="X51" i="12" s="1"/>
  <c r="H51" i="12"/>
  <c r="N51" i="12" s="1"/>
  <c r="D51" i="12"/>
  <c r="L51" i="12" s="1"/>
  <c r="B51" i="12"/>
  <c r="T50" i="12"/>
  <c r="P50" i="12"/>
  <c r="L50" i="12"/>
  <c r="H50" i="12"/>
  <c r="N50" i="12" s="1"/>
  <c r="D50" i="12"/>
  <c r="B50" i="12"/>
  <c r="X49" i="12"/>
  <c r="Z49" i="12" s="1"/>
  <c r="T49" i="12"/>
  <c r="P49" i="12"/>
  <c r="N49" i="12"/>
  <c r="H49" i="12"/>
  <c r="D49" i="12"/>
  <c r="L49" i="12" s="1"/>
  <c r="B49" i="12"/>
  <c r="Z48" i="12"/>
  <c r="T48" i="12"/>
  <c r="P48" i="12"/>
  <c r="X48" i="12" s="1"/>
  <c r="H48" i="12"/>
  <c r="D48" i="12"/>
  <c r="L48" i="12" s="1"/>
  <c r="B48" i="12"/>
  <c r="T47" i="12"/>
  <c r="Z47" i="12" s="1"/>
  <c r="P47" i="12"/>
  <c r="X47" i="12" s="1"/>
  <c r="H47" i="12"/>
  <c r="N47" i="12" s="1"/>
  <c r="D47" i="12"/>
  <c r="L47" i="12" s="1"/>
  <c r="B47" i="12"/>
  <c r="X46" i="12"/>
  <c r="T46" i="12"/>
  <c r="Z46" i="12" s="1"/>
  <c r="P46" i="12"/>
  <c r="H46" i="12"/>
  <c r="D46" i="12"/>
  <c r="B46" i="12"/>
  <c r="T45" i="12"/>
  <c r="P45" i="12"/>
  <c r="X45" i="12" s="1"/>
  <c r="Z45" i="12" s="1"/>
  <c r="N45" i="12"/>
  <c r="L45" i="12"/>
  <c r="H45" i="12"/>
  <c r="D45" i="12"/>
  <c r="B45" i="12"/>
  <c r="T44" i="12"/>
  <c r="Z44" i="12" s="1"/>
  <c r="P44" i="12"/>
  <c r="X44" i="12" s="1"/>
  <c r="N44" i="12"/>
  <c r="H44" i="12"/>
  <c r="D44" i="12"/>
  <c r="L44" i="12" s="1"/>
  <c r="B44" i="12"/>
  <c r="T43" i="12"/>
  <c r="Z43" i="12" s="1"/>
  <c r="P43" i="12"/>
  <c r="X43" i="12" s="1"/>
  <c r="H43" i="12"/>
  <c r="N43" i="12" s="1"/>
  <c r="D43" i="12"/>
  <c r="L43" i="12" s="1"/>
  <c r="B43" i="12"/>
  <c r="T42" i="12"/>
  <c r="P42" i="12"/>
  <c r="L42" i="12"/>
  <c r="H42" i="12"/>
  <c r="N42" i="12" s="1"/>
  <c r="D42" i="12"/>
  <c r="B42" i="12"/>
  <c r="X41" i="12"/>
  <c r="Z41" i="12" s="1"/>
  <c r="T41" i="12"/>
  <c r="P41" i="12"/>
  <c r="N41" i="12"/>
  <c r="H41" i="12"/>
  <c r="D41" i="12"/>
  <c r="L41" i="12" s="1"/>
  <c r="B41" i="12"/>
  <c r="Z40" i="12"/>
  <c r="T40" i="12"/>
  <c r="P40" i="12"/>
  <c r="X40" i="12" s="1"/>
  <c r="H40" i="12"/>
  <c r="D40" i="12"/>
  <c r="L40" i="12" s="1"/>
  <c r="B40" i="12"/>
  <c r="T39" i="12"/>
  <c r="Z39" i="12" s="1"/>
  <c r="P39" i="12"/>
  <c r="X39" i="12" s="1"/>
  <c r="H39" i="12"/>
  <c r="D39" i="12"/>
  <c r="L39" i="12" s="1"/>
  <c r="B39" i="12"/>
  <c r="X38" i="12"/>
  <c r="T38" i="12"/>
  <c r="Z38" i="12" s="1"/>
  <c r="P38" i="12"/>
  <c r="H38" i="12"/>
  <c r="D38" i="12"/>
  <c r="B38" i="12"/>
  <c r="T37" i="12"/>
  <c r="P37" i="12"/>
  <c r="X37" i="12" s="1"/>
  <c r="Z37" i="12" s="1"/>
  <c r="L37" i="12"/>
  <c r="N37" i="12" s="1"/>
  <c r="H37" i="12"/>
  <c r="D37" i="12"/>
  <c r="B37" i="12"/>
  <c r="T36" i="12"/>
  <c r="P36" i="12"/>
  <c r="X36" i="12" s="1"/>
  <c r="N36" i="12"/>
  <c r="H36" i="12"/>
  <c r="D36" i="12"/>
  <c r="L36" i="12" s="1"/>
  <c r="B36" i="12"/>
  <c r="T35" i="12"/>
  <c r="P35" i="12"/>
  <c r="X35" i="12" s="1"/>
  <c r="H35" i="12"/>
  <c r="N35" i="12" s="1"/>
  <c r="D35" i="12"/>
  <c r="L35" i="12" s="1"/>
  <c r="B35" i="12"/>
  <c r="T34" i="12"/>
  <c r="P34" i="12"/>
  <c r="L34" i="12"/>
  <c r="H34" i="12"/>
  <c r="N34" i="12" s="1"/>
  <c r="D34" i="12"/>
  <c r="B34" i="12"/>
  <c r="Z33" i="12"/>
  <c r="X33" i="12"/>
  <c r="T33" i="12"/>
  <c r="P33" i="12"/>
  <c r="N33" i="12"/>
  <c r="H33" i="12"/>
  <c r="D33" i="12"/>
  <c r="L33" i="12" s="1"/>
  <c r="B33" i="12"/>
  <c r="Z32" i="12"/>
  <c r="T32" i="12"/>
  <c r="P32" i="12"/>
  <c r="X32" i="12" s="1"/>
  <c r="H32" i="12"/>
  <c r="D32" i="12"/>
  <c r="L32" i="12" s="1"/>
  <c r="B32" i="12"/>
  <c r="T31" i="12"/>
  <c r="Z31" i="12" s="1"/>
  <c r="P31" i="12"/>
  <c r="X31" i="12" s="1"/>
  <c r="H31" i="12"/>
  <c r="D31" i="12"/>
  <c r="L31" i="12" s="1"/>
  <c r="B31" i="12"/>
  <c r="X30" i="12"/>
  <c r="T30" i="12"/>
  <c r="Z30" i="12" s="1"/>
  <c r="P30" i="12"/>
  <c r="H30" i="12"/>
  <c r="D30" i="12"/>
  <c r="B30" i="12"/>
  <c r="T29" i="12"/>
  <c r="P29" i="12"/>
  <c r="X29" i="12" s="1"/>
  <c r="Z29" i="12" s="1"/>
  <c r="L29" i="12"/>
  <c r="N29" i="12" s="1"/>
  <c r="H29" i="12"/>
  <c r="D29" i="12"/>
  <c r="B29" i="12"/>
  <c r="T28" i="12"/>
  <c r="P28" i="12"/>
  <c r="X28" i="12" s="1"/>
  <c r="N28" i="12"/>
  <c r="H28" i="12"/>
  <c r="D28" i="12"/>
  <c r="L28" i="12" s="1"/>
  <c r="B28" i="12"/>
  <c r="T27" i="12"/>
  <c r="P27" i="12"/>
  <c r="X27" i="12" s="1"/>
  <c r="H27" i="12"/>
  <c r="D27" i="12"/>
  <c r="L27" i="12" s="1"/>
  <c r="B27" i="12"/>
  <c r="T26" i="12"/>
  <c r="P26" i="12"/>
  <c r="L26" i="12"/>
  <c r="H26" i="12"/>
  <c r="N26" i="12" s="1"/>
  <c r="D26" i="12"/>
  <c r="B26" i="12"/>
  <c r="X25" i="12"/>
  <c r="Z25" i="12" s="1"/>
  <c r="T25" i="12"/>
  <c r="P25" i="12"/>
  <c r="N25" i="12"/>
  <c r="H25" i="12"/>
  <c r="D25" i="12"/>
  <c r="L25" i="12" s="1"/>
  <c r="B25" i="12"/>
  <c r="T24" i="12"/>
  <c r="P24" i="12"/>
  <c r="X24" i="12" s="1"/>
  <c r="Z24" i="12" s="1"/>
  <c r="H24" i="12"/>
  <c r="D24" i="12"/>
  <c r="L24" i="12" s="1"/>
  <c r="B24" i="12"/>
  <c r="T23" i="12"/>
  <c r="P23" i="12"/>
  <c r="X23" i="12" s="1"/>
  <c r="H23" i="12"/>
  <c r="D23" i="12"/>
  <c r="L23" i="12" s="1"/>
  <c r="B23" i="12"/>
  <c r="X22" i="12"/>
  <c r="T22" i="12"/>
  <c r="Z22" i="12" s="1"/>
  <c r="P22" i="12"/>
  <c r="H22" i="12"/>
  <c r="D22" i="12"/>
  <c r="B22" i="12"/>
  <c r="T21" i="12"/>
  <c r="P21" i="12"/>
  <c r="X21" i="12" s="1"/>
  <c r="Z21" i="12" s="1"/>
  <c r="L21" i="12"/>
  <c r="N21" i="12" s="1"/>
  <c r="H21" i="12"/>
  <c r="D21" i="12"/>
  <c r="B21" i="12"/>
  <c r="T20" i="12"/>
  <c r="Z20" i="12" s="1"/>
  <c r="P20" i="12"/>
  <c r="X20" i="12" s="1"/>
  <c r="N20" i="12"/>
  <c r="H20" i="12"/>
  <c r="D20" i="12"/>
  <c r="L20" i="12" s="1"/>
  <c r="B20" i="12"/>
  <c r="T19" i="12"/>
  <c r="Z19" i="12" s="1"/>
  <c r="P19" i="12"/>
  <c r="X19" i="12" s="1"/>
  <c r="H19" i="12"/>
  <c r="N19" i="12" s="1"/>
  <c r="D19" i="12"/>
  <c r="L19" i="12" s="1"/>
  <c r="B19" i="12"/>
  <c r="T18" i="12"/>
  <c r="P18" i="12"/>
  <c r="L18" i="12"/>
  <c r="H18" i="12"/>
  <c r="N18" i="12" s="1"/>
  <c r="D18" i="12"/>
  <c r="B18" i="12"/>
  <c r="X17" i="12"/>
  <c r="Z17" i="12" s="1"/>
  <c r="T17" i="12"/>
  <c r="P17" i="12"/>
  <c r="N17" i="12"/>
  <c r="H17" i="12"/>
  <c r="D17" i="12"/>
  <c r="L17" i="12" s="1"/>
  <c r="B17" i="12"/>
  <c r="Z16" i="12"/>
  <c r="T16" i="12"/>
  <c r="P16" i="12"/>
  <c r="X16" i="12" s="1"/>
  <c r="H16" i="12"/>
  <c r="N16" i="12" s="1"/>
  <c r="D16" i="12"/>
  <c r="L16" i="12" s="1"/>
  <c r="B16" i="12"/>
  <c r="T15" i="12"/>
  <c r="Z15" i="12" s="1"/>
  <c r="P15" i="12"/>
  <c r="X15" i="12" s="1"/>
  <c r="H15" i="12"/>
  <c r="D15" i="12"/>
  <c r="B15" i="12"/>
  <c r="X14" i="12"/>
  <c r="T14" i="12"/>
  <c r="Z14" i="12" s="1"/>
  <c r="P14" i="12"/>
  <c r="H14" i="12"/>
  <c r="D14" i="12"/>
  <c r="B14" i="12"/>
  <c r="T13" i="12"/>
  <c r="P13" i="12"/>
  <c r="X13" i="12" s="1"/>
  <c r="Z13" i="12" s="1"/>
  <c r="L13" i="12"/>
  <c r="N13" i="12" s="1"/>
  <c r="H13" i="12"/>
  <c r="D13" i="12"/>
  <c r="B13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D33" i="11"/>
  <c r="T29" i="11"/>
  <c r="Z29" i="11" s="1"/>
  <c r="P29" i="11"/>
  <c r="H29" i="11"/>
  <c r="D29" i="11"/>
  <c r="T25" i="11"/>
  <c r="Z25" i="11" s="1"/>
  <c r="P25" i="11"/>
  <c r="H25" i="1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D15" i="11"/>
  <c r="T13" i="11"/>
  <c r="Z13" i="11" s="1"/>
  <c r="P13" i="11"/>
  <c r="H13" i="11"/>
  <c r="N13" i="11" s="1"/>
  <c r="D13" i="11"/>
  <c r="B13" i="11"/>
  <c r="T12" i="11"/>
  <c r="P12" i="11"/>
  <c r="R20" i="11" s="1"/>
  <c r="H12" i="11"/>
  <c r="J29" i="11" s="1"/>
  <c r="D12" i="11"/>
  <c r="F36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18" i="10" s="1"/>
  <c r="P12" i="10"/>
  <c r="R31" i="10" s="1"/>
  <c r="H12" i="10"/>
  <c r="J36" i="10" s="1"/>
  <c r="D12" i="10"/>
  <c r="D5" i="10"/>
  <c r="D4" i="10"/>
  <c r="Z92" i="9"/>
  <c r="X92" i="9"/>
  <c r="N92" i="9"/>
  <c r="L92" i="9"/>
  <c r="T88" i="9"/>
  <c r="Z88" i="9" s="1"/>
  <c r="P88" i="9"/>
  <c r="X88" i="9" s="1"/>
  <c r="H88" i="9"/>
  <c r="N88" i="9" s="1"/>
  <c r="D88" i="9"/>
  <c r="L88" i="9" s="1"/>
  <c r="X86" i="9"/>
  <c r="Z86" i="9" s="1"/>
  <c r="N86" i="9"/>
  <c r="L86" i="9"/>
  <c r="B86" i="9"/>
  <c r="Z85" i="9"/>
  <c r="X85" i="9"/>
  <c r="N85" i="9"/>
  <c r="L85" i="9"/>
  <c r="B85" i="9"/>
  <c r="T84" i="9"/>
  <c r="P84" i="9"/>
  <c r="X84" i="9" s="1"/>
  <c r="L84" i="9"/>
  <c r="N84" i="9" s="1"/>
  <c r="H84" i="9"/>
  <c r="D84" i="9"/>
  <c r="B84" i="9"/>
  <c r="Z83" i="9"/>
  <c r="X83" i="9"/>
  <c r="L83" i="9"/>
  <c r="N83" i="9" s="1"/>
  <c r="B83" i="9"/>
  <c r="X82" i="9"/>
  <c r="Z82" i="9" s="1"/>
  <c r="T82" i="9"/>
  <c r="P82" i="9"/>
  <c r="H82" i="9"/>
  <c r="D82" i="9"/>
  <c r="B82" i="9"/>
  <c r="Z81" i="9"/>
  <c r="X81" i="9"/>
  <c r="N81" i="9"/>
  <c r="L81" i="9"/>
  <c r="B81" i="9"/>
  <c r="X80" i="9"/>
  <c r="Z80" i="9" s="1"/>
  <c r="L80" i="9"/>
  <c r="N80" i="9" s="1"/>
  <c r="B80" i="9"/>
  <c r="T79" i="9"/>
  <c r="P79" i="9"/>
  <c r="X79" i="9" s="1"/>
  <c r="Z79" i="9" s="1"/>
  <c r="H79" i="9"/>
  <c r="F79" i="9"/>
  <c r="D79" i="9"/>
  <c r="B79" i="9"/>
  <c r="Z78" i="9"/>
  <c r="X78" i="9"/>
  <c r="N78" i="9"/>
  <c r="L78" i="9"/>
  <c r="B78" i="9"/>
  <c r="Z77" i="9"/>
  <c r="X77" i="9"/>
  <c r="N77" i="9"/>
  <c r="L77" i="9"/>
  <c r="B77" i="9"/>
  <c r="X76" i="9"/>
  <c r="Z76" i="9" s="1"/>
  <c r="L76" i="9"/>
  <c r="N76" i="9" s="1"/>
  <c r="B76" i="9"/>
  <c r="Z75" i="9"/>
  <c r="X75" i="9"/>
  <c r="N75" i="9"/>
  <c r="L75" i="9"/>
  <c r="B75" i="9"/>
  <c r="Z74" i="9"/>
  <c r="X74" i="9"/>
  <c r="N74" i="9"/>
  <c r="L74" i="9"/>
  <c r="B74" i="9"/>
  <c r="T73" i="9"/>
  <c r="P73" i="9"/>
  <c r="X73" i="9" s="1"/>
  <c r="Z73" i="9" s="1"/>
  <c r="H73" i="9"/>
  <c r="D73" i="9"/>
  <c r="L73" i="9" s="1"/>
  <c r="N73" i="9" s="1"/>
  <c r="B73" i="9"/>
  <c r="Z72" i="9"/>
  <c r="X72" i="9"/>
  <c r="N72" i="9"/>
  <c r="L72" i="9"/>
  <c r="B72" i="9"/>
  <c r="Z71" i="9"/>
  <c r="X71" i="9"/>
  <c r="N71" i="9"/>
  <c r="L71" i="9"/>
  <c r="B71" i="9"/>
  <c r="X70" i="9"/>
  <c r="Z70" i="9" s="1"/>
  <c r="T70" i="9"/>
  <c r="P70" i="9"/>
  <c r="H70" i="9"/>
  <c r="D70" i="9"/>
  <c r="B70" i="9"/>
  <c r="Z69" i="9"/>
  <c r="X69" i="9"/>
  <c r="N69" i="9"/>
  <c r="L69" i="9"/>
  <c r="B69" i="9"/>
  <c r="T68" i="9"/>
  <c r="P68" i="9"/>
  <c r="H68" i="9"/>
  <c r="D68" i="9"/>
  <c r="L68" i="9" s="1"/>
  <c r="B68" i="9"/>
  <c r="X67" i="9"/>
  <c r="Z67" i="9" s="1"/>
  <c r="N67" i="9"/>
  <c r="L67" i="9"/>
  <c r="B67" i="9"/>
  <c r="Z66" i="9"/>
  <c r="X66" i="9"/>
  <c r="L66" i="9"/>
  <c r="N66" i="9" s="1"/>
  <c r="B66" i="9"/>
  <c r="Z65" i="9"/>
  <c r="X65" i="9"/>
  <c r="N65" i="9"/>
  <c r="L65" i="9"/>
  <c r="B65" i="9"/>
  <c r="X64" i="9"/>
  <c r="Z64" i="9" s="1"/>
  <c r="L64" i="9"/>
  <c r="N64" i="9" s="1"/>
  <c r="B64" i="9"/>
  <c r="T63" i="9"/>
  <c r="P63" i="9"/>
  <c r="X63" i="9" s="1"/>
  <c r="Z63" i="9" s="1"/>
  <c r="H63" i="9"/>
  <c r="L63" i="9" s="1"/>
  <c r="N63" i="9" s="1"/>
  <c r="F63" i="9"/>
  <c r="D63" i="9"/>
  <c r="B63" i="9"/>
  <c r="Z62" i="9"/>
  <c r="X62" i="9"/>
  <c r="N62" i="9"/>
  <c r="L62" i="9"/>
  <c r="B62" i="9"/>
  <c r="Z61" i="9"/>
  <c r="X61" i="9"/>
  <c r="N61" i="9"/>
  <c r="L61" i="9"/>
  <c r="B61" i="9"/>
  <c r="X60" i="9"/>
  <c r="Z60" i="9" s="1"/>
  <c r="R60" i="9"/>
  <c r="N60" i="9"/>
  <c r="L60" i="9"/>
  <c r="B60" i="9"/>
  <c r="T59" i="9"/>
  <c r="P59" i="9"/>
  <c r="X59" i="9" s="1"/>
  <c r="Z59" i="9" s="1"/>
  <c r="N59" i="9"/>
  <c r="H59" i="9"/>
  <c r="L59" i="9" s="1"/>
  <c r="F59" i="9"/>
  <c r="D59" i="9"/>
  <c r="B59" i="9"/>
  <c r="Z58" i="9"/>
  <c r="X58" i="9"/>
  <c r="L58" i="9"/>
  <c r="N58" i="9" s="1"/>
  <c r="B58" i="9"/>
  <c r="T57" i="9"/>
  <c r="X57" i="9" s="1"/>
  <c r="Z57" i="9" s="1"/>
  <c r="P57" i="9"/>
  <c r="L57" i="9"/>
  <c r="H57" i="9"/>
  <c r="N57" i="9" s="1"/>
  <c r="F57" i="9"/>
  <c r="D57" i="9"/>
  <c r="B57" i="9"/>
  <c r="X56" i="9"/>
  <c r="Z56" i="9" s="1"/>
  <c r="L56" i="9"/>
  <c r="N56" i="9" s="1"/>
  <c r="F56" i="9"/>
  <c r="B56" i="9"/>
  <c r="X55" i="9"/>
  <c r="T55" i="9"/>
  <c r="Z55" i="9" s="1"/>
  <c r="P55" i="9"/>
  <c r="H55" i="9"/>
  <c r="D55" i="9"/>
  <c r="L55" i="9" s="1"/>
  <c r="N55" i="9" s="1"/>
  <c r="B55" i="9"/>
  <c r="X54" i="9"/>
  <c r="Z54" i="9" s="1"/>
  <c r="N54" i="9"/>
  <c r="L54" i="9"/>
  <c r="F54" i="9"/>
  <c r="B54" i="9"/>
  <c r="Z53" i="9"/>
  <c r="X53" i="9"/>
  <c r="N53" i="9"/>
  <c r="L53" i="9"/>
  <c r="B53" i="9"/>
  <c r="T52" i="9"/>
  <c r="Z52" i="9" s="1"/>
  <c r="P52" i="9"/>
  <c r="X52" i="9" s="1"/>
  <c r="L52" i="9"/>
  <c r="N52" i="9" s="1"/>
  <c r="H52" i="9"/>
  <c r="D52" i="9"/>
  <c r="B52" i="9"/>
  <c r="Z51" i="9"/>
  <c r="X51" i="9"/>
  <c r="L51" i="9"/>
  <c r="N51" i="9" s="1"/>
  <c r="B51" i="9"/>
  <c r="X50" i="9"/>
  <c r="Z50" i="9" s="1"/>
  <c r="T50" i="9"/>
  <c r="P50" i="9"/>
  <c r="H50" i="9"/>
  <c r="D50" i="9"/>
  <c r="B50" i="9"/>
  <c r="Z49" i="9"/>
  <c r="X49" i="9"/>
  <c r="N49" i="9"/>
  <c r="L49" i="9"/>
  <c r="F49" i="9"/>
  <c r="B49" i="9"/>
  <c r="T48" i="9"/>
  <c r="P48" i="9"/>
  <c r="H48" i="9"/>
  <c r="N48" i="9" s="1"/>
  <c r="D48" i="9"/>
  <c r="L48" i="9" s="1"/>
  <c r="B48" i="9"/>
  <c r="X47" i="9"/>
  <c r="Z47" i="9" s="1"/>
  <c r="N47" i="9"/>
  <c r="L47" i="9"/>
  <c r="J47" i="9"/>
  <c r="B47" i="9"/>
  <c r="T46" i="9"/>
  <c r="P46" i="9"/>
  <c r="X46" i="9" s="1"/>
  <c r="H46" i="9"/>
  <c r="N46" i="9" s="1"/>
  <c r="D46" i="9"/>
  <c r="L46" i="9" s="1"/>
  <c r="B46" i="9"/>
  <c r="Z45" i="9"/>
  <c r="X45" i="9"/>
  <c r="N45" i="9"/>
  <c r="L45" i="9"/>
  <c r="J45" i="9"/>
  <c r="B45" i="9"/>
  <c r="T44" i="9"/>
  <c r="P44" i="9"/>
  <c r="X44" i="9" s="1"/>
  <c r="L44" i="9"/>
  <c r="N44" i="9" s="1"/>
  <c r="H44" i="9"/>
  <c r="F44" i="9"/>
  <c r="D44" i="9"/>
  <c r="B44" i="9"/>
  <c r="Z43" i="9"/>
  <c r="X43" i="9"/>
  <c r="L43" i="9"/>
  <c r="N43" i="9" s="1"/>
  <c r="B43" i="9"/>
  <c r="X42" i="9"/>
  <c r="Z42" i="9" s="1"/>
  <c r="T42" i="9"/>
  <c r="P42" i="9"/>
  <c r="H42" i="9"/>
  <c r="D42" i="9"/>
  <c r="B42" i="9"/>
  <c r="Z41" i="9"/>
  <c r="X41" i="9"/>
  <c r="N41" i="9"/>
  <c r="L41" i="9"/>
  <c r="F41" i="9"/>
  <c r="B41" i="9"/>
  <c r="T40" i="9"/>
  <c r="P40" i="9"/>
  <c r="H40" i="9"/>
  <c r="F40" i="9"/>
  <c r="D40" i="9"/>
  <c r="B40" i="9"/>
  <c r="X39" i="9"/>
  <c r="Z39" i="9" s="1"/>
  <c r="N39" i="9"/>
  <c r="L39" i="9"/>
  <c r="J39" i="9"/>
  <c r="B39" i="9"/>
  <c r="T38" i="9"/>
  <c r="Z38" i="9" s="1"/>
  <c r="P38" i="9"/>
  <c r="X38" i="9" s="1"/>
  <c r="H38" i="9"/>
  <c r="N38" i="9" s="1"/>
  <c r="D38" i="9"/>
  <c r="L38" i="9" s="1"/>
  <c r="B38" i="9"/>
  <c r="Z37" i="9"/>
  <c r="X37" i="9"/>
  <c r="N37" i="9"/>
  <c r="L37" i="9"/>
  <c r="J37" i="9"/>
  <c r="F37" i="9"/>
  <c r="B37" i="9"/>
  <c r="X36" i="9"/>
  <c r="Z36" i="9" s="1"/>
  <c r="L36" i="9"/>
  <c r="N36" i="9" s="1"/>
  <c r="F36" i="9"/>
  <c r="B36" i="9"/>
  <c r="X35" i="9"/>
  <c r="Z35" i="9" s="1"/>
  <c r="N35" i="9"/>
  <c r="L35" i="9"/>
  <c r="J35" i="9"/>
  <c r="B35" i="9"/>
  <c r="Z34" i="9"/>
  <c r="X34" i="9"/>
  <c r="L34" i="9"/>
  <c r="N34" i="9" s="1"/>
  <c r="B34" i="9"/>
  <c r="Z33" i="9"/>
  <c r="X33" i="9"/>
  <c r="N33" i="9"/>
  <c r="L33" i="9"/>
  <c r="F33" i="9"/>
  <c r="B33" i="9"/>
  <c r="X32" i="9"/>
  <c r="Z32" i="9" s="1"/>
  <c r="L32" i="9"/>
  <c r="N32" i="9" s="1"/>
  <c r="F32" i="9"/>
  <c r="B32" i="9"/>
  <c r="T31" i="9"/>
  <c r="P31" i="9"/>
  <c r="X31" i="9" s="1"/>
  <c r="Z31" i="9" s="1"/>
  <c r="N31" i="9"/>
  <c r="H31" i="9"/>
  <c r="L31" i="9" s="1"/>
  <c r="F31" i="9"/>
  <c r="D31" i="9"/>
  <c r="B31" i="9"/>
  <c r="X30" i="9"/>
  <c r="Z30" i="9" s="1"/>
  <c r="L30" i="9"/>
  <c r="N30" i="9" s="1"/>
  <c r="B30" i="9"/>
  <c r="Z29" i="9"/>
  <c r="X29" i="9"/>
  <c r="N29" i="9"/>
  <c r="L29" i="9"/>
  <c r="F29" i="9"/>
  <c r="B29" i="9"/>
  <c r="X28" i="9"/>
  <c r="Z28" i="9" s="1"/>
  <c r="L28" i="9"/>
  <c r="N28" i="9" s="1"/>
  <c r="J28" i="9"/>
  <c r="F28" i="9"/>
  <c r="B28" i="9"/>
  <c r="Z27" i="9"/>
  <c r="X27" i="9"/>
  <c r="L27" i="9"/>
  <c r="N27" i="9" s="1"/>
  <c r="J27" i="9"/>
  <c r="F27" i="9"/>
  <c r="B27" i="9"/>
  <c r="X26" i="9"/>
  <c r="Z26" i="9" s="1"/>
  <c r="L26" i="9"/>
  <c r="N26" i="9" s="1"/>
  <c r="F26" i="9"/>
  <c r="B26" i="9"/>
  <c r="Z25" i="9"/>
  <c r="X25" i="9"/>
  <c r="N25" i="9"/>
  <c r="L25" i="9"/>
  <c r="J25" i="9"/>
  <c r="F25" i="9"/>
  <c r="B25" i="9"/>
  <c r="X24" i="9"/>
  <c r="Z24" i="9" s="1"/>
  <c r="L24" i="9"/>
  <c r="N24" i="9" s="1"/>
  <c r="F24" i="9"/>
  <c r="B24" i="9"/>
  <c r="X23" i="9"/>
  <c r="Z23" i="9" s="1"/>
  <c r="L23" i="9"/>
  <c r="N23" i="9" s="1"/>
  <c r="J23" i="9"/>
  <c r="B23" i="9"/>
  <c r="Z22" i="9"/>
  <c r="X22" i="9"/>
  <c r="R22" i="9"/>
  <c r="N22" i="9"/>
  <c r="L22" i="9"/>
  <c r="B22" i="9"/>
  <c r="Z21" i="9"/>
  <c r="X21" i="9"/>
  <c r="N21" i="9"/>
  <c r="L21" i="9"/>
  <c r="F21" i="9"/>
  <c r="B21" i="9"/>
  <c r="X20" i="9"/>
  <c r="Z20" i="9" s="1"/>
  <c r="R20" i="9"/>
  <c r="L20" i="9"/>
  <c r="N20" i="9" s="1"/>
  <c r="J20" i="9"/>
  <c r="F20" i="9"/>
  <c r="B20" i="9"/>
  <c r="X19" i="9"/>
  <c r="Z19" i="9" s="1"/>
  <c r="T19" i="9"/>
  <c r="P19" i="9"/>
  <c r="H19" i="9"/>
  <c r="L19" i="9" s="1"/>
  <c r="N19" i="9" s="1"/>
  <c r="F19" i="9"/>
  <c r="D19" i="9"/>
  <c r="B19" i="9"/>
  <c r="T18" i="9" a="1"/>
  <c r="T18" i="9" s="1"/>
  <c r="R18" i="9"/>
  <c r="P18" i="9" a="1"/>
  <c r="P18" i="9" s="1"/>
  <c r="J18" i="9"/>
  <c r="H18" i="9" a="1"/>
  <c r="H18" i="9" s="1"/>
  <c r="F18" i="9"/>
  <c r="D18" i="9" a="1"/>
  <c r="D18" i="9" s="1"/>
  <c r="R16" i="9"/>
  <c r="J16" i="9"/>
  <c r="F16" i="9"/>
  <c r="D16" i="9"/>
  <c r="Z14" i="9"/>
  <c r="X14" i="9"/>
  <c r="T14" i="9"/>
  <c r="R14" i="9"/>
  <c r="P14" i="9"/>
  <c r="N14" i="9"/>
  <c r="J14" i="9"/>
  <c r="H14" i="9"/>
  <c r="L14" i="9" s="1"/>
  <c r="F14" i="9"/>
  <c r="D14" i="9"/>
  <c r="T12" i="9"/>
  <c r="P12" i="9"/>
  <c r="R72" i="9" s="1"/>
  <c r="N12" i="9"/>
  <c r="L12" i="9"/>
  <c r="H12" i="9"/>
  <c r="J67" i="9" s="1"/>
  <c r="D12" i="9"/>
  <c r="F97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P29" i="8"/>
  <c r="H29" i="8"/>
  <c r="N29" i="8" s="1"/>
  <c r="D29" i="8"/>
  <c r="T25" i="8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1" i="8" s="1"/>
  <c r="P12" i="8"/>
  <c r="H12" i="8"/>
  <c r="J20" i="8" s="1"/>
  <c r="D12" i="8"/>
  <c r="F36" i="8" s="1"/>
  <c r="D5" i="8"/>
  <c r="D4" i="8"/>
  <c r="B39" i="7"/>
  <c r="B38" i="7"/>
  <c r="T34" i="7"/>
  <c r="Z34" i="7" s="1"/>
  <c r="P34" i="7"/>
  <c r="H34" i="7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2" i="7" s="1"/>
  <c r="P12" i="7"/>
  <c r="R18" i="7" s="1"/>
  <c r="H12" i="7"/>
  <c r="D12" i="7"/>
  <c r="D5" i="7"/>
  <c r="D4" i="7"/>
  <c r="R31" i="6"/>
  <c r="J31" i="6"/>
  <c r="T29" i="6"/>
  <c r="R29" i="6"/>
  <c r="P29" i="6"/>
  <c r="X29" i="6" s="1"/>
  <c r="Z29" i="6" s="1"/>
  <c r="L29" i="6"/>
  <c r="J29" i="6"/>
  <c r="H29" i="6"/>
  <c r="N29" i="6" s="1"/>
  <c r="D29" i="6"/>
  <c r="T28" i="6"/>
  <c r="R28" i="6"/>
  <c r="P28" i="6"/>
  <c r="J28" i="6"/>
  <c r="H28" i="6"/>
  <c r="D28" i="6"/>
  <c r="L28" i="6" s="1"/>
  <c r="N28" i="6" s="1"/>
  <c r="R26" i="6"/>
  <c r="J26" i="6"/>
  <c r="Z24" i="6"/>
  <c r="X24" i="6"/>
  <c r="R24" i="6"/>
  <c r="N24" i="6"/>
  <c r="L24" i="6"/>
  <c r="J24" i="6"/>
  <c r="R22" i="6"/>
  <c r="J22" i="6"/>
  <c r="Z20" i="6"/>
  <c r="T20" i="6"/>
  <c r="R20" i="6"/>
  <c r="P20" i="6"/>
  <c r="X20" i="6" s="1"/>
  <c r="L20" i="6"/>
  <c r="J20" i="6"/>
  <c r="H20" i="6"/>
  <c r="N20" i="6" s="1"/>
  <c r="D20" i="6"/>
  <c r="T18" i="6"/>
  <c r="R18" i="6"/>
  <c r="P18" i="6"/>
  <c r="N18" i="6"/>
  <c r="J18" i="6"/>
  <c r="H18" i="6"/>
  <c r="D18" i="6"/>
  <c r="L18" i="6" s="1"/>
  <c r="R16" i="6"/>
  <c r="P16" i="6"/>
  <c r="P22" i="6" s="1"/>
  <c r="J16" i="6"/>
  <c r="T14" i="6"/>
  <c r="R14" i="6"/>
  <c r="P14" i="6"/>
  <c r="N14" i="6"/>
  <c r="J14" i="6"/>
  <c r="H14" i="6"/>
  <c r="H16" i="6" s="1"/>
  <c r="D14" i="6"/>
  <c r="L14" i="6" s="1"/>
  <c r="T12" i="6"/>
  <c r="Z12" i="6" s="1"/>
  <c r="P12" i="6"/>
  <c r="N12" i="6"/>
  <c r="H12" i="6"/>
  <c r="D12" i="6"/>
  <c r="D4" i="6"/>
  <c r="B39" i="5"/>
  <c r="B38" i="5"/>
  <c r="T34" i="5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P22" i="5"/>
  <c r="H22" i="5"/>
  <c r="N22" i="5" s="1"/>
  <c r="D22" i="5"/>
  <c r="B22" i="5"/>
  <c r="T21" i="5"/>
  <c r="Z21" i="5" s="1"/>
  <c r="P21" i="5"/>
  <c r="H21" i="5"/>
  <c r="D21" i="5"/>
  <c r="B21" i="5"/>
  <c r="T20" i="5"/>
  <c r="Z20" i="5" s="1"/>
  <c r="P20" i="5"/>
  <c r="H20" i="5"/>
  <c r="D20" i="5"/>
  <c r="T16" i="5"/>
  <c r="Z16" i="5" s="1"/>
  <c r="P16" i="5"/>
  <c r="H16" i="5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0" i="5" s="1"/>
  <c r="P12" i="5"/>
  <c r="R33" i="5" s="1"/>
  <c r="H12" i="5"/>
  <c r="D12" i="5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P20" i="4"/>
  <c r="H20" i="4"/>
  <c r="N20" i="4" s="1"/>
  <c r="D20" i="4"/>
  <c r="T16" i="4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24" i="4" s="1"/>
  <c r="P12" i="4"/>
  <c r="R36" i="4" s="1"/>
  <c r="H12" i="4"/>
  <c r="D12" i="4"/>
  <c r="F24" i="4" s="1"/>
  <c r="D5" i="4"/>
  <c r="D4" i="4"/>
  <c r="Z275" i="3"/>
  <c r="T275" i="3"/>
  <c r="X275" i="3" s="1"/>
  <c r="P275" i="3"/>
  <c r="H275" i="3"/>
  <c r="D275" i="3"/>
  <c r="L275" i="3" s="1"/>
  <c r="N275" i="3" s="1"/>
  <c r="T274" i="3"/>
  <c r="P274" i="3"/>
  <c r="X274" i="3" s="1"/>
  <c r="L274" i="3"/>
  <c r="N274" i="3" s="1"/>
  <c r="H274" i="3"/>
  <c r="D274" i="3"/>
  <c r="X270" i="3"/>
  <c r="Z270" i="3" s="1"/>
  <c r="N270" i="3"/>
  <c r="L270" i="3"/>
  <c r="T266" i="3"/>
  <c r="X266" i="3" s="1"/>
  <c r="Z266" i="3" s="1"/>
  <c r="P266" i="3"/>
  <c r="N266" i="3"/>
  <c r="H266" i="3"/>
  <c r="D266" i="3"/>
  <c r="L266" i="3" s="1"/>
  <c r="B266" i="3"/>
  <c r="T265" i="3"/>
  <c r="P265" i="3"/>
  <c r="X265" i="3" s="1"/>
  <c r="H265" i="3"/>
  <c r="D265" i="3"/>
  <c r="B265" i="3"/>
  <c r="X264" i="3"/>
  <c r="Z264" i="3" s="1"/>
  <c r="T264" i="3"/>
  <c r="P264" i="3"/>
  <c r="N264" i="3"/>
  <c r="H264" i="3"/>
  <c r="L264" i="3" s="1"/>
  <c r="D264" i="3"/>
  <c r="B264" i="3"/>
  <c r="X263" i="3"/>
  <c r="T263" i="3"/>
  <c r="Z263" i="3" s="1"/>
  <c r="P263" i="3"/>
  <c r="H263" i="3"/>
  <c r="D263" i="3"/>
  <c r="B263" i="3"/>
  <c r="T262" i="3"/>
  <c r="P262" i="3"/>
  <c r="X262" i="3" s="1"/>
  <c r="L262" i="3"/>
  <c r="N262" i="3" s="1"/>
  <c r="H262" i="3"/>
  <c r="D262" i="3"/>
  <c r="B262" i="3"/>
  <c r="T261" i="3"/>
  <c r="P261" i="3"/>
  <c r="X261" i="3" s="1"/>
  <c r="Z261" i="3" s="1"/>
  <c r="L261" i="3"/>
  <c r="H261" i="3"/>
  <c r="H258" i="3" s="1"/>
  <c r="D261" i="3"/>
  <c r="B261" i="3"/>
  <c r="Z260" i="3"/>
  <c r="T260" i="3"/>
  <c r="P260" i="3"/>
  <c r="X260" i="3" s="1"/>
  <c r="H260" i="3"/>
  <c r="N260" i="3" s="1"/>
  <c r="D260" i="3"/>
  <c r="L260" i="3" s="1"/>
  <c r="B260" i="3"/>
  <c r="T259" i="3"/>
  <c r="P259" i="3"/>
  <c r="L259" i="3"/>
  <c r="N259" i="3" s="1"/>
  <c r="H259" i="3"/>
  <c r="D259" i="3"/>
  <c r="B259" i="3"/>
  <c r="X256" i="3"/>
  <c r="Z256" i="3" s="1"/>
  <c r="N256" i="3"/>
  <c r="L256" i="3"/>
  <c r="B256" i="3"/>
  <c r="T255" i="3"/>
  <c r="P255" i="3"/>
  <c r="H255" i="3"/>
  <c r="D255" i="3"/>
  <c r="L255" i="3" s="1"/>
  <c r="N255" i="3" s="1"/>
  <c r="B255" i="3"/>
  <c r="X254" i="3"/>
  <c r="Z254" i="3" s="1"/>
  <c r="N254" i="3"/>
  <c r="L254" i="3"/>
  <c r="B254" i="3"/>
  <c r="Z253" i="3"/>
  <c r="X253" i="3"/>
  <c r="L253" i="3"/>
  <c r="N253" i="3" s="1"/>
  <c r="B253" i="3"/>
  <c r="X252" i="3"/>
  <c r="Z252" i="3" s="1"/>
  <c r="N252" i="3"/>
  <c r="L252" i="3"/>
  <c r="B252" i="3"/>
  <c r="T251" i="3"/>
  <c r="P251" i="3"/>
  <c r="X251" i="3" s="1"/>
  <c r="H251" i="3"/>
  <c r="D251" i="3"/>
  <c r="L251" i="3" s="1"/>
  <c r="N251" i="3" s="1"/>
  <c r="B251" i="3"/>
  <c r="X250" i="3"/>
  <c r="Z250" i="3" s="1"/>
  <c r="N250" i="3"/>
  <c r="L250" i="3"/>
  <c r="B250" i="3"/>
  <c r="T249" i="3"/>
  <c r="P249" i="3"/>
  <c r="X249" i="3" s="1"/>
  <c r="Z249" i="3" s="1"/>
  <c r="L249" i="3"/>
  <c r="N249" i="3" s="1"/>
  <c r="H249" i="3"/>
  <c r="D249" i="3"/>
  <c r="B249" i="3"/>
  <c r="Z248" i="3"/>
  <c r="X248" i="3"/>
  <c r="L248" i="3"/>
  <c r="N248" i="3" s="1"/>
  <c r="B248" i="3"/>
  <c r="X247" i="3"/>
  <c r="Z247" i="3" s="1"/>
  <c r="N247" i="3"/>
  <c r="L247" i="3"/>
  <c r="B247" i="3"/>
  <c r="X246" i="3"/>
  <c r="Z246" i="3" s="1"/>
  <c r="T246" i="3"/>
  <c r="P246" i="3"/>
  <c r="N246" i="3"/>
  <c r="H246" i="3"/>
  <c r="L246" i="3" s="1"/>
  <c r="D246" i="3"/>
  <c r="B246" i="3"/>
  <c r="X245" i="3"/>
  <c r="Z245" i="3" s="1"/>
  <c r="N245" i="3"/>
  <c r="L245" i="3"/>
  <c r="B245" i="3"/>
  <c r="Z244" i="3"/>
  <c r="X244" i="3"/>
  <c r="L244" i="3"/>
  <c r="N244" i="3" s="1"/>
  <c r="B244" i="3"/>
  <c r="X243" i="3"/>
  <c r="Z243" i="3" s="1"/>
  <c r="L243" i="3"/>
  <c r="N243" i="3" s="1"/>
  <c r="B243" i="3"/>
  <c r="X242" i="3"/>
  <c r="Z242" i="3" s="1"/>
  <c r="N242" i="3"/>
  <c r="L242" i="3"/>
  <c r="B242" i="3"/>
  <c r="Z241" i="3"/>
  <c r="X241" i="3"/>
  <c r="L241" i="3"/>
  <c r="N241" i="3" s="1"/>
  <c r="B241" i="3"/>
  <c r="X240" i="3"/>
  <c r="Z240" i="3" s="1"/>
  <c r="N240" i="3"/>
  <c r="L240" i="3"/>
  <c r="B240" i="3"/>
  <c r="X239" i="3"/>
  <c r="Z239" i="3" s="1"/>
  <c r="L239" i="3"/>
  <c r="N239" i="3" s="1"/>
  <c r="B239" i="3"/>
  <c r="Z238" i="3"/>
  <c r="X238" i="3"/>
  <c r="L238" i="3"/>
  <c r="N238" i="3" s="1"/>
  <c r="B238" i="3"/>
  <c r="X237" i="3"/>
  <c r="Z237" i="3" s="1"/>
  <c r="N237" i="3"/>
  <c r="L237" i="3"/>
  <c r="B237" i="3"/>
  <c r="Z236" i="3"/>
  <c r="T236" i="3"/>
  <c r="X236" i="3" s="1"/>
  <c r="P236" i="3"/>
  <c r="H236" i="3"/>
  <c r="D236" i="3"/>
  <c r="L236" i="3" s="1"/>
  <c r="N236" i="3" s="1"/>
  <c r="B236" i="3"/>
  <c r="X235" i="3"/>
  <c r="Z235" i="3" s="1"/>
  <c r="L235" i="3"/>
  <c r="N235" i="3" s="1"/>
  <c r="B235" i="3"/>
  <c r="Z234" i="3"/>
  <c r="X234" i="3"/>
  <c r="L234" i="3"/>
  <c r="N234" i="3" s="1"/>
  <c r="B234" i="3"/>
  <c r="X233" i="3"/>
  <c r="T233" i="3"/>
  <c r="P233" i="3"/>
  <c r="H233" i="3"/>
  <c r="D233" i="3"/>
  <c r="B233" i="3"/>
  <c r="X232" i="3"/>
  <c r="Z232" i="3" s="1"/>
  <c r="N232" i="3"/>
  <c r="L232" i="3"/>
  <c r="B232" i="3"/>
  <c r="X231" i="3"/>
  <c r="Z231" i="3" s="1"/>
  <c r="L231" i="3"/>
  <c r="N231" i="3" s="1"/>
  <c r="B231" i="3"/>
  <c r="Z230" i="3"/>
  <c r="X230" i="3"/>
  <c r="L230" i="3"/>
  <c r="N230" i="3" s="1"/>
  <c r="B230" i="3"/>
  <c r="X229" i="3"/>
  <c r="Z229" i="3" s="1"/>
  <c r="N229" i="3"/>
  <c r="L229" i="3"/>
  <c r="B229" i="3"/>
  <c r="Z228" i="3"/>
  <c r="X228" i="3"/>
  <c r="L228" i="3"/>
  <c r="N228" i="3" s="1"/>
  <c r="B228" i="3"/>
  <c r="T227" i="3"/>
  <c r="P227" i="3"/>
  <c r="X227" i="3" s="1"/>
  <c r="Z227" i="3" s="1"/>
  <c r="L227" i="3"/>
  <c r="H227" i="3"/>
  <c r="D227" i="3"/>
  <c r="B227" i="3"/>
  <c r="Z226" i="3"/>
  <c r="X226" i="3"/>
  <c r="L226" i="3"/>
  <c r="N226" i="3" s="1"/>
  <c r="B226" i="3"/>
  <c r="X225" i="3"/>
  <c r="Z225" i="3" s="1"/>
  <c r="N225" i="3"/>
  <c r="L225" i="3"/>
  <c r="B225" i="3"/>
  <c r="Z224" i="3"/>
  <c r="X224" i="3"/>
  <c r="N224" i="3"/>
  <c r="L224" i="3"/>
  <c r="B224" i="3"/>
  <c r="T223" i="3"/>
  <c r="P223" i="3"/>
  <c r="X223" i="3" s="1"/>
  <c r="Z223" i="3" s="1"/>
  <c r="L223" i="3"/>
  <c r="H223" i="3"/>
  <c r="N223" i="3" s="1"/>
  <c r="D223" i="3"/>
  <c r="B223" i="3"/>
  <c r="Z222" i="3"/>
  <c r="X222" i="3"/>
  <c r="L222" i="3"/>
  <c r="N222" i="3" s="1"/>
  <c r="B222" i="3"/>
  <c r="X221" i="3"/>
  <c r="Z221" i="3" s="1"/>
  <c r="N221" i="3"/>
  <c r="L221" i="3"/>
  <c r="B221" i="3"/>
  <c r="Z220" i="3"/>
  <c r="X220" i="3"/>
  <c r="L220" i="3"/>
  <c r="N220" i="3" s="1"/>
  <c r="B220" i="3"/>
  <c r="X219" i="3"/>
  <c r="Z219" i="3" s="1"/>
  <c r="L219" i="3"/>
  <c r="N219" i="3" s="1"/>
  <c r="B219" i="3"/>
  <c r="X218" i="3"/>
  <c r="Z218" i="3" s="1"/>
  <c r="T218" i="3"/>
  <c r="P218" i="3"/>
  <c r="H218" i="3"/>
  <c r="L218" i="3" s="1"/>
  <c r="N218" i="3" s="1"/>
  <c r="D218" i="3"/>
  <c r="B218" i="3"/>
  <c r="X217" i="3"/>
  <c r="Z217" i="3" s="1"/>
  <c r="N217" i="3"/>
  <c r="L217" i="3"/>
  <c r="B217" i="3"/>
  <c r="T216" i="3"/>
  <c r="X216" i="3" s="1"/>
  <c r="Z216" i="3" s="1"/>
  <c r="P216" i="3"/>
  <c r="H216" i="3"/>
  <c r="D216" i="3"/>
  <c r="L216" i="3" s="1"/>
  <c r="N216" i="3" s="1"/>
  <c r="B216" i="3"/>
  <c r="X215" i="3"/>
  <c r="Z215" i="3" s="1"/>
  <c r="L215" i="3"/>
  <c r="N215" i="3" s="1"/>
  <c r="B215" i="3"/>
  <c r="T214" i="3"/>
  <c r="P214" i="3"/>
  <c r="X214" i="3" s="1"/>
  <c r="Z214" i="3" s="1"/>
  <c r="H214" i="3"/>
  <c r="D214" i="3"/>
  <c r="L214" i="3" s="1"/>
  <c r="B214" i="3"/>
  <c r="Z213" i="3"/>
  <c r="X213" i="3"/>
  <c r="N213" i="3"/>
  <c r="L213" i="3"/>
  <c r="B213" i="3"/>
  <c r="T212" i="3"/>
  <c r="Z212" i="3" s="1"/>
  <c r="P212" i="3"/>
  <c r="X212" i="3" s="1"/>
  <c r="N212" i="3"/>
  <c r="L212" i="3"/>
  <c r="H212" i="3"/>
  <c r="D212" i="3"/>
  <c r="B212" i="3"/>
  <c r="Z211" i="3"/>
  <c r="X211" i="3"/>
  <c r="N211" i="3"/>
  <c r="L211" i="3"/>
  <c r="B211" i="3"/>
  <c r="X210" i="3"/>
  <c r="Z210" i="3" s="1"/>
  <c r="N210" i="3"/>
  <c r="L210" i="3"/>
  <c r="B210" i="3"/>
  <c r="T209" i="3"/>
  <c r="Z209" i="3" s="1"/>
  <c r="P209" i="3"/>
  <c r="X209" i="3" s="1"/>
  <c r="H209" i="3"/>
  <c r="D209" i="3"/>
  <c r="L209" i="3" s="1"/>
  <c r="N209" i="3" s="1"/>
  <c r="B209" i="3"/>
  <c r="Z208" i="3"/>
  <c r="X208" i="3"/>
  <c r="L208" i="3"/>
  <c r="N208" i="3" s="1"/>
  <c r="B208" i="3"/>
  <c r="T207" i="3"/>
  <c r="P207" i="3"/>
  <c r="X207" i="3" s="1"/>
  <c r="Z207" i="3" s="1"/>
  <c r="L207" i="3"/>
  <c r="H207" i="3"/>
  <c r="D207" i="3"/>
  <c r="B207" i="3"/>
  <c r="Z206" i="3"/>
  <c r="X206" i="3"/>
  <c r="L206" i="3"/>
  <c r="N206" i="3" s="1"/>
  <c r="B206" i="3"/>
  <c r="X205" i="3"/>
  <c r="T205" i="3"/>
  <c r="Z205" i="3" s="1"/>
  <c r="P205" i="3"/>
  <c r="H205" i="3"/>
  <c r="D205" i="3"/>
  <c r="B205" i="3"/>
  <c r="X204" i="3"/>
  <c r="Z204" i="3" s="1"/>
  <c r="N204" i="3"/>
  <c r="L204" i="3"/>
  <c r="B204" i="3"/>
  <c r="T203" i="3"/>
  <c r="P203" i="3"/>
  <c r="H203" i="3"/>
  <c r="N203" i="3" s="1"/>
  <c r="D203" i="3"/>
  <c r="L203" i="3" s="1"/>
  <c r="B203" i="3"/>
  <c r="X202" i="3"/>
  <c r="Z202" i="3" s="1"/>
  <c r="N202" i="3"/>
  <c r="L202" i="3"/>
  <c r="B202" i="3"/>
  <c r="Z201" i="3"/>
  <c r="X201" i="3"/>
  <c r="L201" i="3"/>
  <c r="N201" i="3" s="1"/>
  <c r="B201" i="3"/>
  <c r="T200" i="3"/>
  <c r="P200" i="3"/>
  <c r="X200" i="3" s="1"/>
  <c r="Z200" i="3" s="1"/>
  <c r="L200" i="3"/>
  <c r="N200" i="3" s="1"/>
  <c r="H200" i="3"/>
  <c r="D200" i="3"/>
  <c r="B200" i="3"/>
  <c r="X199" i="3"/>
  <c r="Z199" i="3" s="1"/>
  <c r="L199" i="3"/>
  <c r="N199" i="3" s="1"/>
  <c r="B199" i="3"/>
  <c r="X198" i="3"/>
  <c r="Z198" i="3" s="1"/>
  <c r="T198" i="3"/>
  <c r="P198" i="3"/>
  <c r="N198" i="3"/>
  <c r="H198" i="3"/>
  <c r="L198" i="3" s="1"/>
  <c r="D198" i="3"/>
  <c r="B198" i="3"/>
  <c r="X197" i="3"/>
  <c r="Z197" i="3" s="1"/>
  <c r="N197" i="3"/>
  <c r="L197" i="3"/>
  <c r="B197" i="3"/>
  <c r="Z196" i="3"/>
  <c r="T196" i="3"/>
  <c r="X196" i="3" s="1"/>
  <c r="P196" i="3"/>
  <c r="N196" i="3"/>
  <c r="H196" i="3"/>
  <c r="D196" i="3"/>
  <c r="L196" i="3" s="1"/>
  <c r="B196" i="3"/>
  <c r="X195" i="3"/>
  <c r="Z195" i="3" s="1"/>
  <c r="L195" i="3"/>
  <c r="N195" i="3" s="1"/>
  <c r="B195" i="3"/>
  <c r="T194" i="3"/>
  <c r="P194" i="3"/>
  <c r="X194" i="3" s="1"/>
  <c r="Z194" i="3" s="1"/>
  <c r="H194" i="3"/>
  <c r="D194" i="3"/>
  <c r="L194" i="3" s="1"/>
  <c r="B194" i="3"/>
  <c r="Z193" i="3"/>
  <c r="X193" i="3"/>
  <c r="N193" i="3"/>
  <c r="L193" i="3"/>
  <c r="B193" i="3"/>
  <c r="Z192" i="3"/>
  <c r="X192" i="3"/>
  <c r="N192" i="3"/>
  <c r="L192" i="3"/>
  <c r="B192" i="3"/>
  <c r="T191" i="3"/>
  <c r="P191" i="3"/>
  <c r="H191" i="3"/>
  <c r="N191" i="3" s="1"/>
  <c r="D191" i="3"/>
  <c r="L191" i="3" s="1"/>
  <c r="B191" i="3"/>
  <c r="X190" i="3"/>
  <c r="Z190" i="3" s="1"/>
  <c r="N190" i="3"/>
  <c r="L190" i="3"/>
  <c r="B190" i="3"/>
  <c r="Z189" i="3"/>
  <c r="X189" i="3"/>
  <c r="L189" i="3"/>
  <c r="N189" i="3" s="1"/>
  <c r="B189" i="3"/>
  <c r="T188" i="3"/>
  <c r="P188" i="3"/>
  <c r="X188" i="3" s="1"/>
  <c r="Z188" i="3" s="1"/>
  <c r="L188" i="3"/>
  <c r="N188" i="3" s="1"/>
  <c r="H188" i="3"/>
  <c r="D188" i="3"/>
  <c r="B188" i="3"/>
  <c r="X187" i="3"/>
  <c r="Z187" i="3" s="1"/>
  <c r="L187" i="3"/>
  <c r="N187" i="3" s="1"/>
  <c r="B187" i="3"/>
  <c r="X186" i="3"/>
  <c r="Z186" i="3" s="1"/>
  <c r="T186" i="3"/>
  <c r="P186" i="3"/>
  <c r="N186" i="3"/>
  <c r="H186" i="3"/>
  <c r="L186" i="3" s="1"/>
  <c r="D186" i="3"/>
  <c r="B186" i="3"/>
  <c r="X185" i="3"/>
  <c r="Z185" i="3" s="1"/>
  <c r="N185" i="3"/>
  <c r="L185" i="3"/>
  <c r="B185" i="3"/>
  <c r="Z184" i="3"/>
  <c r="X184" i="3"/>
  <c r="L184" i="3"/>
  <c r="N184" i="3" s="1"/>
  <c r="B184" i="3"/>
  <c r="T183" i="3"/>
  <c r="P183" i="3"/>
  <c r="X183" i="3" s="1"/>
  <c r="Z183" i="3" s="1"/>
  <c r="L183" i="3"/>
  <c r="H183" i="3"/>
  <c r="N183" i="3" s="1"/>
  <c r="D183" i="3"/>
  <c r="B183" i="3"/>
  <c r="Z182" i="3"/>
  <c r="X182" i="3"/>
  <c r="L182" i="3"/>
  <c r="N182" i="3" s="1"/>
  <c r="B182" i="3"/>
  <c r="X181" i="3"/>
  <c r="T181" i="3"/>
  <c r="P181" i="3"/>
  <c r="H181" i="3"/>
  <c r="D181" i="3"/>
  <c r="B181" i="3"/>
  <c r="X180" i="3"/>
  <c r="Z180" i="3" s="1"/>
  <c r="N180" i="3"/>
  <c r="L180" i="3"/>
  <c r="B180" i="3"/>
  <c r="X179" i="3"/>
  <c r="Z179" i="3" s="1"/>
  <c r="L179" i="3"/>
  <c r="N179" i="3" s="1"/>
  <c r="B179" i="3"/>
  <c r="Z178" i="3"/>
  <c r="X178" i="3"/>
  <c r="L178" i="3"/>
  <c r="N178" i="3" s="1"/>
  <c r="B178" i="3"/>
  <c r="X177" i="3"/>
  <c r="Z177" i="3" s="1"/>
  <c r="N177" i="3"/>
  <c r="L177" i="3"/>
  <c r="B177" i="3"/>
  <c r="Z176" i="3"/>
  <c r="X176" i="3"/>
  <c r="L176" i="3"/>
  <c r="N176" i="3" s="1"/>
  <c r="B176" i="3"/>
  <c r="X175" i="3"/>
  <c r="Z175" i="3" s="1"/>
  <c r="L175" i="3"/>
  <c r="N175" i="3" s="1"/>
  <c r="B175" i="3"/>
  <c r="X174" i="3"/>
  <c r="Z174" i="3" s="1"/>
  <c r="N174" i="3"/>
  <c r="L174" i="3"/>
  <c r="B174" i="3"/>
  <c r="T173" i="3"/>
  <c r="P173" i="3"/>
  <c r="X173" i="3" s="1"/>
  <c r="H173" i="3"/>
  <c r="D173" i="3"/>
  <c r="L173" i="3" s="1"/>
  <c r="N173" i="3" s="1"/>
  <c r="B173" i="3"/>
  <c r="Z172" i="3"/>
  <c r="X172" i="3"/>
  <c r="L172" i="3"/>
  <c r="N172" i="3" s="1"/>
  <c r="B172" i="3"/>
  <c r="X171" i="3"/>
  <c r="Z171" i="3" s="1"/>
  <c r="L171" i="3"/>
  <c r="N171" i="3" s="1"/>
  <c r="B171" i="3"/>
  <c r="X170" i="3"/>
  <c r="Z170" i="3" s="1"/>
  <c r="N170" i="3"/>
  <c r="L170" i="3"/>
  <c r="B170" i="3"/>
  <c r="Z169" i="3"/>
  <c r="X169" i="3"/>
  <c r="L169" i="3"/>
  <c r="N169" i="3" s="1"/>
  <c r="B169" i="3"/>
  <c r="Z168" i="3"/>
  <c r="X168" i="3"/>
  <c r="N168" i="3"/>
  <c r="L168" i="3"/>
  <c r="B168" i="3"/>
  <c r="X167" i="3"/>
  <c r="Z167" i="3" s="1"/>
  <c r="L167" i="3"/>
  <c r="N167" i="3" s="1"/>
  <c r="B167" i="3"/>
  <c r="Z166" i="3"/>
  <c r="X166" i="3"/>
  <c r="L166" i="3"/>
  <c r="N166" i="3" s="1"/>
  <c r="B166" i="3"/>
  <c r="X165" i="3"/>
  <c r="Z165" i="3" s="1"/>
  <c r="N165" i="3"/>
  <c r="L165" i="3"/>
  <c r="B165" i="3"/>
  <c r="Z164" i="3"/>
  <c r="X164" i="3"/>
  <c r="L164" i="3"/>
  <c r="N164" i="3" s="1"/>
  <c r="B164" i="3"/>
  <c r="X163" i="3"/>
  <c r="Z163" i="3" s="1"/>
  <c r="L163" i="3"/>
  <c r="N163" i="3" s="1"/>
  <c r="B163" i="3"/>
  <c r="X162" i="3"/>
  <c r="Z162" i="3" s="1"/>
  <c r="T162" i="3"/>
  <c r="P162" i="3"/>
  <c r="H162" i="3"/>
  <c r="D162" i="3"/>
  <c r="L162" i="3" s="1"/>
  <c r="N162" i="3" s="1"/>
  <c r="B162" i="3"/>
  <c r="T161" i="3" a="1"/>
  <c r="T161" i="3" s="1"/>
  <c r="P161" i="3" a="1"/>
  <c r="P161" i="3"/>
  <c r="X161" i="3" s="1"/>
  <c r="H161" i="3" a="1"/>
  <c r="H161" i="3" s="1"/>
  <c r="D161" i="3" a="1"/>
  <c r="D161" i="3" s="1"/>
  <c r="Z157" i="3"/>
  <c r="X157" i="3"/>
  <c r="N157" i="3"/>
  <c r="L157" i="3"/>
  <c r="B157" i="3"/>
  <c r="X156" i="3"/>
  <c r="Z156" i="3" s="1"/>
  <c r="N156" i="3"/>
  <c r="L156" i="3"/>
  <c r="B156" i="3"/>
  <c r="X155" i="3"/>
  <c r="Z155" i="3" s="1"/>
  <c r="L155" i="3"/>
  <c r="N155" i="3" s="1"/>
  <c r="B155" i="3"/>
  <c r="Z154" i="3"/>
  <c r="X154" i="3"/>
  <c r="N154" i="3"/>
  <c r="L154" i="3"/>
  <c r="B154" i="3"/>
  <c r="X153" i="3"/>
  <c r="Z153" i="3" s="1"/>
  <c r="N153" i="3"/>
  <c r="L153" i="3"/>
  <c r="B153" i="3"/>
  <c r="Z152" i="3"/>
  <c r="X152" i="3"/>
  <c r="N152" i="3"/>
  <c r="L152" i="3"/>
  <c r="B152" i="3"/>
  <c r="X151" i="3"/>
  <c r="Z151" i="3" s="1"/>
  <c r="L151" i="3"/>
  <c r="N151" i="3" s="1"/>
  <c r="B151" i="3"/>
  <c r="Z150" i="3"/>
  <c r="X150" i="3"/>
  <c r="N150" i="3"/>
  <c r="L150" i="3"/>
  <c r="B150" i="3"/>
  <c r="Z149" i="3"/>
  <c r="X149" i="3"/>
  <c r="N149" i="3"/>
  <c r="L149" i="3"/>
  <c r="B149" i="3"/>
  <c r="X148" i="3"/>
  <c r="Z148" i="3" s="1"/>
  <c r="N148" i="3"/>
  <c r="L148" i="3"/>
  <c r="B148" i="3"/>
  <c r="X147" i="3"/>
  <c r="Z147" i="3" s="1"/>
  <c r="L147" i="3"/>
  <c r="N147" i="3" s="1"/>
  <c r="B147" i="3"/>
  <c r="Z146" i="3"/>
  <c r="X146" i="3"/>
  <c r="N146" i="3"/>
  <c r="L146" i="3"/>
  <c r="B146" i="3"/>
  <c r="X145" i="3"/>
  <c r="Z145" i="3" s="1"/>
  <c r="N145" i="3"/>
  <c r="L145" i="3"/>
  <c r="B145" i="3"/>
  <c r="Z144" i="3"/>
  <c r="X144" i="3"/>
  <c r="L144" i="3"/>
  <c r="N144" i="3" s="1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X140" i="3"/>
  <c r="Z140" i="3" s="1"/>
  <c r="N140" i="3"/>
  <c r="L140" i="3"/>
  <c r="B140" i="3"/>
  <c r="X139" i="3"/>
  <c r="Z139" i="3" s="1"/>
  <c r="N139" i="3"/>
  <c r="L139" i="3"/>
  <c r="B139" i="3"/>
  <c r="Z138" i="3"/>
  <c r="X138" i="3"/>
  <c r="N138" i="3"/>
  <c r="L138" i="3"/>
  <c r="B138" i="3"/>
  <c r="X137" i="3"/>
  <c r="Z137" i="3" s="1"/>
  <c r="N137" i="3"/>
  <c r="L137" i="3"/>
  <c r="B137" i="3"/>
  <c r="Z136" i="3"/>
  <c r="X136" i="3"/>
  <c r="N136" i="3"/>
  <c r="L136" i="3"/>
  <c r="B136" i="3"/>
  <c r="X135" i="3"/>
  <c r="Z135" i="3" s="1"/>
  <c r="L135" i="3"/>
  <c r="N135" i="3" s="1"/>
  <c r="B135" i="3"/>
  <c r="Z134" i="3"/>
  <c r="X134" i="3"/>
  <c r="N134" i="3"/>
  <c r="L134" i="3"/>
  <c r="B134" i="3"/>
  <c r="Z133" i="3"/>
  <c r="X133" i="3"/>
  <c r="N133" i="3"/>
  <c r="L133" i="3"/>
  <c r="B133" i="3"/>
  <c r="X132" i="3"/>
  <c r="Z132" i="3" s="1"/>
  <c r="N132" i="3"/>
  <c r="L132" i="3"/>
  <c r="B132" i="3"/>
  <c r="X131" i="3"/>
  <c r="Z131" i="3" s="1"/>
  <c r="L131" i="3"/>
  <c r="N131" i="3" s="1"/>
  <c r="B131" i="3"/>
  <c r="Z130" i="3"/>
  <c r="X130" i="3"/>
  <c r="N130" i="3"/>
  <c r="L130" i="3"/>
  <c r="B130" i="3"/>
  <c r="X129" i="3"/>
  <c r="Z129" i="3" s="1"/>
  <c r="N129" i="3"/>
  <c r="L129" i="3"/>
  <c r="B129" i="3"/>
  <c r="Z128" i="3"/>
  <c r="X128" i="3"/>
  <c r="L128" i="3"/>
  <c r="N128" i="3" s="1"/>
  <c r="B128" i="3"/>
  <c r="X127" i="3"/>
  <c r="Z127" i="3" s="1"/>
  <c r="L127" i="3"/>
  <c r="N127" i="3" s="1"/>
  <c r="B127" i="3"/>
  <c r="Z126" i="3"/>
  <c r="X126" i="3"/>
  <c r="N126" i="3"/>
  <c r="L126" i="3"/>
  <c r="B126" i="3"/>
  <c r="Z125" i="3"/>
  <c r="X125" i="3"/>
  <c r="L125" i="3"/>
  <c r="N125" i="3" s="1"/>
  <c r="B125" i="3"/>
  <c r="X124" i="3"/>
  <c r="Z124" i="3" s="1"/>
  <c r="N124" i="3"/>
  <c r="L124" i="3"/>
  <c r="B124" i="3"/>
  <c r="X123" i="3"/>
  <c r="Z123" i="3" s="1"/>
  <c r="N123" i="3"/>
  <c r="L123" i="3"/>
  <c r="B123" i="3"/>
  <c r="Z122" i="3"/>
  <c r="X122" i="3"/>
  <c r="N122" i="3"/>
  <c r="L122" i="3"/>
  <c r="B122" i="3"/>
  <c r="X121" i="3"/>
  <c r="Z121" i="3" s="1"/>
  <c r="N121" i="3"/>
  <c r="L121" i="3"/>
  <c r="B121" i="3"/>
  <c r="Z120" i="3"/>
  <c r="X120" i="3"/>
  <c r="L120" i="3"/>
  <c r="N120" i="3" s="1"/>
  <c r="B120" i="3"/>
  <c r="X119" i="3"/>
  <c r="Z119" i="3" s="1"/>
  <c r="N119" i="3"/>
  <c r="L119" i="3"/>
  <c r="B119" i="3"/>
  <c r="Z118" i="3"/>
  <c r="X118" i="3"/>
  <c r="N118" i="3"/>
  <c r="L118" i="3"/>
  <c r="B118" i="3"/>
  <c r="Z117" i="3"/>
  <c r="X117" i="3"/>
  <c r="L117" i="3"/>
  <c r="N117" i="3" s="1"/>
  <c r="B117" i="3"/>
  <c r="X116" i="3"/>
  <c r="Z116" i="3" s="1"/>
  <c r="N116" i="3"/>
  <c r="L116" i="3"/>
  <c r="B116" i="3"/>
  <c r="X115" i="3"/>
  <c r="Z115" i="3" s="1"/>
  <c r="N115" i="3"/>
  <c r="L115" i="3"/>
  <c r="B115" i="3"/>
  <c r="Z114" i="3"/>
  <c r="X114" i="3"/>
  <c r="N114" i="3"/>
  <c r="L114" i="3"/>
  <c r="B114" i="3"/>
  <c r="X113" i="3"/>
  <c r="Z113" i="3" s="1"/>
  <c r="N113" i="3"/>
  <c r="L113" i="3"/>
  <c r="B113" i="3"/>
  <c r="Z112" i="3"/>
  <c r="X112" i="3"/>
  <c r="L112" i="3"/>
  <c r="N112" i="3" s="1"/>
  <c r="B112" i="3"/>
  <c r="X111" i="3"/>
  <c r="Z111" i="3" s="1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X108" i="3"/>
  <c r="Z108" i="3" s="1"/>
  <c r="N108" i="3"/>
  <c r="L108" i="3"/>
  <c r="B108" i="3"/>
  <c r="X107" i="3"/>
  <c r="Z107" i="3" s="1"/>
  <c r="L107" i="3"/>
  <c r="N107" i="3" s="1"/>
  <c r="B107" i="3"/>
  <c r="Z106" i="3"/>
  <c r="X106" i="3"/>
  <c r="N106" i="3"/>
  <c r="L106" i="3"/>
  <c r="B106" i="3"/>
  <c r="X105" i="3"/>
  <c r="T105" i="3"/>
  <c r="Z105" i="3" s="1"/>
  <c r="P105" i="3"/>
  <c r="H105" i="3"/>
  <c r="D105" i="3"/>
  <c r="Z103" i="3"/>
  <c r="T103" i="3"/>
  <c r="P103" i="3"/>
  <c r="X103" i="3" s="1"/>
  <c r="L103" i="3"/>
  <c r="H103" i="3"/>
  <c r="N103" i="3" s="1"/>
  <c r="D103" i="3"/>
  <c r="B103" i="3"/>
  <c r="T102" i="3"/>
  <c r="P102" i="3"/>
  <c r="N102" i="3"/>
  <c r="H102" i="3"/>
  <c r="D102" i="3"/>
  <c r="L102" i="3" s="1"/>
  <c r="B102" i="3"/>
  <c r="T101" i="3"/>
  <c r="P101" i="3"/>
  <c r="X101" i="3" s="1"/>
  <c r="Z101" i="3" s="1"/>
  <c r="L101" i="3"/>
  <c r="H101" i="3"/>
  <c r="N101" i="3" s="1"/>
  <c r="D101" i="3"/>
  <c r="B101" i="3"/>
  <c r="T100" i="3"/>
  <c r="P100" i="3"/>
  <c r="X100" i="3" s="1"/>
  <c r="N100" i="3"/>
  <c r="L100" i="3"/>
  <c r="H100" i="3"/>
  <c r="D100" i="3"/>
  <c r="B100" i="3"/>
  <c r="X99" i="3"/>
  <c r="T99" i="3"/>
  <c r="Z99" i="3" s="1"/>
  <c r="P99" i="3"/>
  <c r="H99" i="3"/>
  <c r="D99" i="3"/>
  <c r="L99" i="3" s="1"/>
  <c r="N99" i="3" s="1"/>
  <c r="B99" i="3"/>
  <c r="T98" i="3"/>
  <c r="P98" i="3"/>
  <c r="X98" i="3" s="1"/>
  <c r="Z98" i="3" s="1"/>
  <c r="H98" i="3"/>
  <c r="D98" i="3"/>
  <c r="B98" i="3"/>
  <c r="X97" i="3"/>
  <c r="T97" i="3"/>
  <c r="Z97" i="3" s="1"/>
  <c r="P97" i="3"/>
  <c r="H97" i="3"/>
  <c r="D97" i="3"/>
  <c r="L97" i="3" s="1"/>
  <c r="N97" i="3" s="1"/>
  <c r="B97" i="3"/>
  <c r="Z96" i="3"/>
  <c r="X96" i="3"/>
  <c r="T96" i="3"/>
  <c r="P96" i="3"/>
  <c r="H96" i="3"/>
  <c r="N96" i="3" s="1"/>
  <c r="D96" i="3"/>
  <c r="L96" i="3" s="1"/>
  <c r="B96" i="3"/>
  <c r="Z95" i="3"/>
  <c r="T95" i="3"/>
  <c r="P95" i="3"/>
  <c r="X95" i="3" s="1"/>
  <c r="L95" i="3"/>
  <c r="H95" i="3"/>
  <c r="N95" i="3" s="1"/>
  <c r="D95" i="3"/>
  <c r="B95" i="3"/>
  <c r="T94" i="3"/>
  <c r="P94" i="3"/>
  <c r="H94" i="3"/>
  <c r="D94" i="3"/>
  <c r="L94" i="3" s="1"/>
  <c r="N94" i="3" s="1"/>
  <c r="B94" i="3"/>
  <c r="T93" i="3"/>
  <c r="P93" i="3"/>
  <c r="X93" i="3" s="1"/>
  <c r="Z93" i="3" s="1"/>
  <c r="L93" i="3"/>
  <c r="H93" i="3"/>
  <c r="N93" i="3" s="1"/>
  <c r="D93" i="3"/>
  <c r="B93" i="3"/>
  <c r="T92" i="3"/>
  <c r="P92" i="3"/>
  <c r="N92" i="3"/>
  <c r="L92" i="3"/>
  <c r="H92" i="3"/>
  <c r="D92" i="3"/>
  <c r="B92" i="3"/>
  <c r="X91" i="3"/>
  <c r="T91" i="3"/>
  <c r="Z91" i="3" s="1"/>
  <c r="P91" i="3"/>
  <c r="H91" i="3"/>
  <c r="D91" i="3"/>
  <c r="L91" i="3" s="1"/>
  <c r="N91" i="3" s="1"/>
  <c r="B91" i="3"/>
  <c r="Z90" i="3"/>
  <c r="T90" i="3"/>
  <c r="P90" i="3"/>
  <c r="X90" i="3" s="1"/>
  <c r="H90" i="3"/>
  <c r="N90" i="3" s="1"/>
  <c r="D90" i="3"/>
  <c r="B90" i="3"/>
  <c r="X89" i="3"/>
  <c r="T89" i="3"/>
  <c r="Z89" i="3" s="1"/>
  <c r="P89" i="3"/>
  <c r="N89" i="3"/>
  <c r="H89" i="3"/>
  <c r="D89" i="3"/>
  <c r="L89" i="3" s="1"/>
  <c r="B89" i="3"/>
  <c r="Z88" i="3"/>
  <c r="X88" i="3"/>
  <c r="T88" i="3"/>
  <c r="P88" i="3"/>
  <c r="H88" i="3"/>
  <c r="D88" i="3"/>
  <c r="B88" i="3"/>
  <c r="T87" i="3"/>
  <c r="P87" i="3"/>
  <c r="X87" i="3" s="1"/>
  <c r="Z87" i="3" s="1"/>
  <c r="L87" i="3"/>
  <c r="H87" i="3"/>
  <c r="D87" i="3"/>
  <c r="B87" i="3"/>
  <c r="T86" i="3"/>
  <c r="P86" i="3"/>
  <c r="N86" i="3"/>
  <c r="H86" i="3"/>
  <c r="D86" i="3"/>
  <c r="L86" i="3" s="1"/>
  <c r="B86" i="3"/>
  <c r="T85" i="3"/>
  <c r="P85" i="3"/>
  <c r="X85" i="3" s="1"/>
  <c r="Z85" i="3" s="1"/>
  <c r="L85" i="3"/>
  <c r="H85" i="3"/>
  <c r="N85" i="3" s="1"/>
  <c r="D85" i="3"/>
  <c r="B85" i="3"/>
  <c r="T84" i="3"/>
  <c r="P84" i="3"/>
  <c r="N84" i="3"/>
  <c r="L84" i="3"/>
  <c r="H84" i="3"/>
  <c r="D84" i="3"/>
  <c r="B84" i="3"/>
  <c r="X83" i="3"/>
  <c r="T83" i="3"/>
  <c r="Z83" i="3" s="1"/>
  <c r="P83" i="3"/>
  <c r="H83" i="3"/>
  <c r="D83" i="3"/>
  <c r="L83" i="3" s="1"/>
  <c r="N83" i="3" s="1"/>
  <c r="B83" i="3"/>
  <c r="Z82" i="3"/>
  <c r="T82" i="3"/>
  <c r="P82" i="3"/>
  <c r="X82" i="3" s="1"/>
  <c r="H82" i="3"/>
  <c r="D82" i="3"/>
  <c r="B82" i="3"/>
  <c r="X81" i="3"/>
  <c r="T81" i="3"/>
  <c r="Z81" i="3" s="1"/>
  <c r="P81" i="3"/>
  <c r="N81" i="3"/>
  <c r="H81" i="3"/>
  <c r="D81" i="3"/>
  <c r="L81" i="3" s="1"/>
  <c r="B81" i="3"/>
  <c r="Z80" i="3"/>
  <c r="X80" i="3"/>
  <c r="T80" i="3"/>
  <c r="P80" i="3"/>
  <c r="H80" i="3"/>
  <c r="D80" i="3"/>
  <c r="B80" i="3"/>
  <c r="T79" i="3"/>
  <c r="P79" i="3"/>
  <c r="X79" i="3" s="1"/>
  <c r="Z79" i="3" s="1"/>
  <c r="L79" i="3"/>
  <c r="H79" i="3"/>
  <c r="N79" i="3" s="1"/>
  <c r="D79" i="3"/>
  <c r="B79" i="3"/>
  <c r="T78" i="3"/>
  <c r="P78" i="3"/>
  <c r="N78" i="3"/>
  <c r="H78" i="3"/>
  <c r="D78" i="3"/>
  <c r="L78" i="3" s="1"/>
  <c r="B78" i="3"/>
  <c r="T77" i="3"/>
  <c r="P77" i="3"/>
  <c r="X77" i="3" s="1"/>
  <c r="Z77" i="3" s="1"/>
  <c r="L77" i="3"/>
  <c r="H77" i="3"/>
  <c r="N77" i="3" s="1"/>
  <c r="D77" i="3"/>
  <c r="B77" i="3"/>
  <c r="T76" i="3"/>
  <c r="P76" i="3"/>
  <c r="N76" i="3"/>
  <c r="L76" i="3"/>
  <c r="H76" i="3"/>
  <c r="D76" i="3"/>
  <c r="B76" i="3"/>
  <c r="X75" i="3"/>
  <c r="T75" i="3"/>
  <c r="Z75" i="3" s="1"/>
  <c r="P75" i="3"/>
  <c r="N75" i="3"/>
  <c r="H75" i="3"/>
  <c r="D75" i="3"/>
  <c r="L75" i="3" s="1"/>
  <c r="B75" i="3"/>
  <c r="T74" i="3"/>
  <c r="P74" i="3"/>
  <c r="X74" i="3" s="1"/>
  <c r="Z74" i="3" s="1"/>
  <c r="H74" i="3"/>
  <c r="D74" i="3"/>
  <c r="B74" i="3"/>
  <c r="X73" i="3"/>
  <c r="T73" i="3"/>
  <c r="Z73" i="3" s="1"/>
  <c r="P73" i="3"/>
  <c r="H73" i="3"/>
  <c r="D73" i="3"/>
  <c r="L73" i="3" s="1"/>
  <c r="N73" i="3" s="1"/>
  <c r="B73" i="3"/>
  <c r="Z72" i="3"/>
  <c r="X72" i="3"/>
  <c r="T72" i="3"/>
  <c r="P72" i="3"/>
  <c r="H72" i="3"/>
  <c r="D72" i="3"/>
  <c r="L72" i="3" s="1"/>
  <c r="B72" i="3"/>
  <c r="T71" i="3"/>
  <c r="P71" i="3"/>
  <c r="X71" i="3" s="1"/>
  <c r="Z71" i="3" s="1"/>
  <c r="L71" i="3"/>
  <c r="H71" i="3"/>
  <c r="D71" i="3"/>
  <c r="B71" i="3"/>
  <c r="T70" i="3"/>
  <c r="P70" i="3"/>
  <c r="H70" i="3"/>
  <c r="D70" i="3"/>
  <c r="L70" i="3" s="1"/>
  <c r="N70" i="3" s="1"/>
  <c r="B70" i="3"/>
  <c r="Z69" i="3"/>
  <c r="T69" i="3"/>
  <c r="P69" i="3"/>
  <c r="X69" i="3" s="1"/>
  <c r="L69" i="3"/>
  <c r="H69" i="3"/>
  <c r="N69" i="3" s="1"/>
  <c r="D69" i="3"/>
  <c r="B69" i="3"/>
  <c r="T68" i="3"/>
  <c r="P68" i="3"/>
  <c r="X68" i="3" s="1"/>
  <c r="N68" i="3"/>
  <c r="L68" i="3"/>
  <c r="H68" i="3"/>
  <c r="D68" i="3"/>
  <c r="B68" i="3"/>
  <c r="X67" i="3"/>
  <c r="T67" i="3"/>
  <c r="P67" i="3"/>
  <c r="H67" i="3"/>
  <c r="D67" i="3"/>
  <c r="L67" i="3" s="1"/>
  <c r="N67" i="3" s="1"/>
  <c r="B67" i="3"/>
  <c r="T66" i="3"/>
  <c r="P66" i="3"/>
  <c r="X66" i="3" s="1"/>
  <c r="Z66" i="3" s="1"/>
  <c r="H66" i="3"/>
  <c r="D66" i="3"/>
  <c r="B66" i="3"/>
  <c r="X65" i="3"/>
  <c r="T65" i="3"/>
  <c r="Z65" i="3" s="1"/>
  <c r="P65" i="3"/>
  <c r="H65" i="3"/>
  <c r="D65" i="3"/>
  <c r="L65" i="3" s="1"/>
  <c r="N65" i="3" s="1"/>
  <c r="B65" i="3"/>
  <c r="Z64" i="3"/>
  <c r="X64" i="3"/>
  <c r="T64" i="3"/>
  <c r="P64" i="3"/>
  <c r="H64" i="3"/>
  <c r="N64" i="3" s="1"/>
  <c r="D64" i="3"/>
  <c r="L64" i="3" s="1"/>
  <c r="B64" i="3"/>
  <c r="T63" i="3"/>
  <c r="P63" i="3"/>
  <c r="X63" i="3" s="1"/>
  <c r="Z63" i="3" s="1"/>
  <c r="L63" i="3"/>
  <c r="H63" i="3"/>
  <c r="N63" i="3" s="1"/>
  <c r="D63" i="3"/>
  <c r="B63" i="3"/>
  <c r="T62" i="3"/>
  <c r="P62" i="3"/>
  <c r="H62" i="3"/>
  <c r="D62" i="3"/>
  <c r="L62" i="3" s="1"/>
  <c r="N62" i="3" s="1"/>
  <c r="B62" i="3"/>
  <c r="T61" i="3"/>
  <c r="P61" i="3"/>
  <c r="X61" i="3" s="1"/>
  <c r="Z61" i="3" s="1"/>
  <c r="L61" i="3"/>
  <c r="H61" i="3"/>
  <c r="N61" i="3" s="1"/>
  <c r="D61" i="3"/>
  <c r="B61" i="3"/>
  <c r="T60" i="3"/>
  <c r="P60" i="3"/>
  <c r="X60" i="3" s="1"/>
  <c r="N60" i="3"/>
  <c r="L60" i="3"/>
  <c r="H60" i="3"/>
  <c r="D60" i="3"/>
  <c r="B60" i="3"/>
  <c r="X59" i="3"/>
  <c r="T59" i="3"/>
  <c r="P59" i="3"/>
  <c r="H59" i="3"/>
  <c r="D59" i="3"/>
  <c r="L59" i="3" s="1"/>
  <c r="N59" i="3" s="1"/>
  <c r="B59" i="3"/>
  <c r="Z58" i="3"/>
  <c r="T58" i="3"/>
  <c r="P58" i="3"/>
  <c r="X58" i="3" s="1"/>
  <c r="H58" i="3"/>
  <c r="N58" i="3" s="1"/>
  <c r="D58" i="3"/>
  <c r="B58" i="3"/>
  <c r="X57" i="3"/>
  <c r="T57" i="3"/>
  <c r="Z57" i="3" s="1"/>
  <c r="P57" i="3"/>
  <c r="N57" i="3"/>
  <c r="H57" i="3"/>
  <c r="D57" i="3"/>
  <c r="L57" i="3" s="1"/>
  <c r="B57" i="3"/>
  <c r="Z56" i="3"/>
  <c r="X56" i="3"/>
  <c r="T56" i="3"/>
  <c r="P56" i="3"/>
  <c r="H56" i="3"/>
  <c r="N56" i="3" s="1"/>
  <c r="D56" i="3"/>
  <c r="L56" i="3" s="1"/>
  <c r="B56" i="3"/>
  <c r="T55" i="3"/>
  <c r="P55" i="3"/>
  <c r="X55" i="3" s="1"/>
  <c r="Z55" i="3" s="1"/>
  <c r="L55" i="3"/>
  <c r="H55" i="3"/>
  <c r="N55" i="3" s="1"/>
  <c r="D55" i="3"/>
  <c r="B55" i="3"/>
  <c r="T54" i="3"/>
  <c r="P54" i="3"/>
  <c r="N54" i="3"/>
  <c r="H54" i="3"/>
  <c r="D54" i="3"/>
  <c r="L54" i="3" s="1"/>
  <c r="B54" i="3"/>
  <c r="T53" i="3"/>
  <c r="P53" i="3"/>
  <c r="X53" i="3" s="1"/>
  <c r="Z53" i="3" s="1"/>
  <c r="L53" i="3"/>
  <c r="H53" i="3"/>
  <c r="N53" i="3" s="1"/>
  <c r="D53" i="3"/>
  <c r="B53" i="3"/>
  <c r="T52" i="3"/>
  <c r="P52" i="3"/>
  <c r="X52" i="3" s="1"/>
  <c r="N52" i="3"/>
  <c r="L52" i="3"/>
  <c r="H52" i="3"/>
  <c r="D52" i="3"/>
  <c r="B52" i="3"/>
  <c r="X51" i="3"/>
  <c r="T51" i="3"/>
  <c r="P51" i="3"/>
  <c r="N51" i="3"/>
  <c r="H51" i="3"/>
  <c r="D51" i="3"/>
  <c r="L51" i="3" s="1"/>
  <c r="B51" i="3"/>
  <c r="Z50" i="3"/>
  <c r="T50" i="3"/>
  <c r="P50" i="3"/>
  <c r="X50" i="3" s="1"/>
  <c r="H50" i="3"/>
  <c r="N50" i="3" s="1"/>
  <c r="D50" i="3"/>
  <c r="B50" i="3"/>
  <c r="X49" i="3"/>
  <c r="T49" i="3"/>
  <c r="Z49" i="3" s="1"/>
  <c r="P49" i="3"/>
  <c r="H49" i="3"/>
  <c r="D49" i="3"/>
  <c r="L49" i="3" s="1"/>
  <c r="N49" i="3" s="1"/>
  <c r="B49" i="3"/>
  <c r="Z48" i="3"/>
  <c r="X48" i="3"/>
  <c r="T48" i="3"/>
  <c r="P48" i="3"/>
  <c r="H48" i="3"/>
  <c r="D48" i="3"/>
  <c r="L48" i="3" s="1"/>
  <c r="B48" i="3"/>
  <c r="T47" i="3"/>
  <c r="P47" i="3"/>
  <c r="X47" i="3" s="1"/>
  <c r="Z47" i="3" s="1"/>
  <c r="L47" i="3"/>
  <c r="H47" i="3"/>
  <c r="N47" i="3" s="1"/>
  <c r="D47" i="3"/>
  <c r="B47" i="3"/>
  <c r="T46" i="3"/>
  <c r="P46" i="3"/>
  <c r="N46" i="3"/>
  <c r="H46" i="3"/>
  <c r="D46" i="3"/>
  <c r="L46" i="3" s="1"/>
  <c r="B46" i="3"/>
  <c r="T45" i="3"/>
  <c r="P45" i="3"/>
  <c r="X45" i="3" s="1"/>
  <c r="Z45" i="3" s="1"/>
  <c r="L45" i="3"/>
  <c r="H45" i="3"/>
  <c r="N45" i="3" s="1"/>
  <c r="D45" i="3"/>
  <c r="B45" i="3"/>
  <c r="T44" i="3"/>
  <c r="P44" i="3"/>
  <c r="X44" i="3" s="1"/>
  <c r="N44" i="3"/>
  <c r="L44" i="3"/>
  <c r="H44" i="3"/>
  <c r="D44" i="3"/>
  <c r="B44" i="3"/>
  <c r="X43" i="3"/>
  <c r="T43" i="3"/>
  <c r="P43" i="3"/>
  <c r="H43" i="3"/>
  <c r="D43" i="3"/>
  <c r="L43" i="3" s="1"/>
  <c r="N43" i="3" s="1"/>
  <c r="B43" i="3"/>
  <c r="T42" i="3"/>
  <c r="P42" i="3"/>
  <c r="X42" i="3" s="1"/>
  <c r="Z42" i="3" s="1"/>
  <c r="H42" i="3"/>
  <c r="D42" i="3"/>
  <c r="B42" i="3"/>
  <c r="X41" i="3"/>
  <c r="T41" i="3"/>
  <c r="Z41" i="3" s="1"/>
  <c r="P41" i="3"/>
  <c r="H41" i="3"/>
  <c r="D41" i="3"/>
  <c r="L41" i="3" s="1"/>
  <c r="N41" i="3" s="1"/>
  <c r="B41" i="3"/>
  <c r="Z40" i="3"/>
  <c r="X40" i="3"/>
  <c r="T40" i="3"/>
  <c r="P40" i="3"/>
  <c r="H40" i="3"/>
  <c r="D40" i="3"/>
  <c r="L40" i="3" s="1"/>
  <c r="B40" i="3"/>
  <c r="T39" i="3"/>
  <c r="P39" i="3"/>
  <c r="X39" i="3" s="1"/>
  <c r="Z39" i="3" s="1"/>
  <c r="L39" i="3"/>
  <c r="H39" i="3"/>
  <c r="N39" i="3" s="1"/>
  <c r="D39" i="3"/>
  <c r="B39" i="3"/>
  <c r="T38" i="3"/>
  <c r="P38" i="3"/>
  <c r="H38" i="3"/>
  <c r="D38" i="3"/>
  <c r="L38" i="3" s="1"/>
  <c r="N38" i="3" s="1"/>
  <c r="B38" i="3"/>
  <c r="T37" i="3"/>
  <c r="P37" i="3"/>
  <c r="X37" i="3" s="1"/>
  <c r="Z37" i="3" s="1"/>
  <c r="L37" i="3"/>
  <c r="H37" i="3"/>
  <c r="N37" i="3" s="1"/>
  <c r="D37" i="3"/>
  <c r="B37" i="3"/>
  <c r="T36" i="3"/>
  <c r="Z36" i="3" s="1"/>
  <c r="P36" i="3"/>
  <c r="X36" i="3" s="1"/>
  <c r="N36" i="3"/>
  <c r="L36" i="3"/>
  <c r="H36" i="3"/>
  <c r="D36" i="3"/>
  <c r="B36" i="3"/>
  <c r="X35" i="3"/>
  <c r="T35" i="3"/>
  <c r="P35" i="3"/>
  <c r="H35" i="3"/>
  <c r="D35" i="3"/>
  <c r="L35" i="3" s="1"/>
  <c r="N35" i="3" s="1"/>
  <c r="B35" i="3"/>
  <c r="Z34" i="3"/>
  <c r="T34" i="3"/>
  <c r="P34" i="3"/>
  <c r="X34" i="3" s="1"/>
  <c r="H34" i="3"/>
  <c r="D34" i="3"/>
  <c r="B34" i="3"/>
  <c r="X33" i="3"/>
  <c r="T33" i="3"/>
  <c r="Z33" i="3" s="1"/>
  <c r="P33" i="3"/>
  <c r="H33" i="3"/>
  <c r="D33" i="3"/>
  <c r="L33" i="3" s="1"/>
  <c r="N33" i="3" s="1"/>
  <c r="B33" i="3"/>
  <c r="Z32" i="3"/>
  <c r="X32" i="3"/>
  <c r="T32" i="3"/>
  <c r="P32" i="3"/>
  <c r="H32" i="3"/>
  <c r="D32" i="3"/>
  <c r="B32" i="3"/>
  <c r="T31" i="3"/>
  <c r="P31" i="3"/>
  <c r="X31" i="3" s="1"/>
  <c r="Z31" i="3" s="1"/>
  <c r="L31" i="3"/>
  <c r="H31" i="3"/>
  <c r="D31" i="3"/>
  <c r="B31" i="3"/>
  <c r="T30" i="3"/>
  <c r="P30" i="3"/>
  <c r="H30" i="3"/>
  <c r="D30" i="3"/>
  <c r="L30" i="3" s="1"/>
  <c r="N30" i="3" s="1"/>
  <c r="B30" i="3"/>
  <c r="T29" i="3"/>
  <c r="P29" i="3"/>
  <c r="X29" i="3" s="1"/>
  <c r="Z29" i="3" s="1"/>
  <c r="L29" i="3"/>
  <c r="H29" i="3"/>
  <c r="N29" i="3" s="1"/>
  <c r="D29" i="3"/>
  <c r="B29" i="3"/>
  <c r="T28" i="3"/>
  <c r="P28" i="3"/>
  <c r="N28" i="3"/>
  <c r="L28" i="3"/>
  <c r="H28" i="3"/>
  <c r="D28" i="3"/>
  <c r="B28" i="3"/>
  <c r="X27" i="3"/>
  <c r="T27" i="3"/>
  <c r="Z27" i="3" s="1"/>
  <c r="P27" i="3"/>
  <c r="H27" i="3"/>
  <c r="D27" i="3"/>
  <c r="L27" i="3" s="1"/>
  <c r="N27" i="3" s="1"/>
  <c r="B27" i="3"/>
  <c r="T26" i="3"/>
  <c r="P26" i="3"/>
  <c r="X26" i="3" s="1"/>
  <c r="Z26" i="3" s="1"/>
  <c r="H26" i="3"/>
  <c r="N26" i="3" s="1"/>
  <c r="D26" i="3"/>
  <c r="B26" i="3"/>
  <c r="X25" i="3"/>
  <c r="T25" i="3"/>
  <c r="Z25" i="3" s="1"/>
  <c r="P25" i="3"/>
  <c r="N25" i="3"/>
  <c r="H25" i="3"/>
  <c r="D25" i="3"/>
  <c r="L25" i="3" s="1"/>
  <c r="B25" i="3"/>
  <c r="Z24" i="3"/>
  <c r="X24" i="3"/>
  <c r="T24" i="3"/>
  <c r="P24" i="3"/>
  <c r="H24" i="3"/>
  <c r="D24" i="3"/>
  <c r="L24" i="3" s="1"/>
  <c r="B24" i="3"/>
  <c r="T23" i="3"/>
  <c r="P23" i="3"/>
  <c r="X23" i="3" s="1"/>
  <c r="Z23" i="3" s="1"/>
  <c r="L23" i="3"/>
  <c r="H23" i="3"/>
  <c r="D23" i="3"/>
  <c r="B23" i="3"/>
  <c r="T22" i="3"/>
  <c r="P22" i="3"/>
  <c r="H22" i="3"/>
  <c r="D22" i="3"/>
  <c r="L22" i="3" s="1"/>
  <c r="N22" i="3" s="1"/>
  <c r="B22" i="3"/>
  <c r="T21" i="3"/>
  <c r="P21" i="3"/>
  <c r="X21" i="3" s="1"/>
  <c r="Z21" i="3" s="1"/>
  <c r="H21" i="3"/>
  <c r="D21" i="3"/>
  <c r="B21" i="3"/>
  <c r="T20" i="3"/>
  <c r="P20" i="3"/>
  <c r="X20" i="3" s="1"/>
  <c r="L20" i="3"/>
  <c r="N20" i="3" s="1"/>
  <c r="H20" i="3"/>
  <c r="D20" i="3"/>
  <c r="B20" i="3"/>
  <c r="X19" i="3"/>
  <c r="T19" i="3"/>
  <c r="P19" i="3"/>
  <c r="H19" i="3"/>
  <c r="D19" i="3"/>
  <c r="L19" i="3" s="1"/>
  <c r="N19" i="3" s="1"/>
  <c r="B19" i="3"/>
  <c r="T18" i="3"/>
  <c r="P18" i="3"/>
  <c r="X18" i="3" s="1"/>
  <c r="Z18" i="3" s="1"/>
  <c r="H18" i="3"/>
  <c r="D18" i="3"/>
  <c r="B18" i="3"/>
  <c r="T17" i="3"/>
  <c r="P17" i="3"/>
  <c r="N17" i="3"/>
  <c r="H17" i="3"/>
  <c r="D17" i="3"/>
  <c r="L17" i="3" s="1"/>
  <c r="B17" i="3"/>
  <c r="X16" i="3"/>
  <c r="Z16" i="3" s="1"/>
  <c r="T16" i="3"/>
  <c r="P16" i="3"/>
  <c r="H16" i="3"/>
  <c r="D16" i="3"/>
  <c r="B16" i="3"/>
  <c r="T15" i="3"/>
  <c r="P15" i="3"/>
  <c r="X15" i="3" s="1"/>
  <c r="Z15" i="3" s="1"/>
  <c r="L15" i="3"/>
  <c r="H15" i="3"/>
  <c r="N15" i="3" s="1"/>
  <c r="D15" i="3"/>
  <c r="B15" i="3"/>
  <c r="T14" i="3"/>
  <c r="P14" i="3"/>
  <c r="N14" i="3"/>
  <c r="H14" i="3"/>
  <c r="D14" i="3"/>
  <c r="L14" i="3" s="1"/>
  <c r="B14" i="3"/>
  <c r="T13" i="3"/>
  <c r="P13" i="3"/>
  <c r="H13" i="3"/>
  <c r="D13" i="3"/>
  <c r="B13" i="3"/>
  <c r="D4" i="3"/>
  <c r="X25" i="20" l="1"/>
  <c r="X33" i="20"/>
  <c r="X21" i="22"/>
  <c r="X16" i="27"/>
  <c r="X34" i="30"/>
  <c r="L34" i="32"/>
  <c r="L12" i="33"/>
  <c r="L24" i="33"/>
  <c r="X33" i="98"/>
  <c r="X16" i="43"/>
  <c r="X33" i="44"/>
  <c r="X34" i="47"/>
  <c r="L33" i="17"/>
  <c r="X15" i="35"/>
  <c r="X15" i="14"/>
  <c r="X13" i="16"/>
  <c r="X33" i="16"/>
  <c r="L25" i="43"/>
  <c r="L33" i="43"/>
  <c r="X33" i="10"/>
  <c r="L21" i="13"/>
  <c r="L16" i="14"/>
  <c r="X24" i="16"/>
  <c r="L25" i="37"/>
  <c r="X25" i="4"/>
  <c r="X33" i="35"/>
  <c r="X24" i="41"/>
  <c r="X15" i="49"/>
  <c r="L20" i="50"/>
  <c r="X24" i="50"/>
  <c r="V22" i="100"/>
  <c r="X16" i="11"/>
  <c r="X24" i="17"/>
  <c r="L16" i="22"/>
  <c r="L24" i="35"/>
  <c r="X22" i="38"/>
  <c r="L21" i="43"/>
  <c r="X33" i="43"/>
  <c r="X33" i="52"/>
  <c r="L16" i="53"/>
  <c r="L22" i="32"/>
  <c r="X29" i="33"/>
  <c r="X34" i="33"/>
  <c r="L29" i="4"/>
  <c r="X13" i="7"/>
  <c r="L34" i="30"/>
  <c r="L21" i="32"/>
  <c r="X15" i="32"/>
  <c r="L22" i="52"/>
  <c r="L29" i="100"/>
  <c r="L34" i="100"/>
  <c r="X20" i="8"/>
  <c r="X25" i="32"/>
  <c r="X29" i="11"/>
  <c r="L24" i="49"/>
  <c r="X13" i="50"/>
  <c r="X24" i="98"/>
  <c r="L24" i="99"/>
  <c r="L25" i="100"/>
  <c r="L33" i="100"/>
  <c r="L22" i="5"/>
  <c r="L13" i="10"/>
  <c r="X20" i="11"/>
  <c r="L22" i="11"/>
  <c r="L34" i="19"/>
  <c r="X16" i="20"/>
  <c r="L24" i="20"/>
  <c r="X21" i="23"/>
  <c r="L29" i="23"/>
  <c r="L34" i="23"/>
  <c r="X16" i="24"/>
  <c r="L34" i="27"/>
  <c r="L33" i="29"/>
  <c r="X20" i="26"/>
  <c r="L22" i="26"/>
  <c r="L20" i="27"/>
  <c r="X21" i="47"/>
  <c r="X29" i="100"/>
  <c r="X34" i="100"/>
  <c r="L16" i="16"/>
  <c r="L13" i="17"/>
  <c r="L22" i="17"/>
  <c r="X13" i="19"/>
  <c r="X25" i="19"/>
  <c r="L24" i="22"/>
  <c r="L21" i="23"/>
  <c r="X25" i="27"/>
  <c r="L24" i="38"/>
  <c r="X22" i="40"/>
  <c r="L16" i="49"/>
  <c r="X22" i="49"/>
  <c r="L13" i="50"/>
  <c r="X29" i="98"/>
  <c r="L20" i="7"/>
  <c r="L20" i="13"/>
  <c r="X24" i="13"/>
  <c r="L29" i="14"/>
  <c r="X25" i="22"/>
  <c r="X25" i="26"/>
  <c r="L13" i="27"/>
  <c r="V25" i="29"/>
  <c r="L15" i="46"/>
  <c r="X20" i="99"/>
  <c r="X34" i="99"/>
  <c r="L24" i="100"/>
  <c r="L15" i="30"/>
  <c r="L22" i="40"/>
  <c r="L20" i="47"/>
  <c r="X16" i="98"/>
  <c r="L24" i="98"/>
  <c r="X25" i="5"/>
  <c r="L16" i="7"/>
  <c r="X22" i="7"/>
  <c r="X16" i="10"/>
  <c r="L25" i="14"/>
  <c r="P18" i="19"/>
  <c r="L20" i="19"/>
  <c r="X24" i="19"/>
  <c r="L29" i="20"/>
  <c r="X15" i="22"/>
  <c r="X29" i="22"/>
  <c r="L29" i="24"/>
  <c r="L34" i="24"/>
  <c r="X15" i="26"/>
  <c r="X29" i="26"/>
  <c r="X13" i="33"/>
  <c r="L21" i="33"/>
  <c r="X25" i="33"/>
  <c r="L33" i="41"/>
  <c r="L25" i="46"/>
  <c r="X24" i="47"/>
  <c r="L33" i="49"/>
  <c r="L21" i="11"/>
  <c r="X33" i="11"/>
  <c r="X33" i="14"/>
  <c r="L22" i="19"/>
  <c r="L13" i="22"/>
  <c r="L25" i="22"/>
  <c r="X29" i="37"/>
  <c r="X34" i="37"/>
  <c r="X24" i="38"/>
  <c r="X16" i="40"/>
  <c r="X33" i="41"/>
  <c r="X34" i="43"/>
  <c r="X22" i="47"/>
  <c r="X13" i="49"/>
  <c r="X22" i="50"/>
  <c r="X24" i="52"/>
  <c r="L22" i="10"/>
  <c r="X22" i="22"/>
  <c r="L13" i="23"/>
  <c r="L21" i="38"/>
  <c r="X25" i="38"/>
  <c r="L13" i="40"/>
  <c r="X34" i="41"/>
  <c r="L22" i="44"/>
  <c r="X34" i="44"/>
  <c r="J21" i="27"/>
  <c r="J15" i="37"/>
  <c r="X21" i="13"/>
  <c r="L22" i="29"/>
  <c r="L20" i="38"/>
  <c r="X21" i="38"/>
  <c r="X13" i="99"/>
  <c r="L13" i="11"/>
  <c r="L15" i="23"/>
  <c r="L24" i="23"/>
  <c r="L21" i="35"/>
  <c r="L29" i="40"/>
  <c r="X21" i="44"/>
  <c r="X24" i="46"/>
  <c r="X34" i="98"/>
  <c r="L29" i="5"/>
  <c r="L13" i="16"/>
  <c r="F20" i="20"/>
  <c r="J24" i="20"/>
  <c r="X20" i="46"/>
  <c r="J18" i="99"/>
  <c r="L20" i="10"/>
  <c r="L34" i="10"/>
  <c r="L25" i="13"/>
  <c r="L13" i="19"/>
  <c r="L16" i="30"/>
  <c r="V27" i="32"/>
  <c r="X33" i="32"/>
  <c r="L16" i="33"/>
  <c r="L34" i="35"/>
  <c r="X16" i="41"/>
  <c r="L34" i="41"/>
  <c r="L22" i="43"/>
  <c r="R20" i="46"/>
  <c r="X15" i="47"/>
  <c r="V27" i="47"/>
  <c r="X21" i="50"/>
  <c r="L13" i="52"/>
  <c r="L33" i="52"/>
  <c r="X20" i="53"/>
  <c r="L22" i="53"/>
  <c r="N20" i="27"/>
  <c r="R16" i="38"/>
  <c r="F27" i="19"/>
  <c r="F25" i="22"/>
  <c r="X33" i="27"/>
  <c r="V29" i="41"/>
  <c r="L13" i="44"/>
  <c r="V16" i="47"/>
  <c r="F31" i="47"/>
  <c r="L25" i="5"/>
  <c r="X15" i="7"/>
  <c r="X33" i="7"/>
  <c r="L22" i="8"/>
  <c r="L16" i="10"/>
  <c r="X34" i="13"/>
  <c r="L15" i="14"/>
  <c r="X25" i="14"/>
  <c r="L24" i="16"/>
  <c r="L21" i="17"/>
  <c r="X22" i="17"/>
  <c r="J31" i="17"/>
  <c r="X22" i="20"/>
  <c r="L21" i="22"/>
  <c r="X20" i="24"/>
  <c r="X34" i="24"/>
  <c r="L13" i="26"/>
  <c r="L34" i="26"/>
  <c r="L13" i="32"/>
  <c r="R15" i="38"/>
  <c r="J20" i="40"/>
  <c r="L24" i="43"/>
  <c r="R15" i="47"/>
  <c r="L21" i="49"/>
  <c r="J36" i="49"/>
  <c r="X13" i="98"/>
  <c r="X15" i="30"/>
  <c r="L16" i="32"/>
  <c r="L20" i="33"/>
  <c r="L22" i="35"/>
  <c r="X34" i="35"/>
  <c r="L15" i="37"/>
  <c r="L21" i="37"/>
  <c r="X25" i="37"/>
  <c r="L13" i="38"/>
  <c r="X20" i="40"/>
  <c r="X34" i="40"/>
  <c r="L15" i="41"/>
  <c r="V22" i="41"/>
  <c r="F24" i="43"/>
  <c r="L25" i="44"/>
  <c r="X33" i="46"/>
  <c r="L13" i="47"/>
  <c r="F27" i="47"/>
  <c r="X16" i="49"/>
  <c r="F21" i="49"/>
  <c r="X25" i="49"/>
  <c r="X25" i="52"/>
  <c r="L33" i="53"/>
  <c r="L25" i="98"/>
  <c r="L33" i="98"/>
  <c r="L33" i="99"/>
  <c r="J21" i="13"/>
  <c r="L13" i="4"/>
  <c r="L21" i="5"/>
  <c r="L20" i="16"/>
  <c r="X29" i="19"/>
  <c r="F15" i="20"/>
  <c r="X29" i="23"/>
  <c r="N12" i="27"/>
  <c r="F16" i="40"/>
  <c r="F18" i="99"/>
  <c r="X21" i="5"/>
  <c r="L24" i="5"/>
  <c r="X33" i="5"/>
  <c r="X29" i="7"/>
  <c r="L33" i="8"/>
  <c r="X25" i="10"/>
  <c r="X24" i="14"/>
  <c r="X29" i="16"/>
  <c r="X34" i="16"/>
  <c r="L29" i="17"/>
  <c r="X21" i="19"/>
  <c r="X21" i="20"/>
  <c r="L29" i="22"/>
  <c r="L16" i="23"/>
  <c r="V29" i="23"/>
  <c r="L15" i="24"/>
  <c r="L21" i="24"/>
  <c r="X13" i="29"/>
  <c r="H18" i="32"/>
  <c r="H27" i="32" s="1"/>
  <c r="L24" i="32"/>
  <c r="L16" i="35"/>
  <c r="L29" i="37"/>
  <c r="L34" i="37"/>
  <c r="L16" i="38"/>
  <c r="X20" i="38"/>
  <c r="X29" i="38"/>
  <c r="X13" i="40"/>
  <c r="L33" i="40"/>
  <c r="X12" i="41"/>
  <c r="L29" i="41"/>
  <c r="L15" i="44"/>
  <c r="L29" i="47"/>
  <c r="L25" i="50"/>
  <c r="L33" i="50"/>
  <c r="L15" i="52"/>
  <c r="L29" i="52"/>
  <c r="X13" i="53"/>
  <c r="X25" i="53"/>
  <c r="L13" i="99"/>
  <c r="L21" i="50"/>
  <c r="L20" i="99"/>
  <c r="L12" i="23"/>
  <c r="X22" i="23"/>
  <c r="V18" i="24"/>
  <c r="F21" i="40"/>
  <c r="L20" i="44"/>
  <c r="X29" i="46"/>
  <c r="X34" i="46"/>
  <c r="X20" i="49"/>
  <c r="X29" i="49"/>
  <c r="X16" i="50"/>
  <c r="F21" i="50"/>
  <c r="X15" i="52"/>
  <c r="L15" i="53"/>
  <c r="X21" i="53"/>
  <c r="L29" i="53"/>
  <c r="L34" i="53"/>
  <c r="L29" i="98"/>
  <c r="L34" i="98"/>
  <c r="L34" i="99"/>
  <c r="V34" i="4"/>
  <c r="X15" i="5"/>
  <c r="V16" i="7"/>
  <c r="L29" i="7"/>
  <c r="X34" i="7"/>
  <c r="Z20" i="8"/>
  <c r="F22" i="8"/>
  <c r="X24" i="8"/>
  <c r="X21" i="10"/>
  <c r="X22" i="10"/>
  <c r="F18" i="11"/>
  <c r="J25" i="11"/>
  <c r="L34" i="11"/>
  <c r="R36" i="13"/>
  <c r="X21" i="14"/>
  <c r="X29" i="14"/>
  <c r="F24" i="17"/>
  <c r="F34" i="17"/>
  <c r="F31" i="17"/>
  <c r="F27" i="17"/>
  <c r="L22" i="4"/>
  <c r="X24" i="4"/>
  <c r="V27" i="4"/>
  <c r="X33" i="4"/>
  <c r="X29" i="5"/>
  <c r="T18" i="7"/>
  <c r="Z18" i="7" s="1"/>
  <c r="X12" i="8"/>
  <c r="L15" i="8"/>
  <c r="L20" i="11"/>
  <c r="L24" i="11"/>
  <c r="L22" i="13"/>
  <c r="X29" i="13"/>
  <c r="V33" i="13"/>
  <c r="V36" i="13"/>
  <c r="F20" i="14"/>
  <c r="R20" i="20"/>
  <c r="R21" i="20"/>
  <c r="R33" i="20"/>
  <c r="R22" i="20"/>
  <c r="R36" i="20"/>
  <c r="V36" i="33"/>
  <c r="V18" i="33"/>
  <c r="R34" i="43"/>
  <c r="R29" i="43"/>
  <c r="R24" i="43"/>
  <c r="R33" i="43"/>
  <c r="R15" i="43"/>
  <c r="R36" i="43"/>
  <c r="R16" i="43"/>
  <c r="F22" i="46"/>
  <c r="F16" i="46"/>
  <c r="Z29" i="99"/>
  <c r="X29" i="99"/>
  <c r="P18" i="4"/>
  <c r="P27" i="4" s="1"/>
  <c r="R20" i="5"/>
  <c r="L21" i="7"/>
  <c r="V36" i="7"/>
  <c r="V21" i="10"/>
  <c r="R34" i="10"/>
  <c r="J31" i="11"/>
  <c r="J34" i="11"/>
  <c r="F21" i="16"/>
  <c r="F22" i="16"/>
  <c r="F36" i="16"/>
  <c r="Z29" i="27"/>
  <c r="X29" i="27"/>
  <c r="R15" i="4"/>
  <c r="V16" i="4"/>
  <c r="L21" i="4"/>
  <c r="X22" i="4"/>
  <c r="R24" i="5"/>
  <c r="R25" i="5"/>
  <c r="V33" i="7"/>
  <c r="V18" i="8"/>
  <c r="X34" i="8"/>
  <c r="X20" i="10"/>
  <c r="N12" i="11"/>
  <c r="J27" i="11"/>
  <c r="X34" i="11"/>
  <c r="Z12" i="13"/>
  <c r="V29" i="13"/>
  <c r="L33" i="14"/>
  <c r="J21" i="16"/>
  <c r="J24" i="16"/>
  <c r="J24" i="44"/>
  <c r="J31" i="44"/>
  <c r="J21" i="44"/>
  <c r="H18" i="44"/>
  <c r="H27" i="44" s="1"/>
  <c r="J15" i="44"/>
  <c r="J27" i="44"/>
  <c r="X20" i="7"/>
  <c r="X21" i="7"/>
  <c r="V29" i="7"/>
  <c r="L13" i="8"/>
  <c r="X13" i="10"/>
  <c r="V27" i="10"/>
  <c r="X15" i="13"/>
  <c r="V18" i="13"/>
  <c r="V31" i="13"/>
  <c r="X22" i="16"/>
  <c r="V25" i="19"/>
  <c r="V29" i="19"/>
  <c r="V15" i="19"/>
  <c r="V18" i="19"/>
  <c r="J36" i="35"/>
  <c r="J18" i="35"/>
  <c r="J33" i="35"/>
  <c r="H18" i="35"/>
  <c r="N18" i="35" s="1"/>
  <c r="J27" i="35"/>
  <c r="N12" i="35"/>
  <c r="Z25" i="35"/>
  <c r="X25" i="35"/>
  <c r="X29" i="41"/>
  <c r="R20" i="43"/>
  <c r="V25" i="49"/>
  <c r="V33" i="49"/>
  <c r="F20" i="4"/>
  <c r="X29" i="4"/>
  <c r="L34" i="4"/>
  <c r="L33" i="5"/>
  <c r="R21" i="7"/>
  <c r="L24" i="8"/>
  <c r="L29" i="10"/>
  <c r="R15" i="13"/>
  <c r="L33" i="13"/>
  <c r="L22" i="14"/>
  <c r="V34" i="16"/>
  <c r="V22" i="16"/>
  <c r="L21" i="16"/>
  <c r="R34" i="29"/>
  <c r="R15" i="29"/>
  <c r="R36" i="29"/>
  <c r="R16" i="29"/>
  <c r="F20" i="30"/>
  <c r="F34" i="30"/>
  <c r="Z22" i="33"/>
  <c r="X22" i="33"/>
  <c r="L20" i="40"/>
  <c r="F20" i="52"/>
  <c r="L16" i="4"/>
  <c r="X21" i="4"/>
  <c r="X34" i="4"/>
  <c r="Z12" i="7"/>
  <c r="X16" i="7"/>
  <c r="V20" i="7"/>
  <c r="V25" i="7"/>
  <c r="L33" i="7"/>
  <c r="X33" i="8"/>
  <c r="L15" i="10"/>
  <c r="V27" i="13"/>
  <c r="Z24" i="29"/>
  <c r="X24" i="29"/>
  <c r="X21" i="35"/>
  <c r="Z21" i="35"/>
  <c r="L29" i="26"/>
  <c r="V27" i="29"/>
  <c r="R36" i="44"/>
  <c r="R20" i="100"/>
  <c r="X22" i="19"/>
  <c r="L25" i="19"/>
  <c r="X33" i="19"/>
  <c r="L15" i="20"/>
  <c r="L20" i="20"/>
  <c r="J18" i="22"/>
  <c r="V21" i="23"/>
  <c r="X25" i="23"/>
  <c r="R31" i="23"/>
  <c r="X22" i="24"/>
  <c r="J21" i="26"/>
  <c r="J22" i="26"/>
  <c r="L21" i="29"/>
  <c r="X22" i="29"/>
  <c r="L29" i="29"/>
  <c r="L21" i="30"/>
  <c r="F18" i="32"/>
  <c r="F31" i="35"/>
  <c r="F34" i="35"/>
  <c r="H18" i="37"/>
  <c r="N18" i="37" s="1"/>
  <c r="X16" i="38"/>
  <c r="R20" i="38"/>
  <c r="F15" i="40"/>
  <c r="V15" i="41"/>
  <c r="Z12" i="43"/>
  <c r="F22" i="43"/>
  <c r="T18" i="47"/>
  <c r="Z18" i="47" s="1"/>
  <c r="R22" i="47"/>
  <c r="V34" i="47"/>
  <c r="J18" i="49"/>
  <c r="Z12" i="50"/>
  <c r="R29" i="52"/>
  <c r="J27" i="53"/>
  <c r="R16" i="100"/>
  <c r="L22" i="100"/>
  <c r="V34" i="17"/>
  <c r="J21" i="19"/>
  <c r="L13" i="20"/>
  <c r="X24" i="20"/>
  <c r="F15" i="23"/>
  <c r="V25" i="23"/>
  <c r="L33" i="23"/>
  <c r="V22" i="24"/>
  <c r="D18" i="27"/>
  <c r="D27" i="27" s="1"/>
  <c r="D31" i="27" s="1"/>
  <c r="F24" i="27"/>
  <c r="F25" i="27"/>
  <c r="F27" i="27"/>
  <c r="F31" i="27"/>
  <c r="V36" i="29"/>
  <c r="R31" i="30"/>
  <c r="F21" i="32"/>
  <c r="F27" i="35"/>
  <c r="X13" i="37"/>
  <c r="P18" i="37"/>
  <c r="P27" i="37" s="1"/>
  <c r="J31" i="37"/>
  <c r="V21" i="41"/>
  <c r="V27" i="41"/>
  <c r="V31" i="41"/>
  <c r="V16" i="43"/>
  <c r="J24" i="43"/>
  <c r="V15" i="47"/>
  <c r="V36" i="47"/>
  <c r="L20" i="49"/>
  <c r="J21" i="49"/>
  <c r="J25" i="49"/>
  <c r="R16" i="52"/>
  <c r="X22" i="98"/>
  <c r="L16" i="99"/>
  <c r="Z12" i="100"/>
  <c r="X15" i="100"/>
  <c r="F22" i="100"/>
  <c r="P18" i="17"/>
  <c r="P27" i="17" s="1"/>
  <c r="R18" i="17"/>
  <c r="X20" i="20"/>
  <c r="X33" i="22"/>
  <c r="Z25" i="23"/>
  <c r="Z22" i="24"/>
  <c r="V18" i="27"/>
  <c r="V16" i="29"/>
  <c r="X21" i="29"/>
  <c r="V22" i="29"/>
  <c r="L25" i="29"/>
  <c r="V33" i="29"/>
  <c r="X12" i="30"/>
  <c r="X21" i="30"/>
  <c r="L24" i="30"/>
  <c r="V18" i="32"/>
  <c r="F24" i="33"/>
  <c r="F18" i="35"/>
  <c r="R21" i="37"/>
  <c r="F18" i="38"/>
  <c r="F29" i="40"/>
  <c r="L13" i="43"/>
  <c r="X22" i="44"/>
  <c r="R29" i="46"/>
  <c r="R21" i="47"/>
  <c r="F24" i="50"/>
  <c r="R18" i="100"/>
  <c r="R15" i="17"/>
  <c r="L20" i="17"/>
  <c r="F34" i="19"/>
  <c r="D18" i="20"/>
  <c r="D27" i="20" s="1"/>
  <c r="D31" i="20" s="1"/>
  <c r="L12" i="22"/>
  <c r="F36" i="23"/>
  <c r="V21" i="24"/>
  <c r="F34" i="26"/>
  <c r="L21" i="27"/>
  <c r="L22" i="27"/>
  <c r="J24" i="27"/>
  <c r="J25" i="27"/>
  <c r="F29" i="27"/>
  <c r="V15" i="29"/>
  <c r="L20" i="32"/>
  <c r="F31" i="32"/>
  <c r="R20" i="33"/>
  <c r="L13" i="35"/>
  <c r="F21" i="35"/>
  <c r="X24" i="37"/>
  <c r="J27" i="37"/>
  <c r="F16" i="38"/>
  <c r="X20" i="41"/>
  <c r="V34" i="41"/>
  <c r="P18" i="44"/>
  <c r="P27" i="44" s="1"/>
  <c r="R15" i="46"/>
  <c r="R18" i="46"/>
  <c r="R22" i="46"/>
  <c r="J31" i="49"/>
  <c r="L16" i="50"/>
  <c r="L29" i="50"/>
  <c r="R24" i="52"/>
  <c r="J29" i="53"/>
  <c r="J33" i="53"/>
  <c r="V34" i="53"/>
  <c r="L20" i="98"/>
  <c r="X16" i="99"/>
  <c r="L29" i="99"/>
  <c r="L13" i="100"/>
  <c r="L20" i="100"/>
  <c r="L34" i="17"/>
  <c r="L16" i="20"/>
  <c r="J18" i="20"/>
  <c r="X15" i="23"/>
  <c r="D18" i="23"/>
  <c r="L25" i="23"/>
  <c r="F20" i="27"/>
  <c r="F21" i="27"/>
  <c r="X24" i="27"/>
  <c r="F36" i="27"/>
  <c r="V29" i="29"/>
  <c r="R27" i="30"/>
  <c r="X16" i="33"/>
  <c r="R22" i="38"/>
  <c r="R29" i="38"/>
  <c r="F18" i="40"/>
  <c r="X13" i="43"/>
  <c r="X29" i="43"/>
  <c r="X25" i="44"/>
  <c r="R29" i="47"/>
  <c r="L29" i="49"/>
  <c r="R18" i="52"/>
  <c r="X22" i="52"/>
  <c r="R36" i="52"/>
  <c r="J15" i="53"/>
  <c r="J36" i="53"/>
  <c r="L16" i="100"/>
  <c r="R22" i="100"/>
  <c r="V21" i="17"/>
  <c r="R25" i="17"/>
  <c r="L15" i="19"/>
  <c r="F31" i="19"/>
  <c r="F16" i="20"/>
  <c r="F24" i="20"/>
  <c r="L25" i="20"/>
  <c r="V15" i="23"/>
  <c r="L20" i="23"/>
  <c r="F25" i="23"/>
  <c r="L13" i="24"/>
  <c r="L22" i="24"/>
  <c r="X24" i="24"/>
  <c r="L12" i="27"/>
  <c r="X22" i="27"/>
  <c r="L15" i="29"/>
  <c r="V31" i="29"/>
  <c r="X34" i="29"/>
  <c r="L22" i="30"/>
  <c r="L15" i="32"/>
  <c r="F27" i="32"/>
  <c r="R16" i="33"/>
  <c r="X33" i="33"/>
  <c r="L20" i="35"/>
  <c r="R33" i="37"/>
  <c r="L25" i="38"/>
  <c r="L25" i="40"/>
  <c r="L21" i="41"/>
  <c r="L25" i="41"/>
  <c r="R29" i="41"/>
  <c r="X20" i="43"/>
  <c r="V22" i="43"/>
  <c r="R25" i="44"/>
  <c r="X21" i="46"/>
  <c r="R25" i="46"/>
  <c r="Z12" i="47"/>
  <c r="V20" i="47"/>
  <c r="V25" i="47"/>
  <c r="F15" i="49"/>
  <c r="F29" i="49"/>
  <c r="X34" i="49"/>
  <c r="X34" i="50"/>
  <c r="X13" i="52"/>
  <c r="X21" i="52"/>
  <c r="R22" i="52"/>
  <c r="J18" i="53"/>
  <c r="L16" i="98"/>
  <c r="X20" i="98"/>
  <c r="X13" i="100"/>
  <c r="F16" i="100"/>
  <c r="X21" i="100"/>
  <c r="F34" i="29"/>
  <c r="F16" i="29"/>
  <c r="F22" i="29"/>
  <c r="F20" i="29"/>
  <c r="X16" i="4"/>
  <c r="F22" i="4"/>
  <c r="L24" i="4"/>
  <c r="L25" i="4"/>
  <c r="J36" i="5"/>
  <c r="J34" i="5"/>
  <c r="J24" i="5"/>
  <c r="J21" i="5"/>
  <c r="J31" i="5"/>
  <c r="J27" i="5"/>
  <c r="N12" i="5"/>
  <c r="L15" i="5"/>
  <c r="R21" i="5"/>
  <c r="L16" i="8"/>
  <c r="L20" i="8"/>
  <c r="L25" i="8"/>
  <c r="V36" i="11"/>
  <c r="V18" i="11"/>
  <c r="L13" i="13"/>
  <c r="L29" i="13"/>
  <c r="X15" i="16"/>
  <c r="X16" i="16"/>
  <c r="L33" i="20"/>
  <c r="L15" i="22"/>
  <c r="L20" i="26"/>
  <c r="L24" i="29"/>
  <c r="N24" i="29"/>
  <c r="X13" i="32"/>
  <c r="J20" i="33"/>
  <c r="J24" i="33"/>
  <c r="N12" i="33"/>
  <c r="J15" i="33"/>
  <c r="V36" i="35"/>
  <c r="V34" i="35"/>
  <c r="V27" i="35"/>
  <c r="V18" i="35"/>
  <c r="V31" i="35"/>
  <c r="V21" i="35"/>
  <c r="Z22" i="37"/>
  <c r="X22" i="37"/>
  <c r="N29" i="26"/>
  <c r="F18" i="10"/>
  <c r="F22" i="10"/>
  <c r="F21" i="10"/>
  <c r="F34" i="10"/>
  <c r="F24" i="13"/>
  <c r="F15" i="13"/>
  <c r="D18" i="13"/>
  <c r="D27" i="13" s="1"/>
  <c r="L12" i="13"/>
  <c r="F20" i="13"/>
  <c r="J36" i="14"/>
  <c r="J18" i="14"/>
  <c r="X12" i="17"/>
  <c r="X15" i="19"/>
  <c r="J20" i="26"/>
  <c r="J27" i="26"/>
  <c r="J18" i="26"/>
  <c r="J15" i="26"/>
  <c r="J34" i="26"/>
  <c r="J33" i="26"/>
  <c r="H18" i="26"/>
  <c r="H27" i="26" s="1"/>
  <c r="J31" i="26"/>
  <c r="J36" i="26"/>
  <c r="J24" i="26"/>
  <c r="J25" i="26"/>
  <c r="V34" i="46"/>
  <c r="V22" i="46"/>
  <c r="V18" i="46"/>
  <c r="Z12" i="46"/>
  <c r="V20" i="46"/>
  <c r="V16" i="46"/>
  <c r="X20" i="52"/>
  <c r="Z20" i="52"/>
  <c r="X16" i="100"/>
  <c r="Z16" i="100"/>
  <c r="R22" i="5"/>
  <c r="F22" i="7"/>
  <c r="F15" i="7"/>
  <c r="F21" i="7"/>
  <c r="F25" i="7"/>
  <c r="F20" i="7"/>
  <c r="F29" i="7"/>
  <c r="F21" i="14"/>
  <c r="F34" i="14"/>
  <c r="F31" i="14"/>
  <c r="F27" i="14"/>
  <c r="L33" i="35"/>
  <c r="N33" i="35"/>
  <c r="Z16" i="4"/>
  <c r="F36" i="7"/>
  <c r="X20" i="4"/>
  <c r="R24" i="4"/>
  <c r="J22" i="10"/>
  <c r="H18" i="10"/>
  <c r="H27" i="10" s="1"/>
  <c r="J33" i="10"/>
  <c r="J29" i="10"/>
  <c r="J15" i="10"/>
  <c r="J25" i="10"/>
  <c r="F31" i="10"/>
  <c r="R16" i="11"/>
  <c r="R34" i="14"/>
  <c r="R15" i="14"/>
  <c r="R22" i="14"/>
  <c r="R20" i="14"/>
  <c r="R16" i="14"/>
  <c r="R33" i="14"/>
  <c r="R29" i="14"/>
  <c r="R25" i="14"/>
  <c r="V27" i="17"/>
  <c r="N12" i="19"/>
  <c r="N12" i="26"/>
  <c r="J22" i="33"/>
  <c r="L25" i="35"/>
  <c r="N25" i="35"/>
  <c r="V24" i="37"/>
  <c r="V25" i="37"/>
  <c r="V34" i="37"/>
  <c r="V31" i="37"/>
  <c r="T18" i="37"/>
  <c r="T27" i="37" s="1"/>
  <c r="V20" i="37"/>
  <c r="V33" i="37"/>
  <c r="V29" i="37"/>
  <c r="V21" i="37"/>
  <c r="V36" i="37"/>
  <c r="V22" i="37"/>
  <c r="Z12" i="37"/>
  <c r="V27" i="37"/>
  <c r="V15" i="37"/>
  <c r="V24" i="17"/>
  <c r="V29" i="17"/>
  <c r="V36" i="17"/>
  <c r="V25" i="17"/>
  <c r="V18" i="17"/>
  <c r="V15" i="17"/>
  <c r="V33" i="17"/>
  <c r="J20" i="7"/>
  <c r="J24" i="7"/>
  <c r="X20" i="5"/>
  <c r="X34" i="5"/>
  <c r="D18" i="7"/>
  <c r="D27" i="7" s="1"/>
  <c r="F27" i="10"/>
  <c r="X12" i="4"/>
  <c r="L15" i="4"/>
  <c r="F16" i="4"/>
  <c r="R18" i="4"/>
  <c r="V20" i="4"/>
  <c r="V21" i="4"/>
  <c r="F31" i="4"/>
  <c r="F34" i="4"/>
  <c r="R15" i="5"/>
  <c r="X16" i="5"/>
  <c r="Z34" i="5"/>
  <c r="H18" i="7"/>
  <c r="X15" i="11"/>
  <c r="F16" i="13"/>
  <c r="F22" i="14"/>
  <c r="L29" i="16"/>
  <c r="R20" i="19"/>
  <c r="R25" i="19"/>
  <c r="R15" i="19"/>
  <c r="X12" i="19"/>
  <c r="R29" i="19"/>
  <c r="R33" i="19"/>
  <c r="R34" i="20"/>
  <c r="R25" i="20"/>
  <c r="R24" i="20"/>
  <c r="R16" i="20"/>
  <c r="R29" i="20"/>
  <c r="R15" i="20"/>
  <c r="R18" i="20"/>
  <c r="R21" i="30"/>
  <c r="R33" i="30"/>
  <c r="R29" i="30"/>
  <c r="R25" i="30"/>
  <c r="R18" i="30"/>
  <c r="P18" i="30"/>
  <c r="P27" i="30" s="1"/>
  <c r="P31" i="30" s="1"/>
  <c r="R15" i="30"/>
  <c r="R20" i="30"/>
  <c r="R16" i="30"/>
  <c r="Z15" i="33"/>
  <c r="X15" i="33"/>
  <c r="J18" i="33"/>
  <c r="X12" i="37"/>
  <c r="R21" i="11"/>
  <c r="R24" i="11"/>
  <c r="F16" i="14"/>
  <c r="R16" i="5"/>
  <c r="R34" i="8"/>
  <c r="R24" i="8"/>
  <c r="F18" i="4"/>
  <c r="R22" i="4"/>
  <c r="L12" i="7"/>
  <c r="V24" i="8"/>
  <c r="V36" i="8"/>
  <c r="V22" i="8"/>
  <c r="V21" i="8"/>
  <c r="V20" i="8"/>
  <c r="V34" i="8"/>
  <c r="V27" i="8"/>
  <c r="V16" i="8"/>
  <c r="Z12" i="8"/>
  <c r="Z12" i="4"/>
  <c r="V18" i="4"/>
  <c r="Z20" i="4"/>
  <c r="V22" i="4"/>
  <c r="F27" i="4"/>
  <c r="V31" i="4"/>
  <c r="J18" i="5"/>
  <c r="F16" i="7"/>
  <c r="X24" i="7"/>
  <c r="V33" i="8"/>
  <c r="J20" i="11"/>
  <c r="J15" i="11"/>
  <c r="J36" i="11"/>
  <c r="J22" i="11"/>
  <c r="J24" i="11"/>
  <c r="J18" i="11"/>
  <c r="X13" i="11"/>
  <c r="J33" i="11"/>
  <c r="J24" i="13"/>
  <c r="F31" i="13"/>
  <c r="F34" i="13"/>
  <c r="R18" i="14"/>
  <c r="R36" i="14"/>
  <c r="F34" i="16"/>
  <c r="F33" i="16"/>
  <c r="F15" i="16"/>
  <c r="F18" i="16"/>
  <c r="F16" i="16"/>
  <c r="F25" i="16"/>
  <c r="F24" i="16"/>
  <c r="F29" i="16"/>
  <c r="X34" i="17"/>
  <c r="V24" i="19"/>
  <c r="V34" i="19"/>
  <c r="V31" i="19"/>
  <c r="V33" i="19"/>
  <c r="V21" i="19"/>
  <c r="V27" i="19"/>
  <c r="V22" i="19"/>
  <c r="V36" i="19"/>
  <c r="L20" i="22"/>
  <c r="X20" i="23"/>
  <c r="Z29" i="23"/>
  <c r="V36" i="26"/>
  <c r="V27" i="26"/>
  <c r="V18" i="26"/>
  <c r="V21" i="26"/>
  <c r="Z12" i="26"/>
  <c r="V16" i="26"/>
  <c r="V34" i="26"/>
  <c r="R31" i="26"/>
  <c r="X15" i="27"/>
  <c r="R22" i="30"/>
  <c r="L25" i="32"/>
  <c r="X29" i="35"/>
  <c r="N21" i="46"/>
  <c r="L21" i="46"/>
  <c r="R34" i="5"/>
  <c r="R36" i="5"/>
  <c r="P18" i="5"/>
  <c r="P27" i="5" s="1"/>
  <c r="N21" i="47"/>
  <c r="L21" i="47"/>
  <c r="L20" i="4"/>
  <c r="L33" i="4"/>
  <c r="X13" i="5"/>
  <c r="J22" i="5"/>
  <c r="X24" i="5"/>
  <c r="R29" i="5"/>
  <c r="J15" i="7"/>
  <c r="F33" i="7"/>
  <c r="L34" i="7"/>
  <c r="N34" i="7"/>
  <c r="R18" i="8"/>
  <c r="L21" i="8"/>
  <c r="X18" i="9"/>
  <c r="Z18" i="9" s="1"/>
  <c r="J21" i="10"/>
  <c r="L25" i="10"/>
  <c r="F27" i="13"/>
  <c r="L20" i="14"/>
  <c r="V22" i="17"/>
  <c r="R36" i="22"/>
  <c r="R21" i="22"/>
  <c r="R24" i="22"/>
  <c r="R20" i="22"/>
  <c r="R16" i="22"/>
  <c r="X22" i="32"/>
  <c r="N13" i="33"/>
  <c r="L13" i="33"/>
  <c r="V34" i="40"/>
  <c r="V22" i="40"/>
  <c r="V21" i="40"/>
  <c r="V20" i="40"/>
  <c r="V18" i="40"/>
  <c r="V16" i="40"/>
  <c r="X15" i="41"/>
  <c r="P18" i="41"/>
  <c r="P27" i="41" s="1"/>
  <c r="J20" i="32"/>
  <c r="J33" i="32"/>
  <c r="J22" i="32"/>
  <c r="J29" i="32"/>
  <c r="J21" i="32"/>
  <c r="J15" i="32"/>
  <c r="J36" i="32"/>
  <c r="X34" i="32"/>
  <c r="F22" i="33"/>
  <c r="F18" i="33"/>
  <c r="F16" i="33"/>
  <c r="F36" i="33"/>
  <c r="D18" i="33"/>
  <c r="D27" i="33" s="1"/>
  <c r="D31" i="33" s="1"/>
  <c r="F15" i="33"/>
  <c r="F29" i="33"/>
  <c r="F25" i="33"/>
  <c r="L22" i="33"/>
  <c r="N22" i="33"/>
  <c r="L34" i="33"/>
  <c r="R31" i="35"/>
  <c r="R34" i="35"/>
  <c r="X20" i="35"/>
  <c r="R36" i="40"/>
  <c r="R24" i="40"/>
  <c r="R18" i="40"/>
  <c r="L16" i="40"/>
  <c r="X29" i="44"/>
  <c r="L25" i="52"/>
  <c r="L25" i="99"/>
  <c r="L24" i="7"/>
  <c r="L25" i="7"/>
  <c r="X16" i="8"/>
  <c r="L33" i="10"/>
  <c r="L16" i="11"/>
  <c r="V16" i="13"/>
  <c r="X22" i="13"/>
  <c r="R24" i="13"/>
  <c r="X25" i="13"/>
  <c r="X22" i="14"/>
  <c r="V16" i="16"/>
  <c r="L25" i="16"/>
  <c r="R36" i="17"/>
  <c r="L16" i="19"/>
  <c r="X34" i="19"/>
  <c r="X15" i="20"/>
  <c r="X29" i="20"/>
  <c r="F36" i="22"/>
  <c r="D18" i="22"/>
  <c r="D27" i="22" s="1"/>
  <c r="D31" i="22" s="1"/>
  <c r="F24" i="22"/>
  <c r="J20" i="23"/>
  <c r="J33" i="23"/>
  <c r="J29" i="23"/>
  <c r="J25" i="23"/>
  <c r="J15" i="23"/>
  <c r="X13" i="23"/>
  <c r="H18" i="23"/>
  <c r="X34" i="23"/>
  <c r="F20" i="24"/>
  <c r="F22" i="24"/>
  <c r="X13" i="24"/>
  <c r="L25" i="24"/>
  <c r="L33" i="24"/>
  <c r="L24" i="26"/>
  <c r="J20" i="27"/>
  <c r="J33" i="27"/>
  <c r="J15" i="27"/>
  <c r="J29" i="27"/>
  <c r="J18" i="27"/>
  <c r="J24" i="29"/>
  <c r="V36" i="32"/>
  <c r="V31" i="32"/>
  <c r="V21" i="32"/>
  <c r="J25" i="32"/>
  <c r="F33" i="33"/>
  <c r="V24" i="38"/>
  <c r="V16" i="38"/>
  <c r="V20" i="38"/>
  <c r="Z15" i="41"/>
  <c r="T18" i="41"/>
  <c r="T27" i="41" s="1"/>
  <c r="T31" i="41" s="1"/>
  <c r="T36" i="41" s="1"/>
  <c r="Z36" i="41" s="1"/>
  <c r="V21" i="49"/>
  <c r="N22" i="76"/>
  <c r="L34" i="5"/>
  <c r="V15" i="7"/>
  <c r="V21" i="7"/>
  <c r="X21" i="8"/>
  <c r="X22" i="8"/>
  <c r="L24" i="10"/>
  <c r="V15" i="13"/>
  <c r="R22" i="13"/>
  <c r="R25" i="13"/>
  <c r="L13" i="14"/>
  <c r="X12" i="16"/>
  <c r="X20" i="16"/>
  <c r="X13" i="17"/>
  <c r="J21" i="17"/>
  <c r="R29" i="17"/>
  <c r="J34" i="17"/>
  <c r="L29" i="19"/>
  <c r="X13" i="20"/>
  <c r="L34" i="20"/>
  <c r="L32" i="21"/>
  <c r="F33" i="22"/>
  <c r="L16" i="24"/>
  <c r="N16" i="24"/>
  <c r="X16" i="26"/>
  <c r="X13" i="27"/>
  <c r="L13" i="29"/>
  <c r="X16" i="29"/>
  <c r="Z16" i="29"/>
  <c r="V22" i="30"/>
  <c r="F20" i="33"/>
  <c r="L15" i="38"/>
  <c r="L34" i="38"/>
  <c r="R18" i="49"/>
  <c r="R21" i="49"/>
  <c r="X22" i="85"/>
  <c r="Z22" i="85" s="1"/>
  <c r="Z15" i="98"/>
  <c r="X15" i="98"/>
  <c r="L15" i="7"/>
  <c r="X25" i="11"/>
  <c r="L15" i="13"/>
  <c r="R18" i="13"/>
  <c r="V20" i="13"/>
  <c r="R21" i="13"/>
  <c r="R29" i="13"/>
  <c r="X33" i="13"/>
  <c r="L34" i="14"/>
  <c r="L15" i="16"/>
  <c r="X21" i="16"/>
  <c r="L33" i="16"/>
  <c r="N32" i="21"/>
  <c r="R36" i="24"/>
  <c r="R15" i="24"/>
  <c r="R24" i="24"/>
  <c r="X29" i="32"/>
  <c r="X25" i="45"/>
  <c r="Z25" i="45" s="1"/>
  <c r="J21" i="46"/>
  <c r="J24" i="46"/>
  <c r="V22" i="49"/>
  <c r="V29" i="49"/>
  <c r="V15" i="49"/>
  <c r="V36" i="49"/>
  <c r="T18" i="49"/>
  <c r="T27" i="49" s="1"/>
  <c r="N15" i="49"/>
  <c r="H18" i="49"/>
  <c r="H27" i="49" s="1"/>
  <c r="H31" i="49" s="1"/>
  <c r="H36" i="49" s="1"/>
  <c r="N36" i="49" s="1"/>
  <c r="N21" i="5"/>
  <c r="X25" i="7"/>
  <c r="F18" i="8"/>
  <c r="L29" i="8"/>
  <c r="L18" i="9"/>
  <c r="N18" i="9" s="1"/>
  <c r="X15" i="10"/>
  <c r="X29" i="10"/>
  <c r="X22" i="11"/>
  <c r="X134" i="12"/>
  <c r="Z134" i="12" s="1"/>
  <c r="X12" i="13"/>
  <c r="L16" i="13"/>
  <c r="T18" i="13"/>
  <c r="T27" i="13" s="1"/>
  <c r="Z27" i="13" s="1"/>
  <c r="V22" i="13"/>
  <c r="V25" i="13"/>
  <c r="R33" i="13"/>
  <c r="V34" i="13"/>
  <c r="X13" i="14"/>
  <c r="Z12" i="16"/>
  <c r="R18" i="16"/>
  <c r="V20" i="16"/>
  <c r="R21" i="16"/>
  <c r="X25" i="16"/>
  <c r="L15" i="17"/>
  <c r="L16" i="17"/>
  <c r="X21" i="17"/>
  <c r="L25" i="17"/>
  <c r="J27" i="17"/>
  <c r="R33" i="17"/>
  <c r="L21" i="19"/>
  <c r="L33" i="19"/>
  <c r="L12" i="20"/>
  <c r="L22" i="20"/>
  <c r="X32" i="21"/>
  <c r="Z32" i="21" s="1"/>
  <c r="N12" i="22"/>
  <c r="F18" i="22"/>
  <c r="F29" i="22"/>
  <c r="L33" i="22"/>
  <c r="V22" i="23"/>
  <c r="V36" i="23"/>
  <c r="T18" i="23"/>
  <c r="Z18" i="23" s="1"/>
  <c r="X33" i="23"/>
  <c r="J36" i="23"/>
  <c r="L24" i="24"/>
  <c r="R21" i="27"/>
  <c r="R20" i="27"/>
  <c r="R24" i="27"/>
  <c r="N22" i="27"/>
  <c r="X86" i="28"/>
  <c r="Z86" i="28" s="1"/>
  <c r="L20" i="29"/>
  <c r="J24" i="30"/>
  <c r="J21" i="30"/>
  <c r="J33" i="30"/>
  <c r="J29" i="30"/>
  <c r="J34" i="30"/>
  <c r="J31" i="30"/>
  <c r="J20" i="35"/>
  <c r="J29" i="35"/>
  <c r="J31" i="35"/>
  <c r="J24" i="35"/>
  <c r="J22" i="35"/>
  <c r="J21" i="35"/>
  <c r="J15" i="35"/>
  <c r="J25" i="35"/>
  <c r="X13" i="35"/>
  <c r="X22" i="35"/>
  <c r="N34" i="39"/>
  <c r="X24" i="40"/>
  <c r="N25" i="53"/>
  <c r="L25" i="53"/>
  <c r="L34" i="39"/>
  <c r="N34" i="40"/>
  <c r="L34" i="40"/>
  <c r="V18" i="44"/>
  <c r="V34" i="44"/>
  <c r="V21" i="44"/>
  <c r="V16" i="44"/>
  <c r="V22" i="44"/>
  <c r="V20" i="44"/>
  <c r="V31" i="44"/>
  <c r="V27" i="44"/>
  <c r="J18" i="47"/>
  <c r="J31" i="47"/>
  <c r="J21" i="47"/>
  <c r="J27" i="47"/>
  <c r="R36" i="99"/>
  <c r="R24" i="99"/>
  <c r="R22" i="99"/>
  <c r="R16" i="99"/>
  <c r="R15" i="99"/>
  <c r="R18" i="99"/>
  <c r="R20" i="99"/>
  <c r="X24" i="22"/>
  <c r="F24" i="23"/>
  <c r="F29" i="23"/>
  <c r="F18" i="26"/>
  <c r="X21" i="26"/>
  <c r="L33" i="26"/>
  <c r="F15" i="27"/>
  <c r="L16" i="27"/>
  <c r="F18" i="27"/>
  <c r="X20" i="27"/>
  <c r="F33" i="27"/>
  <c r="F34" i="27"/>
  <c r="R20" i="29"/>
  <c r="L29" i="32"/>
  <c r="L15" i="35"/>
  <c r="L13" i="37"/>
  <c r="L16" i="37"/>
  <c r="L20" i="37"/>
  <c r="J21" i="37"/>
  <c r="R25" i="37"/>
  <c r="L33" i="37"/>
  <c r="R18" i="38"/>
  <c r="R24" i="38"/>
  <c r="L33" i="38"/>
  <c r="L24" i="40"/>
  <c r="F25" i="40"/>
  <c r="J24" i="41"/>
  <c r="J27" i="41"/>
  <c r="J22" i="41"/>
  <c r="J34" i="41"/>
  <c r="J21" i="41"/>
  <c r="X12" i="44"/>
  <c r="L22" i="50"/>
  <c r="L34" i="50"/>
  <c r="L20" i="90"/>
  <c r="F20" i="90"/>
  <c r="X24" i="100"/>
  <c r="F22" i="23"/>
  <c r="F33" i="23"/>
  <c r="L20" i="24"/>
  <c r="L15" i="26"/>
  <c r="L16" i="26"/>
  <c r="X22" i="26"/>
  <c r="F27" i="26"/>
  <c r="F16" i="27"/>
  <c r="X20" i="29"/>
  <c r="L13" i="30"/>
  <c r="D18" i="37"/>
  <c r="D27" i="37" s="1"/>
  <c r="R25" i="38"/>
  <c r="R36" i="38"/>
  <c r="F24" i="40"/>
  <c r="N12" i="41"/>
  <c r="X13" i="41"/>
  <c r="Z13" i="41"/>
  <c r="X21" i="41"/>
  <c r="X25" i="41"/>
  <c r="F34" i="43"/>
  <c r="F16" i="43"/>
  <c r="L29" i="43"/>
  <c r="Z12" i="44"/>
  <c r="X24" i="44"/>
  <c r="X16" i="46"/>
  <c r="L22" i="46"/>
  <c r="X29" i="47"/>
  <c r="F34" i="50"/>
  <c r="F15" i="50"/>
  <c r="F29" i="50"/>
  <c r="F18" i="50"/>
  <c r="F16" i="50"/>
  <c r="F33" i="50"/>
  <c r="F20" i="50"/>
  <c r="Z19" i="97"/>
  <c r="L34" i="22"/>
  <c r="F21" i="23"/>
  <c r="N20" i="24"/>
  <c r="F16" i="26"/>
  <c r="L21" i="26"/>
  <c r="X34" i="26"/>
  <c r="L86" i="28"/>
  <c r="N86" i="28" s="1"/>
  <c r="X12" i="29"/>
  <c r="L16" i="29"/>
  <c r="R18" i="29"/>
  <c r="V20" i="29"/>
  <c r="R21" i="29"/>
  <c r="R22" i="29"/>
  <c r="R24" i="29"/>
  <c r="X25" i="29"/>
  <c r="X29" i="29"/>
  <c r="X33" i="29"/>
  <c r="V34" i="29"/>
  <c r="N29" i="32"/>
  <c r="L33" i="32"/>
  <c r="F34" i="32"/>
  <c r="R21" i="33"/>
  <c r="R22" i="33"/>
  <c r="X24" i="33"/>
  <c r="N15" i="35"/>
  <c r="L29" i="35"/>
  <c r="X15" i="37"/>
  <c r="R29" i="37"/>
  <c r="J34" i="37"/>
  <c r="F36" i="37"/>
  <c r="X13" i="38"/>
  <c r="F20" i="38"/>
  <c r="L22" i="38"/>
  <c r="F20" i="40"/>
  <c r="F22" i="40"/>
  <c r="F33" i="40"/>
  <c r="F36" i="40"/>
  <c r="R22" i="41"/>
  <c r="R21" i="41"/>
  <c r="R15" i="41"/>
  <c r="R33" i="41"/>
  <c r="R24" i="41"/>
  <c r="R25" i="41"/>
  <c r="X13" i="46"/>
  <c r="L24" i="46"/>
  <c r="F22" i="49"/>
  <c r="F25" i="49"/>
  <c r="D18" i="49"/>
  <c r="L12" i="49"/>
  <c r="F36" i="49"/>
  <c r="F25" i="50"/>
  <c r="R27" i="53"/>
  <c r="R34" i="53"/>
  <c r="R36" i="98"/>
  <c r="R18" i="98"/>
  <c r="R24" i="98"/>
  <c r="R21" i="98"/>
  <c r="R22" i="98"/>
  <c r="R20" i="98"/>
  <c r="R16" i="98"/>
  <c r="P18" i="99"/>
  <c r="P27" i="99" s="1"/>
  <c r="X15" i="99"/>
  <c r="X20" i="22"/>
  <c r="X16" i="23"/>
  <c r="X21" i="24"/>
  <c r="N15" i="26"/>
  <c r="F21" i="26"/>
  <c r="L25" i="26"/>
  <c r="F31" i="26"/>
  <c r="X33" i="26"/>
  <c r="L24" i="27"/>
  <c r="X34" i="27"/>
  <c r="Z12" i="29"/>
  <c r="V18" i="29"/>
  <c r="Z20" i="29"/>
  <c r="R25" i="29"/>
  <c r="R29" i="29"/>
  <c r="R33" i="29"/>
  <c r="X13" i="30"/>
  <c r="L20" i="30"/>
  <c r="X22" i="30"/>
  <c r="X16" i="32"/>
  <c r="X20" i="32"/>
  <c r="X21" i="32"/>
  <c r="X20" i="33"/>
  <c r="R24" i="33"/>
  <c r="X16" i="35"/>
  <c r="R15" i="37"/>
  <c r="X21" i="37"/>
  <c r="X33" i="37"/>
  <c r="R36" i="37"/>
  <c r="F22" i="38"/>
  <c r="F24" i="38"/>
  <c r="L29" i="38"/>
  <c r="R33" i="38"/>
  <c r="X34" i="39"/>
  <c r="Z34" i="39" s="1"/>
  <c r="L21" i="40"/>
  <c r="J31" i="41"/>
  <c r="L15" i="43"/>
  <c r="L21" i="44"/>
  <c r="F34" i="46"/>
  <c r="F20" i="46"/>
  <c r="X33" i="49"/>
  <c r="R36" i="50"/>
  <c r="R18" i="50"/>
  <c r="R24" i="50"/>
  <c r="L24" i="50"/>
  <c r="F36" i="50"/>
  <c r="V18" i="53"/>
  <c r="V27" i="53"/>
  <c r="V21" i="53"/>
  <c r="X41" i="64"/>
  <c r="J20" i="100"/>
  <c r="N12" i="100"/>
  <c r="L20" i="93"/>
  <c r="V18" i="41"/>
  <c r="L22" i="41"/>
  <c r="V36" i="41"/>
  <c r="L16" i="44"/>
  <c r="F31" i="44"/>
  <c r="L34" i="44"/>
  <c r="X25" i="46"/>
  <c r="L33" i="46"/>
  <c r="P18" i="47"/>
  <c r="P27" i="47" s="1"/>
  <c r="V21" i="47"/>
  <c r="V22" i="47"/>
  <c r="L25" i="47"/>
  <c r="V29" i="47"/>
  <c r="R33" i="47"/>
  <c r="J15" i="49"/>
  <c r="X24" i="49"/>
  <c r="J29" i="49"/>
  <c r="R15" i="52"/>
  <c r="X16" i="52"/>
  <c r="R20" i="52"/>
  <c r="X29" i="52"/>
  <c r="R33" i="52"/>
  <c r="L13" i="53"/>
  <c r="X16" i="53"/>
  <c r="X22" i="53"/>
  <c r="F27" i="53"/>
  <c r="X29" i="53"/>
  <c r="F34" i="53"/>
  <c r="X18" i="55"/>
  <c r="Z18" i="55" s="1"/>
  <c r="L23" i="67"/>
  <c r="L19" i="74"/>
  <c r="X22" i="78"/>
  <c r="X18" i="89"/>
  <c r="Z18" i="89" s="1"/>
  <c r="N12" i="98"/>
  <c r="J22" i="98"/>
  <c r="L22" i="99"/>
  <c r="F18" i="100"/>
  <c r="X20" i="100"/>
  <c r="Z12" i="41"/>
  <c r="V25" i="41"/>
  <c r="X21" i="43"/>
  <c r="X15" i="44"/>
  <c r="R21" i="46"/>
  <c r="R24" i="46"/>
  <c r="V33" i="47"/>
  <c r="X19" i="48"/>
  <c r="Z19" i="48" s="1"/>
  <c r="J22" i="49"/>
  <c r="X20" i="50"/>
  <c r="V22" i="50"/>
  <c r="J18" i="52"/>
  <c r="F24" i="52"/>
  <c r="R25" i="52"/>
  <c r="L34" i="52"/>
  <c r="X15" i="53"/>
  <c r="H18" i="53"/>
  <c r="H27" i="53" s="1"/>
  <c r="F21" i="53"/>
  <c r="L24" i="53"/>
  <c r="J25" i="53"/>
  <c r="J34" i="53"/>
  <c r="Z18" i="61"/>
  <c r="V20" i="43"/>
  <c r="R21" i="43"/>
  <c r="R22" i="43"/>
  <c r="X25" i="43"/>
  <c r="R15" i="44"/>
  <c r="L33" i="44"/>
  <c r="L29" i="46"/>
  <c r="R33" i="46"/>
  <c r="R36" i="46"/>
  <c r="L15" i="47"/>
  <c r="L16" i="47"/>
  <c r="L22" i="47"/>
  <c r="X25" i="47"/>
  <c r="V31" i="47"/>
  <c r="J33" i="49"/>
  <c r="L16" i="52"/>
  <c r="L24" i="52"/>
  <c r="L21" i="53"/>
  <c r="F31" i="53"/>
  <c r="X23" i="67"/>
  <c r="Z23" i="67" s="1"/>
  <c r="J16" i="98"/>
  <c r="J18" i="98"/>
  <c r="J20" i="99"/>
  <c r="X22" i="99"/>
  <c r="X24" i="99"/>
  <c r="L15" i="100"/>
  <c r="F20" i="100"/>
  <c r="L21" i="100"/>
  <c r="X25" i="100"/>
  <c r="V33" i="41"/>
  <c r="X25" i="42"/>
  <c r="R18" i="43"/>
  <c r="X24" i="43"/>
  <c r="R25" i="43"/>
  <c r="T18" i="44"/>
  <c r="T27" i="44" s="1"/>
  <c r="J25" i="44"/>
  <c r="L13" i="46"/>
  <c r="R16" i="46"/>
  <c r="X12" i="47"/>
  <c r="R25" i="47"/>
  <c r="L33" i="47"/>
  <c r="F34" i="47"/>
  <c r="R36" i="47"/>
  <c r="N12" i="49"/>
  <c r="J27" i="49"/>
  <c r="J34" i="49"/>
  <c r="V18" i="50"/>
  <c r="F16" i="52"/>
  <c r="L20" i="52"/>
  <c r="J24" i="52"/>
  <c r="L20" i="53"/>
  <c r="J21" i="53"/>
  <c r="J24" i="53"/>
  <c r="J31" i="53"/>
  <c r="X33" i="53"/>
  <c r="L18" i="55"/>
  <c r="N18" i="55" s="1"/>
  <c r="L18" i="58"/>
  <c r="L85" i="69"/>
  <c r="N85" i="69" s="1"/>
  <c r="X20" i="90"/>
  <c r="H48" i="91"/>
  <c r="L23" i="94"/>
  <c r="N23" i="94" s="1"/>
  <c r="L13" i="98"/>
  <c r="P18" i="98"/>
  <c r="P27" i="98" s="1"/>
  <c r="P31" i="98" s="1"/>
  <c r="P36" i="98" s="1"/>
  <c r="V25" i="98"/>
  <c r="N12" i="99"/>
  <c r="X22" i="100"/>
  <c r="X92" i="3"/>
  <c r="L105" i="3"/>
  <c r="Z181" i="3"/>
  <c r="N227" i="3"/>
  <c r="J34" i="4"/>
  <c r="J31" i="4"/>
  <c r="J27" i="4"/>
  <c r="J24" i="4"/>
  <c r="J21" i="4"/>
  <c r="J18" i="4"/>
  <c r="J36" i="4"/>
  <c r="J33" i="4"/>
  <c r="J29" i="4"/>
  <c r="J25" i="4"/>
  <c r="H18" i="4"/>
  <c r="J15" i="4"/>
  <c r="J22" i="4"/>
  <c r="N12" i="4"/>
  <c r="N16" i="5"/>
  <c r="L16" i="5"/>
  <c r="N20" i="5"/>
  <c r="L20" i="5"/>
  <c r="N30" i="12"/>
  <c r="L30" i="12"/>
  <c r="L38" i="12"/>
  <c r="N38" i="12" s="1"/>
  <c r="L46" i="12"/>
  <c r="N46" i="12" s="1"/>
  <c r="X36" i="15"/>
  <c r="Z36" i="15" s="1"/>
  <c r="T12" i="15"/>
  <c r="Z20" i="3"/>
  <c r="Z92" i="3"/>
  <c r="N105" i="3"/>
  <c r="X259" i="3"/>
  <c r="Z259" i="3" s="1"/>
  <c r="P258" i="3"/>
  <c r="T258" i="3"/>
  <c r="Z265" i="3"/>
  <c r="J20" i="4"/>
  <c r="Z29" i="8"/>
  <c r="X29" i="8"/>
  <c r="V97" i="9"/>
  <c r="V92" i="9"/>
  <c r="V90" i="9"/>
  <c r="V86" i="9"/>
  <c r="V82" i="9"/>
  <c r="V74" i="9"/>
  <c r="V70" i="9"/>
  <c r="V54" i="9"/>
  <c r="V50" i="9"/>
  <c r="V42" i="9"/>
  <c r="V26" i="9"/>
  <c r="V85" i="9"/>
  <c r="V73" i="9"/>
  <c r="V53" i="9"/>
  <c r="V45" i="9"/>
  <c r="V37" i="9"/>
  <c r="V25" i="9"/>
  <c r="V84" i="9"/>
  <c r="V56" i="9"/>
  <c r="V52" i="9"/>
  <c r="V44" i="9"/>
  <c r="V67" i="9"/>
  <c r="V55" i="9"/>
  <c r="V47" i="9"/>
  <c r="V39" i="9"/>
  <c r="V35" i="9"/>
  <c r="V94" i="9"/>
  <c r="V88" i="9"/>
  <c r="V78" i="9"/>
  <c r="V66" i="9"/>
  <c r="V62" i="9"/>
  <c r="V58" i="9"/>
  <c r="V46" i="9"/>
  <c r="V38" i="9"/>
  <c r="V34" i="9"/>
  <c r="V30" i="9"/>
  <c r="V22" i="9"/>
  <c r="V81" i="9"/>
  <c r="V77" i="9"/>
  <c r="V69" i="9"/>
  <c r="V65" i="9"/>
  <c r="V61" i="9"/>
  <c r="V57" i="9"/>
  <c r="V80" i="9"/>
  <c r="V76" i="9"/>
  <c r="V72" i="9"/>
  <c r="V68" i="9"/>
  <c r="V64" i="9"/>
  <c r="V60" i="9"/>
  <c r="V48" i="9"/>
  <c r="V40" i="9"/>
  <c r="V32" i="9"/>
  <c r="V79" i="9"/>
  <c r="V29" i="9"/>
  <c r="V16" i="9"/>
  <c r="V49" i="9"/>
  <c r="V41" i="9"/>
  <c r="T16" i="9"/>
  <c r="V23" i="9"/>
  <c r="V18" i="9"/>
  <c r="V59" i="9"/>
  <c r="V36" i="9"/>
  <c r="V33" i="9"/>
  <c r="V24" i="9"/>
  <c r="V14" i="9"/>
  <c r="V63" i="9"/>
  <c r="V51" i="9"/>
  <c r="V43" i="9"/>
  <c r="Z12" i="9"/>
  <c r="V83" i="9"/>
  <c r="V20" i="9"/>
  <c r="V19" i="9"/>
  <c r="V75" i="9"/>
  <c r="T12" i="3"/>
  <c r="Z19" i="3"/>
  <c r="X28" i="3"/>
  <c r="N31" i="3"/>
  <c r="N40" i="3"/>
  <c r="Z51" i="3"/>
  <c r="Z52" i="3"/>
  <c r="X76" i="3"/>
  <c r="L88" i="3"/>
  <c r="L161" i="3"/>
  <c r="N161" i="3" s="1"/>
  <c r="N194" i="3"/>
  <c r="L233" i="3"/>
  <c r="L263" i="3"/>
  <c r="N263" i="3" s="1"/>
  <c r="H22" i="6"/>
  <c r="N16" i="6"/>
  <c r="P26" i="6"/>
  <c r="Z18" i="6"/>
  <c r="X18" i="6"/>
  <c r="L13" i="7"/>
  <c r="N22" i="7"/>
  <c r="L22" i="7"/>
  <c r="Z15" i="8"/>
  <c r="X15" i="8"/>
  <c r="N24" i="13"/>
  <c r="L24" i="13"/>
  <c r="Z76" i="3"/>
  <c r="N88" i="3"/>
  <c r="N233" i="3"/>
  <c r="Z25" i="8"/>
  <c r="X25" i="8"/>
  <c r="V28" i="9"/>
  <c r="X40" i="9"/>
  <c r="Z40" i="9" s="1"/>
  <c r="X82" i="12"/>
  <c r="Z82" i="12" s="1"/>
  <c r="N48" i="3"/>
  <c r="Z100" i="3"/>
  <c r="Z191" i="3"/>
  <c r="X191" i="3"/>
  <c r="L205" i="3"/>
  <c r="N205" i="3" s="1"/>
  <c r="Z251" i="3"/>
  <c r="F20" i="5"/>
  <c r="F16" i="5"/>
  <c r="F34" i="5"/>
  <c r="F31" i="5"/>
  <c r="F27" i="5"/>
  <c r="F24" i="5"/>
  <c r="F21" i="5"/>
  <c r="F18" i="5"/>
  <c r="F36" i="5"/>
  <c r="F33" i="5"/>
  <c r="F29" i="5"/>
  <c r="F25" i="5"/>
  <c r="D18" i="5"/>
  <c r="F15" i="5"/>
  <c r="L12" i="5"/>
  <c r="F22" i="5"/>
  <c r="F29" i="6"/>
  <c r="F26" i="6"/>
  <c r="F20" i="6"/>
  <c r="F16" i="6"/>
  <c r="F24" i="6"/>
  <c r="D16" i="6"/>
  <c r="L12" i="6"/>
  <c r="F31" i="6"/>
  <c r="F28" i="6"/>
  <c r="F22" i="6"/>
  <c r="F18" i="6"/>
  <c r="F14" i="6"/>
  <c r="J34" i="8"/>
  <c r="J31" i="8"/>
  <c r="J27" i="8"/>
  <c r="J24" i="8"/>
  <c r="J21" i="8"/>
  <c r="J18" i="8"/>
  <c r="J33" i="8"/>
  <c r="J29" i="8"/>
  <c r="J25" i="8"/>
  <c r="H18" i="8"/>
  <c r="J15" i="8"/>
  <c r="J22" i="8"/>
  <c r="N12" i="8"/>
  <c r="V21" i="9"/>
  <c r="V27" i="9"/>
  <c r="V71" i="9"/>
  <c r="N33" i="11"/>
  <c r="L33" i="11"/>
  <c r="N78" i="12"/>
  <c r="L78" i="12"/>
  <c r="Z34" i="14"/>
  <c r="X34" i="14"/>
  <c r="L16" i="3"/>
  <c r="N24" i="3"/>
  <c r="Z35" i="3"/>
  <c r="Z59" i="3"/>
  <c r="Z60" i="3"/>
  <c r="N72" i="3"/>
  <c r="X84" i="3"/>
  <c r="N87" i="3"/>
  <c r="Z161" i="3"/>
  <c r="Z173" i="3"/>
  <c r="X203" i="3"/>
  <c r="Z203" i="3" s="1"/>
  <c r="Z233" i="3"/>
  <c r="X255" i="3"/>
  <c r="Z255" i="3" s="1"/>
  <c r="N258" i="3"/>
  <c r="Z274" i="3"/>
  <c r="J16" i="4"/>
  <c r="X28" i="6"/>
  <c r="Z28" i="6" s="1"/>
  <c r="V31" i="9"/>
  <c r="Z28" i="3"/>
  <c r="P12" i="3"/>
  <c r="X13" i="3"/>
  <c r="Z13" i="3" s="1"/>
  <c r="Z84" i="3"/>
  <c r="N181" i="3"/>
  <c r="L181" i="3"/>
  <c r="D258" i="3"/>
  <c r="L258" i="3" s="1"/>
  <c r="L265" i="3"/>
  <c r="N265" i="3" s="1"/>
  <c r="Z22" i="5"/>
  <c r="X22" i="5"/>
  <c r="J16" i="8"/>
  <c r="N152" i="15"/>
  <c r="L152" i="15"/>
  <c r="N16" i="3"/>
  <c r="N23" i="3"/>
  <c r="L32" i="3"/>
  <c r="N32" i="3" s="1"/>
  <c r="Z43" i="3"/>
  <c r="Z44" i="3"/>
  <c r="Z67" i="3"/>
  <c r="Z68" i="3"/>
  <c r="N71" i="3"/>
  <c r="L80" i="3"/>
  <c r="N80" i="3" s="1"/>
  <c r="N207" i="3"/>
  <c r="N214" i="3"/>
  <c r="Z262" i="3"/>
  <c r="Z14" i="6"/>
  <c r="X14" i="6"/>
  <c r="J36" i="8"/>
  <c r="X48" i="9"/>
  <c r="Z48" i="9" s="1"/>
  <c r="Z58" i="12"/>
  <c r="X58" i="12"/>
  <c r="N16" i="81"/>
  <c r="N261" i="3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J20" i="5"/>
  <c r="V22" i="5"/>
  <c r="V14" i="6"/>
  <c r="V18" i="6"/>
  <c r="V22" i="6"/>
  <c r="V24" i="6"/>
  <c r="V28" i="6"/>
  <c r="V31" i="6"/>
  <c r="N12" i="7"/>
  <c r="F18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X12" i="9"/>
  <c r="H16" i="9"/>
  <c r="J24" i="9"/>
  <c r="R34" i="9"/>
  <c r="J38" i="9"/>
  <c r="X68" i="9"/>
  <c r="Z68" i="9" s="1"/>
  <c r="N70" i="9"/>
  <c r="L70" i="9"/>
  <c r="Z84" i="9"/>
  <c r="N15" i="11"/>
  <c r="L15" i="11"/>
  <c r="H18" i="11"/>
  <c r="L22" i="12"/>
  <c r="N22" i="12" s="1"/>
  <c r="Z23" i="12"/>
  <c r="Z27" i="12"/>
  <c r="Z35" i="12"/>
  <c r="Z68" i="12"/>
  <c r="N161" i="12"/>
  <c r="Z189" i="12"/>
  <c r="L207" i="12"/>
  <c r="N207" i="12" s="1"/>
  <c r="N228" i="12"/>
  <c r="Z16" i="13"/>
  <c r="X16" i="13"/>
  <c r="N13" i="15"/>
  <c r="Z21" i="15"/>
  <c r="N24" i="15"/>
  <c r="L24" i="15"/>
  <c r="N53" i="15"/>
  <c r="N57" i="15"/>
  <c r="Z69" i="15"/>
  <c r="N72" i="15"/>
  <c r="L72" i="15"/>
  <c r="N76" i="15"/>
  <c r="N80" i="15"/>
  <c r="L80" i="15"/>
  <c r="Z127" i="15"/>
  <c r="Z34" i="20"/>
  <c r="X34" i="20"/>
  <c r="X15" i="4"/>
  <c r="V15" i="5"/>
  <c r="T18" i="5"/>
  <c r="V25" i="5"/>
  <c r="V29" i="5"/>
  <c r="V33" i="5"/>
  <c r="V36" i="5"/>
  <c r="J25" i="7"/>
  <c r="R27" i="7"/>
  <c r="J29" i="7"/>
  <c r="R31" i="7"/>
  <c r="J33" i="7"/>
  <c r="R34" i="7"/>
  <c r="J36" i="7"/>
  <c r="R80" i="9"/>
  <c r="Z24" i="10"/>
  <c r="X24" i="10"/>
  <c r="N14" i="12"/>
  <c r="L14" i="12"/>
  <c r="N167" i="12"/>
  <c r="L167" i="12"/>
  <c r="N21" i="14"/>
  <c r="L21" i="14"/>
  <c r="P12" i="15"/>
  <c r="X13" i="15"/>
  <c r="Z13" i="15" s="1"/>
  <c r="X28" i="15"/>
  <c r="Z28" i="15" s="1"/>
  <c r="X147" i="15"/>
  <c r="Z147" i="15" s="1"/>
  <c r="D12" i="3"/>
  <c r="X22" i="3"/>
  <c r="Z22" i="3" s="1"/>
  <c r="X30" i="3"/>
  <c r="Z30" i="3" s="1"/>
  <c r="X38" i="3"/>
  <c r="Z38" i="3" s="1"/>
  <c r="X46" i="3"/>
  <c r="Z46" i="3" s="1"/>
  <c r="L50" i="3"/>
  <c r="L58" i="3"/>
  <c r="L66" i="3"/>
  <c r="N66" i="3" s="1"/>
  <c r="L74" i="3"/>
  <c r="N74" i="3" s="1"/>
  <c r="L82" i="3"/>
  <c r="N82" i="3" s="1"/>
  <c r="L90" i="3"/>
  <c r="L98" i="3"/>
  <c r="N98" i="3" s="1"/>
  <c r="X102" i="3"/>
  <c r="Z102" i="3" s="1"/>
  <c r="F21" i="4"/>
  <c r="R27" i="4"/>
  <c r="R31" i="4"/>
  <c r="R34" i="4"/>
  <c r="L13" i="5"/>
  <c r="V18" i="5"/>
  <c r="R16" i="7"/>
  <c r="J18" i="7"/>
  <c r="R20" i="7"/>
  <c r="F24" i="7"/>
  <c r="V24" i="7"/>
  <c r="R36" i="8"/>
  <c r="R33" i="8"/>
  <c r="F21" i="8"/>
  <c r="R27" i="8"/>
  <c r="R31" i="8"/>
  <c r="R24" i="9"/>
  <c r="R25" i="9"/>
  <c r="R37" i="9"/>
  <c r="L40" i="9"/>
  <c r="N40" i="9" s="1"/>
  <c r="Z44" i="9"/>
  <c r="N82" i="9"/>
  <c r="L82" i="9"/>
  <c r="N32" i="12"/>
  <c r="N40" i="12"/>
  <c r="Z42" i="12"/>
  <c r="X42" i="12"/>
  <c r="N48" i="12"/>
  <c r="X50" i="12"/>
  <c r="Z50" i="12" s="1"/>
  <c r="N59" i="12"/>
  <c r="Z60" i="12"/>
  <c r="Z67" i="12"/>
  <c r="N70" i="12"/>
  <c r="L70" i="12"/>
  <c r="Z74" i="12"/>
  <c r="X74" i="12"/>
  <c r="N83" i="12"/>
  <c r="Z84" i="12"/>
  <c r="X161" i="12"/>
  <c r="Z161" i="12" s="1"/>
  <c r="Z169" i="12"/>
  <c r="N171" i="12"/>
  <c r="N182" i="12"/>
  <c r="Z13" i="13"/>
  <c r="X13" i="13"/>
  <c r="V21" i="14"/>
  <c r="V18" i="14"/>
  <c r="V36" i="14"/>
  <c r="V33" i="14"/>
  <c r="V29" i="14"/>
  <c r="V25" i="14"/>
  <c r="T18" i="14"/>
  <c r="V15" i="14"/>
  <c r="V22" i="14"/>
  <c r="V20" i="14"/>
  <c r="V16" i="14"/>
  <c r="Z12" i="14"/>
  <c r="V34" i="14"/>
  <c r="V31" i="14"/>
  <c r="V27" i="14"/>
  <c r="X12" i="14"/>
  <c r="H12" i="15"/>
  <c r="N16" i="15"/>
  <c r="L16" i="15"/>
  <c r="N37" i="15"/>
  <c r="N64" i="15"/>
  <c r="L64" i="15"/>
  <c r="Z72" i="15"/>
  <c r="Z76" i="15"/>
  <c r="X76" i="15"/>
  <c r="X208" i="15"/>
  <c r="Z208" i="15" s="1"/>
  <c r="N24" i="17"/>
  <c r="L24" i="17"/>
  <c r="X14" i="3"/>
  <c r="Z14" i="3" s="1"/>
  <c r="L18" i="3"/>
  <c r="N18" i="3" s="1"/>
  <c r="L26" i="3"/>
  <c r="L34" i="3"/>
  <c r="N34" i="3" s="1"/>
  <c r="L42" i="3"/>
  <c r="N42" i="3" s="1"/>
  <c r="X54" i="3"/>
  <c r="Z54" i="3" s="1"/>
  <c r="X62" i="3"/>
  <c r="Z62" i="3" s="1"/>
  <c r="X70" i="3"/>
  <c r="Z70" i="3" s="1"/>
  <c r="X78" i="3"/>
  <c r="Z78" i="3" s="1"/>
  <c r="X86" i="3"/>
  <c r="Z86" i="3" s="1"/>
  <c r="X94" i="3"/>
  <c r="Z94" i="3" s="1"/>
  <c r="H12" i="3"/>
  <c r="R16" i="4"/>
  <c r="R20" i="4"/>
  <c r="J15" i="5"/>
  <c r="H18" i="5"/>
  <c r="V21" i="5"/>
  <c r="J25" i="5"/>
  <c r="R27" i="5"/>
  <c r="J29" i="5"/>
  <c r="R31" i="5"/>
  <c r="J33" i="5"/>
  <c r="T16" i="6"/>
  <c r="X12" i="7"/>
  <c r="J21" i="7"/>
  <c r="F27" i="7"/>
  <c r="V27" i="7"/>
  <c r="F31" i="7"/>
  <c r="V31" i="7"/>
  <c r="F34" i="7"/>
  <c r="V34" i="7"/>
  <c r="R16" i="8"/>
  <c r="R20" i="8"/>
  <c r="F24" i="8"/>
  <c r="F34" i="8"/>
  <c r="J84" i="9"/>
  <c r="J78" i="9"/>
  <c r="J66" i="9"/>
  <c r="J62" i="9"/>
  <c r="J58" i="9"/>
  <c r="J52" i="9"/>
  <c r="J44" i="9"/>
  <c r="J34" i="9"/>
  <c r="J30" i="9"/>
  <c r="J22" i="9"/>
  <c r="J81" i="9"/>
  <c r="J77" i="9"/>
  <c r="J69" i="9"/>
  <c r="J65" i="9"/>
  <c r="J61" i="9"/>
  <c r="J55" i="9"/>
  <c r="J49" i="9"/>
  <c r="J41" i="9"/>
  <c r="J33" i="9"/>
  <c r="J29" i="9"/>
  <c r="J21" i="9"/>
  <c r="J94" i="9"/>
  <c r="J88" i="9"/>
  <c r="J80" i="9"/>
  <c r="J76" i="9"/>
  <c r="J72" i="9"/>
  <c r="J64" i="9"/>
  <c r="J60" i="9"/>
  <c r="J46" i="9"/>
  <c r="J83" i="9"/>
  <c r="J75" i="9"/>
  <c r="J71" i="9"/>
  <c r="J57" i="9"/>
  <c r="J51" i="9"/>
  <c r="J43" i="9"/>
  <c r="J92" i="9"/>
  <c r="J86" i="9"/>
  <c r="J74" i="9"/>
  <c r="J68" i="9"/>
  <c r="J54" i="9"/>
  <c r="J48" i="9"/>
  <c r="J40" i="9"/>
  <c r="J26" i="9"/>
  <c r="J85" i="9"/>
  <c r="J79" i="9"/>
  <c r="J63" i="9"/>
  <c r="J59" i="9"/>
  <c r="J97" i="9"/>
  <c r="J90" i="9"/>
  <c r="J82" i="9"/>
  <c r="J70" i="9"/>
  <c r="J56" i="9"/>
  <c r="J50" i="9"/>
  <c r="J42" i="9"/>
  <c r="J36" i="9"/>
  <c r="P16" i="9"/>
  <c r="J19" i="9"/>
  <c r="J31" i="9"/>
  <c r="J32" i="9"/>
  <c r="L42" i="9"/>
  <c r="N42" i="9" s="1"/>
  <c r="L50" i="9"/>
  <c r="N50" i="9" s="1"/>
  <c r="J53" i="9"/>
  <c r="J73" i="9"/>
  <c r="R24" i="10"/>
  <c r="R21" i="10"/>
  <c r="R18" i="10"/>
  <c r="R36" i="10"/>
  <c r="R33" i="10"/>
  <c r="R29" i="10"/>
  <c r="R25" i="10"/>
  <c r="P18" i="10"/>
  <c r="R15" i="10"/>
  <c r="R22" i="10"/>
  <c r="X12" i="10"/>
  <c r="R20" i="10"/>
  <c r="R16" i="10"/>
  <c r="R27" i="10"/>
  <c r="H12" i="12"/>
  <c r="N24" i="12"/>
  <c r="Z26" i="12"/>
  <c r="X26" i="12"/>
  <c r="Z34" i="12"/>
  <c r="X34" i="12"/>
  <c r="L134" i="12"/>
  <c r="N134" i="12" s="1"/>
  <c r="N146" i="12"/>
  <c r="Z156" i="12"/>
  <c r="N173" i="12"/>
  <c r="Z180" i="12"/>
  <c r="Z185" i="12"/>
  <c r="X185" i="12"/>
  <c r="L187" i="12"/>
  <c r="N187" i="12" s="1"/>
  <c r="Z20" i="13"/>
  <c r="X20" i="13"/>
  <c r="Z20" i="15"/>
  <c r="X20" i="15"/>
  <c r="Z41" i="15"/>
  <c r="Z45" i="15"/>
  <c r="Z49" i="15"/>
  <c r="L56" i="15"/>
  <c r="N56" i="15" s="1"/>
  <c r="X68" i="15"/>
  <c r="Z68" i="15" s="1"/>
  <c r="L127" i="15"/>
  <c r="N127" i="15" s="1"/>
  <c r="N128" i="15"/>
  <c r="N34" i="16"/>
  <c r="L34" i="16"/>
  <c r="V24" i="5"/>
  <c r="V16" i="6"/>
  <c r="V20" i="6"/>
  <c r="V26" i="6"/>
  <c r="V29" i="6"/>
  <c r="R22" i="7"/>
  <c r="F27" i="8"/>
  <c r="F31" i="8"/>
  <c r="R30" i="9"/>
  <c r="R64" i="9"/>
  <c r="R76" i="9"/>
  <c r="Z21" i="11"/>
  <c r="X21" i="11"/>
  <c r="Z18" i="12"/>
  <c r="T12" i="12"/>
  <c r="X18" i="12"/>
  <c r="N87" i="12"/>
  <c r="L87" i="12"/>
  <c r="X231" i="12"/>
  <c r="Z231" i="12" s="1"/>
  <c r="V24" i="14"/>
  <c r="L40" i="15"/>
  <c r="N40" i="15" s="1"/>
  <c r="N48" i="15"/>
  <c r="L48" i="15"/>
  <c r="L13" i="3"/>
  <c r="N13" i="3" s="1"/>
  <c r="X17" i="3"/>
  <c r="Z17" i="3" s="1"/>
  <c r="X13" i="4"/>
  <c r="X12" i="5"/>
  <c r="V27" i="5"/>
  <c r="V31" i="5"/>
  <c r="V34" i="5"/>
  <c r="X12" i="6"/>
  <c r="X16" i="6"/>
  <c r="R15" i="7"/>
  <c r="P18" i="7"/>
  <c r="R25" i="7"/>
  <c r="J27" i="7"/>
  <c r="R29" i="7"/>
  <c r="J31" i="7"/>
  <c r="R33" i="7"/>
  <c r="J34" i="7"/>
  <c r="R36" i="7"/>
  <c r="X13" i="8"/>
  <c r="F16" i="8"/>
  <c r="F20" i="8"/>
  <c r="R22" i="8"/>
  <c r="L34" i="8"/>
  <c r="R29" i="9"/>
  <c r="R32" i="9"/>
  <c r="Z46" i="9"/>
  <c r="N25" i="11"/>
  <c r="L25" i="11"/>
  <c r="N31" i="12"/>
  <c r="N39" i="12"/>
  <c r="L62" i="12"/>
  <c r="N62" i="12" s="1"/>
  <c r="Z66" i="12"/>
  <c r="X66" i="12"/>
  <c r="Z173" i="12"/>
  <c r="X173" i="12"/>
  <c r="Z33" i="15"/>
  <c r="X52" i="15"/>
  <c r="Z52" i="15" s="1"/>
  <c r="X60" i="15"/>
  <c r="Z60" i="15" s="1"/>
  <c r="N77" i="15"/>
  <c r="N24" i="19"/>
  <c r="L24" i="19"/>
  <c r="L21" i="3"/>
  <c r="N21" i="3" s="1"/>
  <c r="R25" i="4"/>
  <c r="R29" i="4"/>
  <c r="R33" i="4"/>
  <c r="Z12" i="5"/>
  <c r="V16" i="5"/>
  <c r="J16" i="7"/>
  <c r="R15" i="8"/>
  <c r="P18" i="8"/>
  <c r="R25" i="8"/>
  <c r="R29" i="8"/>
  <c r="R83" i="9"/>
  <c r="R75" i="9"/>
  <c r="R71" i="9"/>
  <c r="R68" i="9"/>
  <c r="R51" i="9"/>
  <c r="R48" i="9"/>
  <c r="R43" i="9"/>
  <c r="R40" i="9"/>
  <c r="R27" i="9"/>
  <c r="R92" i="9"/>
  <c r="R86" i="9"/>
  <c r="R79" i="9"/>
  <c r="R74" i="9"/>
  <c r="R63" i="9"/>
  <c r="R59" i="9"/>
  <c r="R54" i="9"/>
  <c r="R31" i="9"/>
  <c r="R26" i="9"/>
  <c r="R19" i="9"/>
  <c r="R97" i="9"/>
  <c r="R90" i="9"/>
  <c r="R85" i="9"/>
  <c r="R82" i="9"/>
  <c r="R70" i="9"/>
  <c r="R53" i="9"/>
  <c r="R50" i="9"/>
  <c r="R45" i="9"/>
  <c r="R42" i="9"/>
  <c r="R73" i="9"/>
  <c r="R56" i="9"/>
  <c r="R36" i="9"/>
  <c r="R84" i="9"/>
  <c r="R67" i="9"/>
  <c r="R52" i="9"/>
  <c r="R47" i="9"/>
  <c r="R44" i="9"/>
  <c r="R39" i="9"/>
  <c r="R35" i="9"/>
  <c r="R23" i="9"/>
  <c r="R78" i="9"/>
  <c r="R66" i="9"/>
  <c r="R62" i="9"/>
  <c r="R58" i="9"/>
  <c r="R55" i="9"/>
  <c r="R94" i="9"/>
  <c r="R88" i="9"/>
  <c r="R81" i="9"/>
  <c r="R77" i="9"/>
  <c r="R69" i="9"/>
  <c r="R65" i="9"/>
  <c r="R61" i="9"/>
  <c r="R49" i="9"/>
  <c r="R46" i="9"/>
  <c r="R41" i="9"/>
  <c r="R38" i="9"/>
  <c r="R33" i="9"/>
  <c r="D90" i="9"/>
  <c r="L16" i="9"/>
  <c r="R21" i="9"/>
  <c r="R28" i="9"/>
  <c r="R57" i="9"/>
  <c r="N68" i="9"/>
  <c r="N29" i="11"/>
  <c r="L29" i="11"/>
  <c r="D12" i="12"/>
  <c r="L15" i="12"/>
  <c r="N15" i="12" s="1"/>
  <c r="N23" i="12"/>
  <c r="N27" i="12"/>
  <c r="Z28" i="12"/>
  <c r="Z36" i="12"/>
  <c r="N54" i="12"/>
  <c r="L54" i="12"/>
  <c r="Z55" i="12"/>
  <c r="Z79" i="12"/>
  <c r="Z135" i="12"/>
  <c r="N229" i="12"/>
  <c r="L229" i="12"/>
  <c r="N21" i="15"/>
  <c r="N32" i="15"/>
  <c r="L32" i="15"/>
  <c r="X44" i="15"/>
  <c r="Z44" i="15" s="1"/>
  <c r="N69" i="15"/>
  <c r="Z16" i="19"/>
  <c r="X16" i="19"/>
  <c r="F45" i="9"/>
  <c r="F48" i="9"/>
  <c r="F53" i="9"/>
  <c r="F68" i="9"/>
  <c r="F85" i="9"/>
  <c r="J18" i="10"/>
  <c r="F24" i="10"/>
  <c r="V24" i="10"/>
  <c r="F21" i="11"/>
  <c r="V21" i="11"/>
  <c r="R27" i="11"/>
  <c r="R31" i="11"/>
  <c r="R34" i="11"/>
  <c r="P12" i="12"/>
  <c r="J21" i="14"/>
  <c r="L147" i="15"/>
  <c r="N147" i="15" s="1"/>
  <c r="L176" i="15"/>
  <c r="Z178" i="15"/>
  <c r="Z194" i="15"/>
  <c r="Z210" i="15"/>
  <c r="X217" i="15"/>
  <c r="P12" i="18"/>
  <c r="X14" i="18"/>
  <c r="Z14" i="18" s="1"/>
  <c r="H12" i="18"/>
  <c r="N17" i="18"/>
  <c r="N20" i="18"/>
  <c r="Z21" i="18"/>
  <c r="N33" i="18"/>
  <c r="N36" i="18"/>
  <c r="Z37" i="18"/>
  <c r="Z50" i="18"/>
  <c r="X53" i="18"/>
  <c r="Z60" i="18"/>
  <c r="Z80" i="18"/>
  <c r="N89" i="18"/>
  <c r="Z93" i="18"/>
  <c r="N96" i="18"/>
  <c r="N170" i="18"/>
  <c r="Z192" i="18"/>
  <c r="N194" i="18"/>
  <c r="Z220" i="18"/>
  <c r="Z244" i="18"/>
  <c r="X20" i="21"/>
  <c r="N23" i="21"/>
  <c r="X63" i="21"/>
  <c r="L65" i="21"/>
  <c r="X79" i="21"/>
  <c r="F74" i="9"/>
  <c r="F86" i="9"/>
  <c r="F92" i="9"/>
  <c r="V31" i="10"/>
  <c r="V34" i="10"/>
  <c r="F24" i="11"/>
  <c r="V24" i="11"/>
  <c r="P18" i="13"/>
  <c r="J27" i="13"/>
  <c r="J31" i="13"/>
  <c r="J34" i="13"/>
  <c r="J24" i="14"/>
  <c r="T217" i="15"/>
  <c r="X218" i="15"/>
  <c r="Z218" i="15" s="1"/>
  <c r="Z53" i="18"/>
  <c r="Z150" i="18"/>
  <c r="X150" i="18"/>
  <c r="P12" i="21"/>
  <c r="X13" i="21"/>
  <c r="Z63" i="21"/>
  <c r="N65" i="21"/>
  <c r="Z79" i="21"/>
  <c r="V119" i="25"/>
  <c r="V109" i="25"/>
  <c r="V93" i="25"/>
  <c r="V89" i="25"/>
  <c r="V81" i="25"/>
  <c r="V77" i="25"/>
  <c r="V65" i="25"/>
  <c r="V61" i="25"/>
  <c r="V53" i="25"/>
  <c r="V45" i="25"/>
  <c r="V114" i="25"/>
  <c r="V92" i="25"/>
  <c r="V84" i="25"/>
  <c r="V80" i="25"/>
  <c r="V76" i="25"/>
  <c r="V64" i="25"/>
  <c r="T59" i="25"/>
  <c r="V52" i="25"/>
  <c r="V44" i="25"/>
  <c r="V99" i="25"/>
  <c r="V95" i="25"/>
  <c r="V83" i="25"/>
  <c r="V75" i="25"/>
  <c r="V71" i="25"/>
  <c r="V63" i="25"/>
  <c r="V51" i="25"/>
  <c r="V43" i="25"/>
  <c r="V102" i="25"/>
  <c r="V98" i="25"/>
  <c r="V94" i="25"/>
  <c r="V86" i="25"/>
  <c r="V82" i="25"/>
  <c r="V74" i="25"/>
  <c r="V70" i="25"/>
  <c r="V62" i="25"/>
  <c r="V50" i="25"/>
  <c r="V42" i="25"/>
  <c r="V115" i="25"/>
  <c r="V105" i="25"/>
  <c r="V101" i="25"/>
  <c r="V97" i="25"/>
  <c r="V85" i="25"/>
  <c r="V73" i="25"/>
  <c r="V69" i="25"/>
  <c r="V57" i="25"/>
  <c r="V49" i="25"/>
  <c r="V41" i="25"/>
  <c r="V108" i="25"/>
  <c r="V104" i="25"/>
  <c r="V100" i="25"/>
  <c r="V96" i="25"/>
  <c r="V88" i="25"/>
  <c r="V72" i="25"/>
  <c r="V68" i="25"/>
  <c r="V56" i="25"/>
  <c r="V48" i="25"/>
  <c r="V40" i="25"/>
  <c r="V113" i="25"/>
  <c r="V107" i="25"/>
  <c r="V103" i="25"/>
  <c r="V91" i="25"/>
  <c r="V87" i="25"/>
  <c r="V79" i="25"/>
  <c r="V67" i="25"/>
  <c r="V55" i="25"/>
  <c r="V47" i="25"/>
  <c r="V110" i="25"/>
  <c r="V90" i="25"/>
  <c r="V66" i="25"/>
  <c r="V54" i="25"/>
  <c r="V106" i="25"/>
  <c r="V78" i="25"/>
  <c r="F38" i="9"/>
  <c r="F43" i="9"/>
  <c r="F46" i="9"/>
  <c r="F51" i="9"/>
  <c r="F71" i="9"/>
  <c r="F75" i="9"/>
  <c r="L79" i="9"/>
  <c r="N79" i="9" s="1"/>
  <c r="F83" i="9"/>
  <c r="F88" i="9"/>
  <c r="F94" i="9"/>
  <c r="Z12" i="10"/>
  <c r="F16" i="10"/>
  <c r="V16" i="10"/>
  <c r="F20" i="10"/>
  <c r="V20" i="10"/>
  <c r="L21" i="10"/>
  <c r="J24" i="10"/>
  <c r="X34" i="10"/>
  <c r="X12" i="11"/>
  <c r="J21" i="11"/>
  <c r="X24" i="11"/>
  <c r="F27" i="11"/>
  <c r="V27" i="11"/>
  <c r="F31" i="11"/>
  <c r="V31" i="11"/>
  <c r="F34" i="11"/>
  <c r="V34" i="11"/>
  <c r="X146" i="12"/>
  <c r="Z146" i="12" s="1"/>
  <c r="L164" i="12"/>
  <c r="L176" i="12"/>
  <c r="N176" i="12" s="1"/>
  <c r="X182" i="12"/>
  <c r="Z182" i="12" s="1"/>
  <c r="L204" i="12"/>
  <c r="N204" i="12" s="1"/>
  <c r="X218" i="12"/>
  <c r="Z218" i="12" s="1"/>
  <c r="L220" i="12"/>
  <c r="N220" i="12" s="1"/>
  <c r="L224" i="12"/>
  <c r="N224" i="12" s="1"/>
  <c r="X228" i="12"/>
  <c r="Z228" i="12" s="1"/>
  <c r="J16" i="13"/>
  <c r="J20" i="13"/>
  <c r="F22" i="13"/>
  <c r="L34" i="13"/>
  <c r="X16" i="14"/>
  <c r="P18" i="14"/>
  <c r="X20" i="14"/>
  <c r="L24" i="14"/>
  <c r="J27" i="14"/>
  <c r="J31" i="14"/>
  <c r="J34" i="14"/>
  <c r="D12" i="15"/>
  <c r="L82" i="15"/>
  <c r="N82" i="15" s="1"/>
  <c r="Z154" i="15"/>
  <c r="X162" i="15"/>
  <c r="L164" i="15"/>
  <c r="L214" i="15"/>
  <c r="N214" i="15" s="1"/>
  <c r="N13" i="18"/>
  <c r="N16" i="18"/>
  <c r="Z17" i="18"/>
  <c r="Z20" i="18"/>
  <c r="N29" i="18"/>
  <c r="N32" i="18"/>
  <c r="Z33" i="18"/>
  <c r="Z36" i="18"/>
  <c r="Z49" i="18"/>
  <c r="Z56" i="18"/>
  <c r="N65" i="18"/>
  <c r="N78" i="18"/>
  <c r="Z82" i="18"/>
  <c r="Z89" i="18"/>
  <c r="Z170" i="18"/>
  <c r="N172" i="18"/>
  <c r="Z194" i="18"/>
  <c r="N196" i="18"/>
  <c r="L246" i="18"/>
  <c r="N246" i="18" s="1"/>
  <c r="D240" i="18"/>
  <c r="X157" i="28"/>
  <c r="Z157" i="28" s="1"/>
  <c r="F55" i="9"/>
  <c r="F60" i="9"/>
  <c r="F64" i="9"/>
  <c r="F72" i="9"/>
  <c r="F76" i="9"/>
  <c r="F80" i="9"/>
  <c r="J27" i="10"/>
  <c r="J31" i="10"/>
  <c r="J34" i="10"/>
  <c r="Z12" i="11"/>
  <c r="F16" i="11"/>
  <c r="V16" i="11"/>
  <c r="F20" i="11"/>
  <c r="V20" i="11"/>
  <c r="R22" i="11"/>
  <c r="D227" i="12"/>
  <c r="L227" i="12" s="1"/>
  <c r="T227" i="12"/>
  <c r="X227" i="12" s="1"/>
  <c r="F25" i="13"/>
  <c r="F29" i="13"/>
  <c r="F33" i="13"/>
  <c r="F36" i="13"/>
  <c r="J16" i="14"/>
  <c r="J20" i="14"/>
  <c r="Z162" i="15"/>
  <c r="N164" i="15"/>
  <c r="N68" i="18"/>
  <c r="Z69" i="18"/>
  <c r="N84" i="18"/>
  <c r="Z85" i="18"/>
  <c r="Z96" i="18"/>
  <c r="N228" i="18"/>
  <c r="V21" i="20"/>
  <c r="V18" i="20"/>
  <c r="V36" i="20"/>
  <c r="V33" i="20"/>
  <c r="V29" i="20"/>
  <c r="V25" i="20"/>
  <c r="T18" i="20"/>
  <c r="V15" i="20"/>
  <c r="V22" i="20"/>
  <c r="V20" i="20"/>
  <c r="V16" i="20"/>
  <c r="Z12" i="20"/>
  <c r="V34" i="20"/>
  <c r="V31" i="20"/>
  <c r="V27" i="20"/>
  <c r="V24" i="20"/>
  <c r="Z43" i="21"/>
  <c r="X87" i="25"/>
  <c r="Z87" i="25" s="1"/>
  <c r="N109" i="25"/>
  <c r="L109" i="25"/>
  <c r="Z20" i="30"/>
  <c r="X20" i="30"/>
  <c r="F52" i="9"/>
  <c r="F61" i="9"/>
  <c r="F65" i="9"/>
  <c r="F69" i="9"/>
  <c r="F77" i="9"/>
  <c r="F81" i="9"/>
  <c r="F84" i="9"/>
  <c r="J16" i="10"/>
  <c r="J20" i="10"/>
  <c r="V22" i="10"/>
  <c r="R15" i="11"/>
  <c r="P18" i="11"/>
  <c r="R25" i="11"/>
  <c r="R29" i="11"/>
  <c r="R33" i="11"/>
  <c r="R36" i="11"/>
  <c r="L58" i="12"/>
  <c r="X62" i="12"/>
  <c r="Z62" i="12" s="1"/>
  <c r="L66" i="12"/>
  <c r="X70" i="12"/>
  <c r="Z70" i="12" s="1"/>
  <c r="L74" i="12"/>
  <c r="N74" i="12" s="1"/>
  <c r="X78" i="12"/>
  <c r="L82" i="12"/>
  <c r="N82" i="12" s="1"/>
  <c r="N12" i="13"/>
  <c r="F18" i="13"/>
  <c r="J22" i="13"/>
  <c r="L12" i="14"/>
  <c r="F15" i="14"/>
  <c r="D18" i="14"/>
  <c r="F25" i="14"/>
  <c r="F29" i="14"/>
  <c r="F33" i="14"/>
  <c r="F36" i="14"/>
  <c r="X16" i="15"/>
  <c r="Z16" i="15" s="1"/>
  <c r="L20" i="15"/>
  <c r="N20" i="15" s="1"/>
  <c r="X24" i="15"/>
  <c r="Z24" i="15" s="1"/>
  <c r="L28" i="15"/>
  <c r="N28" i="15" s="1"/>
  <c r="X32" i="15"/>
  <c r="Z32" i="15" s="1"/>
  <c r="L36" i="15"/>
  <c r="N36" i="15" s="1"/>
  <c r="X40" i="15"/>
  <c r="Z40" i="15" s="1"/>
  <c r="L44" i="15"/>
  <c r="X48" i="15"/>
  <c r="Z48" i="15" s="1"/>
  <c r="L52" i="15"/>
  <c r="N52" i="15" s="1"/>
  <c r="X56" i="15"/>
  <c r="Z56" i="15" s="1"/>
  <c r="L60" i="15"/>
  <c r="N60" i="15" s="1"/>
  <c r="X64" i="15"/>
  <c r="Z64" i="15" s="1"/>
  <c r="X152" i="15"/>
  <c r="Z152" i="15" s="1"/>
  <c r="X176" i="15"/>
  <c r="Z180" i="15"/>
  <c r="T12" i="18"/>
  <c r="Z13" i="18"/>
  <c r="L18" i="18"/>
  <c r="N18" i="18" s="1"/>
  <c r="D12" i="18"/>
  <c r="N28" i="18"/>
  <c r="Z29" i="18"/>
  <c r="Z45" i="18"/>
  <c r="N54" i="18"/>
  <c r="N61" i="18"/>
  <c r="Z65" i="18"/>
  <c r="Z72" i="18"/>
  <c r="Z172" i="18"/>
  <c r="X172" i="18"/>
  <c r="X196" i="18"/>
  <c r="Z196" i="18" s="1"/>
  <c r="Z208" i="18"/>
  <c r="N21" i="20"/>
  <c r="L21" i="20"/>
  <c r="Z16" i="30"/>
  <c r="X16" i="30"/>
  <c r="F22" i="9"/>
  <c r="F30" i="9"/>
  <c r="F34" i="9"/>
  <c r="F58" i="9"/>
  <c r="F62" i="9"/>
  <c r="F66" i="9"/>
  <c r="F73" i="9"/>
  <c r="F78" i="9"/>
  <c r="L12" i="10"/>
  <c r="F15" i="10"/>
  <c r="V15" i="10"/>
  <c r="D18" i="10"/>
  <c r="T18" i="10"/>
  <c r="F25" i="10"/>
  <c r="V25" i="10"/>
  <c r="F29" i="10"/>
  <c r="V29" i="10"/>
  <c r="F33" i="10"/>
  <c r="V33" i="10"/>
  <c r="F36" i="10"/>
  <c r="V36" i="10"/>
  <c r="J16" i="11"/>
  <c r="R18" i="11"/>
  <c r="F22" i="11"/>
  <c r="V22" i="11"/>
  <c r="H227" i="12"/>
  <c r="J15" i="13"/>
  <c r="H18" i="13"/>
  <c r="F21" i="13"/>
  <c r="V21" i="13"/>
  <c r="J25" i="13"/>
  <c r="R27" i="13"/>
  <c r="J29" i="13"/>
  <c r="R31" i="13"/>
  <c r="J33" i="13"/>
  <c r="R34" i="13"/>
  <c r="J36" i="13"/>
  <c r="N12" i="14"/>
  <c r="F18" i="14"/>
  <c r="J22" i="14"/>
  <c r="R24" i="14"/>
  <c r="N178" i="15"/>
  <c r="Z220" i="15"/>
  <c r="Z16" i="18"/>
  <c r="Z32" i="18"/>
  <c r="Z48" i="18"/>
  <c r="N57" i="18"/>
  <c r="Z58" i="18"/>
  <c r="N77" i="18"/>
  <c r="Z81" i="18"/>
  <c r="Z88" i="18"/>
  <c r="L150" i="18"/>
  <c r="N150" i="18" s="1"/>
  <c r="L162" i="18"/>
  <c r="N162" i="18" s="1"/>
  <c r="X228" i="18"/>
  <c r="Z228" i="18" s="1"/>
  <c r="X246" i="18"/>
  <c r="Z246" i="18" s="1"/>
  <c r="T240" i="18"/>
  <c r="T12" i="21"/>
  <c r="L25" i="21"/>
  <c r="N25" i="21" s="1"/>
  <c r="Z33" i="21"/>
  <c r="N67" i="21"/>
  <c r="F23" i="9"/>
  <c r="F35" i="9"/>
  <c r="F39" i="9"/>
  <c r="F42" i="9"/>
  <c r="F47" i="9"/>
  <c r="F50" i="9"/>
  <c r="F67" i="9"/>
  <c r="F70" i="9"/>
  <c r="F82" i="9"/>
  <c r="F90" i="9"/>
  <c r="N12" i="10"/>
  <c r="L12" i="11"/>
  <c r="F15" i="11"/>
  <c r="V15" i="11"/>
  <c r="D18" i="11"/>
  <c r="T18" i="11"/>
  <c r="F25" i="11"/>
  <c r="V25" i="11"/>
  <c r="F29" i="11"/>
  <c r="V29" i="11"/>
  <c r="F33" i="11"/>
  <c r="V33" i="11"/>
  <c r="R16" i="13"/>
  <c r="J15" i="14"/>
  <c r="H18" i="14"/>
  <c r="J25" i="14"/>
  <c r="R27" i="14"/>
  <c r="J29" i="14"/>
  <c r="R31" i="14"/>
  <c r="J33" i="14"/>
  <c r="X164" i="15"/>
  <c r="Z164" i="15" s="1"/>
  <c r="N166" i="15"/>
  <c r="L178" i="15"/>
  <c r="L194" i="15"/>
  <c r="N194" i="15" s="1"/>
  <c r="N210" i="15"/>
  <c r="L210" i="15"/>
  <c r="L218" i="15"/>
  <c r="N218" i="15" s="1"/>
  <c r="D217" i="15"/>
  <c r="Z16" i="17"/>
  <c r="X16" i="17"/>
  <c r="Z20" i="17"/>
  <c r="X20" i="17"/>
  <c r="N21" i="18"/>
  <c r="N24" i="18"/>
  <c r="Z25" i="18"/>
  <c r="Z28" i="18"/>
  <c r="N37" i="18"/>
  <c r="N40" i="18"/>
  <c r="Z41" i="18"/>
  <c r="N43" i="18"/>
  <c r="Z44" i="18"/>
  <c r="N60" i="18"/>
  <c r="Z61" i="18"/>
  <c r="L73" i="18"/>
  <c r="N73" i="18" s="1"/>
  <c r="Z74" i="18"/>
  <c r="X77" i="18"/>
  <c r="Z77" i="18" s="1"/>
  <c r="N212" i="18"/>
  <c r="H240" i="18"/>
  <c r="L244" i="18"/>
  <c r="N244" i="18" s="1"/>
  <c r="Z20" i="19"/>
  <c r="X20" i="19"/>
  <c r="Z25" i="24"/>
  <c r="X25" i="24"/>
  <c r="V46" i="25"/>
  <c r="R15" i="16"/>
  <c r="P18" i="16"/>
  <c r="R25" i="16"/>
  <c r="J27" i="16"/>
  <c r="R29" i="16"/>
  <c r="J31" i="16"/>
  <c r="R33" i="16"/>
  <c r="J34" i="16"/>
  <c r="R36" i="16"/>
  <c r="Z12" i="17"/>
  <c r="F16" i="17"/>
  <c r="V16" i="17"/>
  <c r="F20" i="17"/>
  <c r="V20" i="17"/>
  <c r="R22" i="17"/>
  <c r="J24" i="17"/>
  <c r="Z12" i="19"/>
  <c r="F16" i="19"/>
  <c r="V16" i="19"/>
  <c r="F20" i="19"/>
  <c r="V20" i="19"/>
  <c r="R22" i="19"/>
  <c r="J24" i="19"/>
  <c r="X12" i="20"/>
  <c r="J21" i="20"/>
  <c r="F27" i="20"/>
  <c r="F31" i="20"/>
  <c r="F34" i="20"/>
  <c r="J20" i="22"/>
  <c r="J16" i="22"/>
  <c r="J34" i="22"/>
  <c r="J31" i="22"/>
  <c r="J27" i="22"/>
  <c r="J24" i="22"/>
  <c r="J21" i="22"/>
  <c r="J36" i="22"/>
  <c r="J33" i="22"/>
  <c r="J29" i="22"/>
  <c r="J25" i="22"/>
  <c r="H18" i="22"/>
  <c r="J15" i="22"/>
  <c r="D12" i="25"/>
  <c r="L13" i="25"/>
  <c r="N13" i="25" s="1"/>
  <c r="Z19" i="25"/>
  <c r="L28" i="25"/>
  <c r="R24" i="26"/>
  <c r="R21" i="26"/>
  <c r="R18" i="26"/>
  <c r="R36" i="26"/>
  <c r="R33" i="26"/>
  <c r="R29" i="26"/>
  <c r="R25" i="26"/>
  <c r="P18" i="26"/>
  <c r="R15" i="26"/>
  <c r="R22" i="26"/>
  <c r="X12" i="26"/>
  <c r="R20" i="26"/>
  <c r="R16" i="26"/>
  <c r="N33" i="27"/>
  <c r="L33" i="27"/>
  <c r="Z13" i="28"/>
  <c r="L22" i="28"/>
  <c r="X34" i="28"/>
  <c r="N37" i="28"/>
  <c r="Z38" i="28"/>
  <c r="Z42" i="28"/>
  <c r="Z49" i="28"/>
  <c r="Z53" i="28"/>
  <c r="N56" i="28"/>
  <c r="Z144" i="28"/>
  <c r="N162" i="28"/>
  <c r="H12" i="31"/>
  <c r="J16" i="16"/>
  <c r="J20" i="16"/>
  <c r="J27" i="19"/>
  <c r="J31" i="19"/>
  <c r="J34" i="19"/>
  <c r="R36" i="19"/>
  <c r="T18" i="22"/>
  <c r="V24" i="22"/>
  <c r="Z15" i="24"/>
  <c r="X15" i="24"/>
  <c r="Z33" i="24"/>
  <c r="X33" i="24"/>
  <c r="N22" i="28"/>
  <c r="Z34" i="28"/>
  <c r="L151" i="28"/>
  <c r="N151" i="28" s="1"/>
  <c r="L34" i="31"/>
  <c r="N34" i="31" s="1"/>
  <c r="Z24" i="32"/>
  <c r="X24" i="32"/>
  <c r="X121" i="34"/>
  <c r="Z121" i="34" s="1"/>
  <c r="L12" i="16"/>
  <c r="D18" i="16"/>
  <c r="T18" i="16"/>
  <c r="V25" i="16"/>
  <c r="V29" i="16"/>
  <c r="V33" i="16"/>
  <c r="V36" i="16"/>
  <c r="J16" i="17"/>
  <c r="J20" i="17"/>
  <c r="F22" i="17"/>
  <c r="X15" i="18"/>
  <c r="Z15" i="18" s="1"/>
  <c r="L19" i="18"/>
  <c r="N19" i="18" s="1"/>
  <c r="X23" i="18"/>
  <c r="Z23" i="18" s="1"/>
  <c r="L27" i="18"/>
  <c r="N27" i="18" s="1"/>
  <c r="X31" i="18"/>
  <c r="Z31" i="18" s="1"/>
  <c r="L35" i="18"/>
  <c r="N35" i="18" s="1"/>
  <c r="X39" i="18"/>
  <c r="Z39" i="18" s="1"/>
  <c r="L43" i="18"/>
  <c r="X47" i="18"/>
  <c r="Z47" i="18" s="1"/>
  <c r="L51" i="18"/>
  <c r="X55" i="18"/>
  <c r="Z55" i="18" s="1"/>
  <c r="L59" i="18"/>
  <c r="N59" i="18" s="1"/>
  <c r="X63" i="18"/>
  <c r="Z63" i="18" s="1"/>
  <c r="L67" i="18"/>
  <c r="N67" i="18" s="1"/>
  <c r="X71" i="18"/>
  <c r="Z71" i="18" s="1"/>
  <c r="L75" i="18"/>
  <c r="N75" i="18" s="1"/>
  <c r="X79" i="18"/>
  <c r="Z79" i="18" s="1"/>
  <c r="L83" i="18"/>
  <c r="N83" i="18" s="1"/>
  <c r="X87" i="18"/>
  <c r="Z87" i="18" s="1"/>
  <c r="L91" i="18"/>
  <c r="N91" i="18" s="1"/>
  <c r="J16" i="19"/>
  <c r="R18" i="19"/>
  <c r="J20" i="19"/>
  <c r="F22" i="19"/>
  <c r="P18" i="20"/>
  <c r="J27" i="20"/>
  <c r="J31" i="20"/>
  <c r="J34" i="20"/>
  <c r="D12" i="21"/>
  <c r="X14" i="21"/>
  <c r="Z14" i="21" s="1"/>
  <c r="L18" i="21"/>
  <c r="X22" i="21"/>
  <c r="X13" i="22"/>
  <c r="V18" i="22"/>
  <c r="X34" i="22"/>
  <c r="P12" i="25"/>
  <c r="X17" i="25"/>
  <c r="Z17" i="25" s="1"/>
  <c r="L20" i="25"/>
  <c r="Z32" i="25"/>
  <c r="L61" i="25"/>
  <c r="N61" i="25" s="1"/>
  <c r="D12" i="28"/>
  <c r="Z26" i="28"/>
  <c r="Z45" i="28"/>
  <c r="Z103" i="28"/>
  <c r="N105" i="28"/>
  <c r="N119" i="28"/>
  <c r="L119" i="28"/>
  <c r="Z123" i="28"/>
  <c r="N12" i="16"/>
  <c r="V18" i="16"/>
  <c r="J22" i="16"/>
  <c r="R24" i="16"/>
  <c r="L12" i="17"/>
  <c r="F15" i="17"/>
  <c r="D18" i="17"/>
  <c r="T18" i="17"/>
  <c r="R21" i="17"/>
  <c r="F25" i="17"/>
  <c r="F29" i="17"/>
  <c r="F33" i="17"/>
  <c r="F36" i="17"/>
  <c r="L12" i="19"/>
  <c r="F15" i="19"/>
  <c r="D18" i="19"/>
  <c r="T18" i="19"/>
  <c r="X18" i="19" s="1"/>
  <c r="R21" i="19"/>
  <c r="F25" i="19"/>
  <c r="F29" i="19"/>
  <c r="F33" i="19"/>
  <c r="F36" i="19"/>
  <c r="J16" i="20"/>
  <c r="J20" i="20"/>
  <c r="F22" i="20"/>
  <c r="H12" i="21"/>
  <c r="L22" i="22"/>
  <c r="J34" i="24"/>
  <c r="J31" i="24"/>
  <c r="J27" i="24"/>
  <c r="J24" i="24"/>
  <c r="J21" i="24"/>
  <c r="J18" i="24"/>
  <c r="J36" i="24"/>
  <c r="J33" i="24"/>
  <c r="J29" i="24"/>
  <c r="J25" i="24"/>
  <c r="H18" i="24"/>
  <c r="J15" i="24"/>
  <c r="J22" i="24"/>
  <c r="N12" i="24"/>
  <c r="N20" i="25"/>
  <c r="L113" i="25"/>
  <c r="N113" i="25" s="1"/>
  <c r="D112" i="25"/>
  <c r="Z24" i="26"/>
  <c r="X24" i="26"/>
  <c r="N25" i="27"/>
  <c r="L25" i="27"/>
  <c r="Z22" i="28"/>
  <c r="Z37" i="28"/>
  <c r="L107" i="28"/>
  <c r="N107" i="28" s="1"/>
  <c r="X161" i="28"/>
  <c r="P160" i="28"/>
  <c r="R112" i="36"/>
  <c r="R105" i="36"/>
  <c r="R93" i="36"/>
  <c r="R85" i="36"/>
  <c r="R110" i="36"/>
  <c r="R107" i="36"/>
  <c r="R91" i="36"/>
  <c r="R87" i="36"/>
  <c r="R83" i="36"/>
  <c r="R106" i="36"/>
  <c r="R95" i="36"/>
  <c r="R116" i="36"/>
  <c r="R102" i="36"/>
  <c r="R101" i="36"/>
  <c r="R92" i="36"/>
  <c r="R86" i="36"/>
  <c r="R82" i="36"/>
  <c r="R74" i="36"/>
  <c r="R69" i="36"/>
  <c r="R66" i="36"/>
  <c r="R61" i="36"/>
  <c r="R58" i="36"/>
  <c r="R41" i="36"/>
  <c r="R37" i="36"/>
  <c r="R111" i="36"/>
  <c r="R88" i="36"/>
  <c r="R84" i="36"/>
  <c r="R81" i="36"/>
  <c r="R52" i="36"/>
  <c r="R49" i="36"/>
  <c r="R40" i="36"/>
  <c r="R36" i="36"/>
  <c r="R29" i="36"/>
  <c r="R24" i="36"/>
  <c r="R109" i="36"/>
  <c r="R94" i="36"/>
  <c r="R71" i="36"/>
  <c r="R68" i="36"/>
  <c r="R63" i="36"/>
  <c r="R60" i="36"/>
  <c r="R55" i="36"/>
  <c r="R35" i="36"/>
  <c r="R23" i="36"/>
  <c r="R100" i="36"/>
  <c r="R99" i="36"/>
  <c r="R78" i="36"/>
  <c r="R54" i="36"/>
  <c r="R51" i="36"/>
  <c r="R46" i="36"/>
  <c r="R39" i="36"/>
  <c r="R34" i="36"/>
  <c r="R98" i="36"/>
  <c r="R97" i="36"/>
  <c r="R96" i="36"/>
  <c r="R77" i="36"/>
  <c r="R73" i="36"/>
  <c r="R70" i="36"/>
  <c r="R65" i="36"/>
  <c r="R62" i="36"/>
  <c r="R57" i="36"/>
  <c r="R45" i="36"/>
  <c r="R33" i="36"/>
  <c r="R22" i="36"/>
  <c r="R104" i="36"/>
  <c r="R103" i="36"/>
  <c r="R80" i="36"/>
  <c r="R76" i="36"/>
  <c r="R53" i="36"/>
  <c r="R48" i="36"/>
  <c r="R44" i="36"/>
  <c r="R32" i="36"/>
  <c r="R90" i="36"/>
  <c r="R75" i="36"/>
  <c r="R72" i="36"/>
  <c r="R67" i="36"/>
  <c r="R64" i="36"/>
  <c r="R59" i="36"/>
  <c r="R56" i="36"/>
  <c r="R43" i="36"/>
  <c r="R31" i="36"/>
  <c r="R26" i="36"/>
  <c r="P26" i="36"/>
  <c r="R50" i="36"/>
  <c r="R38" i="36"/>
  <c r="R47" i="36"/>
  <c r="R42" i="36"/>
  <c r="R28" i="36"/>
  <c r="R89" i="36"/>
  <c r="R30" i="36"/>
  <c r="X171" i="15"/>
  <c r="Z171" i="15" s="1"/>
  <c r="L173" i="15"/>
  <c r="N173" i="15" s="1"/>
  <c r="L205" i="15"/>
  <c r="N205" i="15" s="1"/>
  <c r="H217" i="15"/>
  <c r="J15" i="16"/>
  <c r="H18" i="16"/>
  <c r="V21" i="16"/>
  <c r="L22" i="16"/>
  <c r="J25" i="16"/>
  <c r="R27" i="16"/>
  <c r="J29" i="16"/>
  <c r="R31" i="16"/>
  <c r="J33" i="16"/>
  <c r="R34" i="16"/>
  <c r="J36" i="16"/>
  <c r="N12" i="17"/>
  <c r="X15" i="17"/>
  <c r="F18" i="17"/>
  <c r="J22" i="17"/>
  <c r="R24" i="17"/>
  <c r="X25" i="17"/>
  <c r="X29" i="17"/>
  <c r="X33" i="17"/>
  <c r="X183" i="18"/>
  <c r="L185" i="18"/>
  <c r="X203" i="18"/>
  <c r="Z203" i="18" s="1"/>
  <c r="F18" i="19"/>
  <c r="J22" i="19"/>
  <c r="R24" i="19"/>
  <c r="P27" i="19"/>
  <c r="F25" i="20"/>
  <c r="F29" i="20"/>
  <c r="F33" i="20"/>
  <c r="F36" i="20"/>
  <c r="V36" i="22"/>
  <c r="V33" i="22"/>
  <c r="V29" i="22"/>
  <c r="V25" i="22"/>
  <c r="V22" i="22"/>
  <c r="V20" i="22"/>
  <c r="V16" i="22"/>
  <c r="Z12" i="22"/>
  <c r="V34" i="22"/>
  <c r="V31" i="22"/>
  <c r="V27" i="22"/>
  <c r="V21" i="22"/>
  <c r="Z29" i="24"/>
  <c r="X29" i="24"/>
  <c r="N23" i="25"/>
  <c r="Z24" i="25"/>
  <c r="Z35" i="25"/>
  <c r="N17" i="28"/>
  <c r="Z18" i="28"/>
  <c r="T12" i="28"/>
  <c r="Z29" i="28"/>
  <c r="L46" i="28"/>
  <c r="X105" i="28"/>
  <c r="Z105" i="28" s="1"/>
  <c r="Z155" i="28"/>
  <c r="Z161" i="28"/>
  <c r="Z25" i="30"/>
  <c r="X25" i="30"/>
  <c r="Z18" i="31"/>
  <c r="X18" i="31"/>
  <c r="R16" i="16"/>
  <c r="J18" i="16"/>
  <c r="R20" i="16"/>
  <c r="V24" i="16"/>
  <c r="J15" i="17"/>
  <c r="H18" i="17"/>
  <c r="F21" i="17"/>
  <c r="J25" i="17"/>
  <c r="R27" i="17"/>
  <c r="J29" i="17"/>
  <c r="R31" i="17"/>
  <c r="J33" i="17"/>
  <c r="R34" i="17"/>
  <c r="J36" i="17"/>
  <c r="J15" i="19"/>
  <c r="H18" i="19"/>
  <c r="F21" i="19"/>
  <c r="J25" i="19"/>
  <c r="R27" i="19"/>
  <c r="J29" i="19"/>
  <c r="R31" i="19"/>
  <c r="J33" i="19"/>
  <c r="R34" i="19"/>
  <c r="J36" i="19"/>
  <c r="N12" i="20"/>
  <c r="F18" i="20"/>
  <c r="J22" i="20"/>
  <c r="L13" i="21"/>
  <c r="X17" i="21"/>
  <c r="L21" i="21"/>
  <c r="X12" i="22"/>
  <c r="L22" i="23"/>
  <c r="J16" i="24"/>
  <c r="N15" i="25"/>
  <c r="Z16" i="25"/>
  <c r="Z20" i="25"/>
  <c r="Z61" i="25"/>
  <c r="Z62" i="25"/>
  <c r="Z85" i="25"/>
  <c r="N87" i="25"/>
  <c r="Z103" i="25"/>
  <c r="X103" i="25"/>
  <c r="H12" i="28"/>
  <c r="N46" i="28"/>
  <c r="N157" i="28"/>
  <c r="N34" i="29"/>
  <c r="L34" i="29"/>
  <c r="F27" i="16"/>
  <c r="V27" i="16"/>
  <c r="F31" i="16"/>
  <c r="V31" i="16"/>
  <c r="R16" i="17"/>
  <c r="R16" i="19"/>
  <c r="J15" i="20"/>
  <c r="H18" i="20"/>
  <c r="J25" i="20"/>
  <c r="R27" i="20"/>
  <c r="J29" i="20"/>
  <c r="R31" i="20"/>
  <c r="J33" i="20"/>
  <c r="R18" i="23"/>
  <c r="R36" i="23"/>
  <c r="R33" i="23"/>
  <c r="R29" i="23"/>
  <c r="R25" i="23"/>
  <c r="P18" i="23"/>
  <c r="R15" i="23"/>
  <c r="R22" i="23"/>
  <c r="X12" i="23"/>
  <c r="R20" i="23"/>
  <c r="R16" i="23"/>
  <c r="R34" i="23"/>
  <c r="R24" i="23"/>
  <c r="D27" i="23"/>
  <c r="R21" i="23"/>
  <c r="X24" i="23"/>
  <c r="H12" i="25"/>
  <c r="Z23" i="25"/>
  <c r="Z27" i="25"/>
  <c r="L36" i="25"/>
  <c r="N36" i="25" s="1"/>
  <c r="X61" i="25"/>
  <c r="L89" i="25"/>
  <c r="N89" i="25" s="1"/>
  <c r="T112" i="25"/>
  <c r="X112" i="25" s="1"/>
  <c r="X113" i="25"/>
  <c r="Z113" i="25" s="1"/>
  <c r="R27" i="26"/>
  <c r="N15" i="27"/>
  <c r="L15" i="27"/>
  <c r="H18" i="27"/>
  <c r="Z21" i="27"/>
  <c r="X21" i="27"/>
  <c r="N29" i="27"/>
  <c r="L29" i="27"/>
  <c r="Z17" i="28"/>
  <c r="Z21" i="28"/>
  <c r="L30" i="28"/>
  <c r="N38" i="28"/>
  <c r="N42" i="28"/>
  <c r="X15" i="29"/>
  <c r="P18" i="29"/>
  <c r="F21" i="22"/>
  <c r="R27" i="22"/>
  <c r="R31" i="22"/>
  <c r="R34" i="22"/>
  <c r="N12" i="23"/>
  <c r="F18" i="23"/>
  <c r="V18" i="23"/>
  <c r="J22" i="23"/>
  <c r="L12" i="24"/>
  <c r="F15" i="24"/>
  <c r="V15" i="24"/>
  <c r="D18" i="24"/>
  <c r="T18" i="24"/>
  <c r="R21" i="24"/>
  <c r="F25" i="24"/>
  <c r="V25" i="24"/>
  <c r="F29" i="24"/>
  <c r="V29" i="24"/>
  <c r="F33" i="24"/>
  <c r="V33" i="24"/>
  <c r="F36" i="24"/>
  <c r="V36" i="24"/>
  <c r="Z15" i="25"/>
  <c r="F24" i="26"/>
  <c r="V24" i="26"/>
  <c r="V21" i="27"/>
  <c r="R27" i="27"/>
  <c r="R31" i="27"/>
  <c r="R34" i="27"/>
  <c r="J36" i="27"/>
  <c r="P12" i="28"/>
  <c r="N13" i="28"/>
  <c r="L14" i="28"/>
  <c r="N14" i="28" s="1"/>
  <c r="J27" i="29"/>
  <c r="J31" i="29"/>
  <c r="J34" i="29"/>
  <c r="Z12" i="30"/>
  <c r="F16" i="30"/>
  <c r="V16" i="30"/>
  <c r="V20" i="30"/>
  <c r="D12" i="31"/>
  <c r="N14" i="31"/>
  <c r="X16" i="31"/>
  <c r="Z16" i="31" s="1"/>
  <c r="N22" i="31"/>
  <c r="N35" i="31"/>
  <c r="X44" i="31"/>
  <c r="L50" i="31"/>
  <c r="X56" i="31"/>
  <c r="Z13" i="34"/>
  <c r="N15" i="34"/>
  <c r="Z20" i="34"/>
  <c r="L22" i="34"/>
  <c r="X34" i="34"/>
  <c r="N45" i="34"/>
  <c r="Z46" i="34"/>
  <c r="N48" i="34"/>
  <c r="L88" i="34"/>
  <c r="N88" i="34" s="1"/>
  <c r="Z107" i="34"/>
  <c r="N109" i="34"/>
  <c r="X19" i="36"/>
  <c r="Z56" i="36"/>
  <c r="X74" i="36"/>
  <c r="Z74" i="36" s="1"/>
  <c r="N86" i="36"/>
  <c r="Z16" i="37"/>
  <c r="X16" i="37"/>
  <c r="N34" i="46"/>
  <c r="L34" i="46"/>
  <c r="V24" i="27"/>
  <c r="J16" i="29"/>
  <c r="J20" i="29"/>
  <c r="F36" i="30"/>
  <c r="F33" i="30"/>
  <c r="F29" i="30"/>
  <c r="F25" i="30"/>
  <c r="F22" i="30"/>
  <c r="Z44" i="31"/>
  <c r="N50" i="31"/>
  <c r="Z56" i="31"/>
  <c r="R24" i="32"/>
  <c r="R21" i="32"/>
  <c r="R18" i="32"/>
  <c r="R36" i="32"/>
  <c r="R33" i="32"/>
  <c r="R29" i="32"/>
  <c r="R25" i="32"/>
  <c r="P18" i="32"/>
  <c r="R15" i="32"/>
  <c r="R22" i="32"/>
  <c r="X12" i="32"/>
  <c r="R20" i="32"/>
  <c r="R16" i="32"/>
  <c r="N25" i="33"/>
  <c r="L25" i="33"/>
  <c r="N22" i="34"/>
  <c r="Z34" i="34"/>
  <c r="N111" i="34"/>
  <c r="L111" i="34"/>
  <c r="Z24" i="35"/>
  <c r="X24" i="35"/>
  <c r="H12" i="36"/>
  <c r="Z19" i="36"/>
  <c r="L73" i="39"/>
  <c r="N73" i="39" s="1"/>
  <c r="F27" i="22"/>
  <c r="F31" i="22"/>
  <c r="F34" i="22"/>
  <c r="J18" i="23"/>
  <c r="V24" i="23"/>
  <c r="F21" i="24"/>
  <c r="R27" i="24"/>
  <c r="R31" i="24"/>
  <c r="R34" i="24"/>
  <c r="L14" i="25"/>
  <c r="N14" i="25" s="1"/>
  <c r="X18" i="25"/>
  <c r="Z18" i="25" s="1"/>
  <c r="L22" i="25"/>
  <c r="N22" i="25" s="1"/>
  <c r="X26" i="25"/>
  <c r="Z26" i="25" s="1"/>
  <c r="L30" i="25"/>
  <c r="N30" i="25" s="1"/>
  <c r="X34" i="25"/>
  <c r="L38" i="25"/>
  <c r="X13" i="26"/>
  <c r="F20" i="26"/>
  <c r="V20" i="26"/>
  <c r="X12" i="27"/>
  <c r="V27" i="27"/>
  <c r="V31" i="27"/>
  <c r="V34" i="27"/>
  <c r="L16" i="28"/>
  <c r="N16" i="28" s="1"/>
  <c r="X20" i="28"/>
  <c r="Z20" i="28" s="1"/>
  <c r="L24" i="28"/>
  <c r="N24" i="28" s="1"/>
  <c r="X28" i="28"/>
  <c r="Z28" i="28" s="1"/>
  <c r="L32" i="28"/>
  <c r="X36" i="28"/>
  <c r="Z36" i="28" s="1"/>
  <c r="L40" i="28"/>
  <c r="X44" i="28"/>
  <c r="Z44" i="28" s="1"/>
  <c r="L48" i="28"/>
  <c r="N48" i="28" s="1"/>
  <c r="X52" i="28"/>
  <c r="Z52" i="28" s="1"/>
  <c r="L12" i="29"/>
  <c r="F15" i="29"/>
  <c r="D18" i="29"/>
  <c r="T18" i="29"/>
  <c r="F25" i="29"/>
  <c r="F29" i="29"/>
  <c r="F33" i="29"/>
  <c r="F36" i="29"/>
  <c r="J16" i="30"/>
  <c r="J20" i="30"/>
  <c r="J25" i="30"/>
  <c r="V27" i="30"/>
  <c r="J36" i="30"/>
  <c r="R27" i="32"/>
  <c r="N29" i="33"/>
  <c r="L29" i="33"/>
  <c r="N33" i="33"/>
  <c r="L33" i="33"/>
  <c r="L14" i="34"/>
  <c r="Z26" i="34"/>
  <c r="Z30" i="34"/>
  <c r="Z53" i="34"/>
  <c r="X109" i="34"/>
  <c r="Z109" i="34" s="1"/>
  <c r="R24" i="35"/>
  <c r="R21" i="35"/>
  <c r="R18" i="35"/>
  <c r="R36" i="35"/>
  <c r="R33" i="35"/>
  <c r="R29" i="35"/>
  <c r="R25" i="35"/>
  <c r="P18" i="35"/>
  <c r="R15" i="35"/>
  <c r="R22" i="35"/>
  <c r="X12" i="35"/>
  <c r="R20" i="35"/>
  <c r="R16" i="35"/>
  <c r="X58" i="36"/>
  <c r="Z58" i="36" s="1"/>
  <c r="L60" i="36"/>
  <c r="N60" i="36" s="1"/>
  <c r="Z62" i="36"/>
  <c r="N64" i="36"/>
  <c r="X86" i="36"/>
  <c r="Z86" i="36" s="1"/>
  <c r="N34" i="43"/>
  <c r="L34" i="43"/>
  <c r="F16" i="22"/>
  <c r="F20" i="22"/>
  <c r="R22" i="22"/>
  <c r="J21" i="23"/>
  <c r="F27" i="23"/>
  <c r="V27" i="23"/>
  <c r="F31" i="23"/>
  <c r="V31" i="23"/>
  <c r="F34" i="23"/>
  <c r="V34" i="23"/>
  <c r="R16" i="24"/>
  <c r="R20" i="24"/>
  <c r="F24" i="24"/>
  <c r="V24" i="24"/>
  <c r="Z12" i="27"/>
  <c r="V16" i="27"/>
  <c r="V20" i="27"/>
  <c r="R22" i="27"/>
  <c r="N12" i="29"/>
  <c r="F18" i="29"/>
  <c r="J22" i="29"/>
  <c r="L12" i="30"/>
  <c r="F15" i="30"/>
  <c r="V15" i="30"/>
  <c r="D18" i="30"/>
  <c r="T18" i="30"/>
  <c r="J22" i="30"/>
  <c r="L25" i="30"/>
  <c r="F27" i="30"/>
  <c r="V31" i="30"/>
  <c r="X34" i="31"/>
  <c r="Z34" i="31" s="1"/>
  <c r="X80" i="31"/>
  <c r="R34" i="32"/>
  <c r="N15" i="33"/>
  <c r="L15" i="33"/>
  <c r="Z21" i="33"/>
  <c r="X21" i="33"/>
  <c r="N14" i="34"/>
  <c r="Z22" i="34"/>
  <c r="N24" i="34"/>
  <c r="Z45" i="34"/>
  <c r="N47" i="34"/>
  <c r="N154" i="34"/>
  <c r="Z28" i="36"/>
  <c r="R15" i="22"/>
  <c r="X16" i="22"/>
  <c r="P18" i="22"/>
  <c r="R25" i="22"/>
  <c r="R29" i="22"/>
  <c r="R33" i="22"/>
  <c r="Z12" i="23"/>
  <c r="F16" i="23"/>
  <c r="V16" i="23"/>
  <c r="V20" i="23"/>
  <c r="J24" i="23"/>
  <c r="X12" i="24"/>
  <c r="F27" i="24"/>
  <c r="V27" i="24"/>
  <c r="F31" i="24"/>
  <c r="V31" i="24"/>
  <c r="F34" i="24"/>
  <c r="V34" i="24"/>
  <c r="H112" i="25"/>
  <c r="J16" i="26"/>
  <c r="F22" i="26"/>
  <c r="V22" i="26"/>
  <c r="R15" i="27"/>
  <c r="P18" i="27"/>
  <c r="R25" i="27"/>
  <c r="J27" i="27"/>
  <c r="R29" i="27"/>
  <c r="J31" i="27"/>
  <c r="R33" i="27"/>
  <c r="J34" i="27"/>
  <c r="R36" i="27"/>
  <c r="D160" i="28"/>
  <c r="L160" i="28" s="1"/>
  <c r="N160" i="28" s="1"/>
  <c r="T160" i="28"/>
  <c r="J15" i="29"/>
  <c r="H18" i="29"/>
  <c r="F21" i="29"/>
  <c r="V21" i="29"/>
  <c r="J25" i="29"/>
  <c r="R27" i="29"/>
  <c r="J29" i="29"/>
  <c r="R31" i="29"/>
  <c r="J33" i="29"/>
  <c r="J36" i="29"/>
  <c r="N12" i="30"/>
  <c r="F18" i="30"/>
  <c r="V18" i="30"/>
  <c r="V21" i="30"/>
  <c r="F24" i="30"/>
  <c r="X29" i="30"/>
  <c r="X33" i="30"/>
  <c r="R34" i="30"/>
  <c r="R36" i="30"/>
  <c r="X13" i="31"/>
  <c r="Z13" i="31" s="1"/>
  <c r="L17" i="31"/>
  <c r="X21" i="31"/>
  <c r="X50" i="31"/>
  <c r="Z50" i="31" s="1"/>
  <c r="D12" i="34"/>
  <c r="N17" i="34"/>
  <c r="Z18" i="34"/>
  <c r="T12" i="34"/>
  <c r="Z25" i="34"/>
  <c r="Z37" i="34"/>
  <c r="N39" i="34"/>
  <c r="L54" i="34"/>
  <c r="Z88" i="34"/>
  <c r="Z98" i="34"/>
  <c r="N139" i="34"/>
  <c r="L139" i="34"/>
  <c r="Z14" i="36"/>
  <c r="Z64" i="36"/>
  <c r="N66" i="36"/>
  <c r="Z70" i="36"/>
  <c r="Z25" i="40"/>
  <c r="X25" i="40"/>
  <c r="F22" i="22"/>
  <c r="J27" i="23"/>
  <c r="J31" i="23"/>
  <c r="J34" i="23"/>
  <c r="Z12" i="24"/>
  <c r="F16" i="24"/>
  <c r="V16" i="24"/>
  <c r="R22" i="24"/>
  <c r="L12" i="26"/>
  <c r="F15" i="26"/>
  <c r="V15" i="26"/>
  <c r="D18" i="26"/>
  <c r="T18" i="26"/>
  <c r="F25" i="26"/>
  <c r="V25" i="26"/>
  <c r="F29" i="26"/>
  <c r="V29" i="26"/>
  <c r="F33" i="26"/>
  <c r="V33" i="26"/>
  <c r="J16" i="27"/>
  <c r="R18" i="27"/>
  <c r="V22" i="27"/>
  <c r="J18" i="29"/>
  <c r="F24" i="29"/>
  <c r="J15" i="30"/>
  <c r="H18" i="30"/>
  <c r="F21" i="30"/>
  <c r="X24" i="30"/>
  <c r="J27" i="30"/>
  <c r="L29" i="30"/>
  <c r="L33" i="30"/>
  <c r="P12" i="31"/>
  <c r="T12" i="31"/>
  <c r="N17" i="31"/>
  <c r="X19" i="31"/>
  <c r="Z19" i="31" s="1"/>
  <c r="Z20" i="31"/>
  <c r="Z21" i="31"/>
  <c r="L23" i="31"/>
  <c r="N24" i="31"/>
  <c r="N80" i="31"/>
  <c r="R31" i="32"/>
  <c r="H12" i="34"/>
  <c r="Z14" i="34"/>
  <c r="N16" i="34"/>
  <c r="Z29" i="34"/>
  <c r="N31" i="34"/>
  <c r="Z44" i="34"/>
  <c r="L46" i="34"/>
  <c r="N54" i="34"/>
  <c r="N58" i="34"/>
  <c r="X163" i="34"/>
  <c r="Z163" i="34" s="1"/>
  <c r="R27" i="35"/>
  <c r="X15" i="38"/>
  <c r="P18" i="38"/>
  <c r="J16" i="23"/>
  <c r="P18" i="24"/>
  <c r="R25" i="24"/>
  <c r="R29" i="24"/>
  <c r="R33" i="24"/>
  <c r="V15" i="27"/>
  <c r="T18" i="27"/>
  <c r="V25" i="27"/>
  <c r="V29" i="27"/>
  <c r="V33" i="27"/>
  <c r="F27" i="29"/>
  <c r="F31" i="29"/>
  <c r="V36" i="30"/>
  <c r="V33" i="30"/>
  <c r="V29" i="30"/>
  <c r="V25" i="30"/>
  <c r="J18" i="30"/>
  <c r="F31" i="30"/>
  <c r="V34" i="30"/>
  <c r="L15" i="31"/>
  <c r="N15" i="31" s="1"/>
  <c r="N16" i="31"/>
  <c r="Z80" i="31"/>
  <c r="Z17" i="34"/>
  <c r="L38" i="34"/>
  <c r="N38" i="34" s="1"/>
  <c r="N46" i="34"/>
  <c r="X50" i="34"/>
  <c r="Z50" i="34" s="1"/>
  <c r="N123" i="34"/>
  <c r="L123" i="34"/>
  <c r="L147" i="34"/>
  <c r="N147" i="34" s="1"/>
  <c r="D12" i="36"/>
  <c r="L28" i="36"/>
  <c r="N28" i="36" s="1"/>
  <c r="X66" i="36"/>
  <c r="Z66" i="36" s="1"/>
  <c r="N68" i="36"/>
  <c r="L68" i="36"/>
  <c r="V96" i="42"/>
  <c r="V92" i="42"/>
  <c r="V84" i="42"/>
  <c r="V76" i="42"/>
  <c r="V72" i="42"/>
  <c r="V68" i="42"/>
  <c r="V64" i="42"/>
  <c r="V56" i="42"/>
  <c r="V48" i="42"/>
  <c r="V36" i="42"/>
  <c r="V32" i="42"/>
  <c r="V20" i="42"/>
  <c r="V101" i="42"/>
  <c r="V95" i="42"/>
  <c r="V83" i="42"/>
  <c r="V79" i="42"/>
  <c r="V75" i="42"/>
  <c r="V71" i="42"/>
  <c r="V67" i="42"/>
  <c r="V59" i="42"/>
  <c r="V51" i="42"/>
  <c r="V47" i="42"/>
  <c r="V31" i="42"/>
  <c r="V19" i="42"/>
  <c r="V98" i="42"/>
  <c r="V94" i="42"/>
  <c r="V82" i="42"/>
  <c r="V78" i="42"/>
  <c r="V74" i="42"/>
  <c r="V66" i="42"/>
  <c r="V58" i="42"/>
  <c r="V50" i="42"/>
  <c r="V42" i="42"/>
  <c r="V30" i="42"/>
  <c r="V107" i="42"/>
  <c r="V97" i="42"/>
  <c r="V89" i="42"/>
  <c r="V81" i="42"/>
  <c r="V73" i="42"/>
  <c r="V61" i="42"/>
  <c r="V53" i="42"/>
  <c r="V49" i="42"/>
  <c r="V41" i="42"/>
  <c r="V29" i="42"/>
  <c r="V25" i="42"/>
  <c r="V102" i="42"/>
  <c r="V88" i="42"/>
  <c r="V80" i="42"/>
  <c r="V60" i="42"/>
  <c r="V52" i="42"/>
  <c r="V44" i="42"/>
  <c r="V40" i="42"/>
  <c r="V28" i="42"/>
  <c r="T23" i="42"/>
  <c r="V91" i="42"/>
  <c r="V87" i="42"/>
  <c r="V63" i="42"/>
  <c r="V55" i="42"/>
  <c r="V43" i="42"/>
  <c r="V39" i="42"/>
  <c r="V35" i="42"/>
  <c r="V27" i="42"/>
  <c r="V100" i="42"/>
  <c r="V90" i="42"/>
  <c r="V86" i="42"/>
  <c r="V70" i="42"/>
  <c r="V62" i="42"/>
  <c r="V54" i="42"/>
  <c r="V46" i="42"/>
  <c r="V38" i="42"/>
  <c r="V34" i="42"/>
  <c r="V26" i="42"/>
  <c r="V77" i="42"/>
  <c r="V33" i="42"/>
  <c r="V57" i="42"/>
  <c r="V45" i="42"/>
  <c r="V103" i="42"/>
  <c r="V69" i="42"/>
  <c r="V37" i="42"/>
  <c r="V93" i="42"/>
  <c r="V85" i="42"/>
  <c r="V65" i="42"/>
  <c r="V21" i="42"/>
  <c r="J18" i="32"/>
  <c r="F24" i="32"/>
  <c r="V24" i="32"/>
  <c r="H18" i="33"/>
  <c r="F21" i="33"/>
  <c r="V21" i="33"/>
  <c r="J25" i="33"/>
  <c r="R27" i="33"/>
  <c r="J29" i="33"/>
  <c r="R31" i="33"/>
  <c r="J33" i="33"/>
  <c r="R34" i="33"/>
  <c r="J36" i="33"/>
  <c r="P12" i="34"/>
  <c r="N13" i="34"/>
  <c r="F24" i="35"/>
  <c r="V24" i="35"/>
  <c r="T12" i="36"/>
  <c r="N14" i="36"/>
  <c r="L15" i="36"/>
  <c r="N15" i="36" s="1"/>
  <c r="Z106" i="36"/>
  <c r="F25" i="37"/>
  <c r="F27" i="37"/>
  <c r="J36" i="38"/>
  <c r="J33" i="38"/>
  <c r="J29" i="38"/>
  <c r="J25" i="38"/>
  <c r="H18" i="38"/>
  <c r="J15" i="38"/>
  <c r="J22" i="38"/>
  <c r="N12" i="38"/>
  <c r="J34" i="38"/>
  <c r="J31" i="38"/>
  <c r="J27" i="38"/>
  <c r="J21" i="38"/>
  <c r="Z45" i="39"/>
  <c r="X71" i="39"/>
  <c r="Z71" i="39" s="1"/>
  <c r="Z77" i="39"/>
  <c r="N89" i="39"/>
  <c r="F20" i="41"/>
  <c r="F16" i="41"/>
  <c r="F34" i="41"/>
  <c r="F31" i="41"/>
  <c r="F27" i="41"/>
  <c r="F24" i="41"/>
  <c r="F21" i="41"/>
  <c r="F18" i="41"/>
  <c r="F36" i="41"/>
  <c r="F33" i="41"/>
  <c r="F29" i="41"/>
  <c r="F25" i="41"/>
  <c r="D18" i="41"/>
  <c r="F15" i="41"/>
  <c r="L12" i="41"/>
  <c r="F22" i="41"/>
  <c r="Z22" i="41"/>
  <c r="X22" i="41"/>
  <c r="Z25" i="42"/>
  <c r="Z56" i="42"/>
  <c r="N62" i="42"/>
  <c r="Z66" i="42"/>
  <c r="F74" i="42"/>
  <c r="Z80" i="42"/>
  <c r="F82" i="42"/>
  <c r="X15" i="43"/>
  <c r="P18" i="43"/>
  <c r="V24" i="33"/>
  <c r="N110" i="36"/>
  <c r="H109" i="36"/>
  <c r="R84" i="39"/>
  <c r="Z15" i="40"/>
  <c r="X15" i="40"/>
  <c r="N64" i="42"/>
  <c r="L64" i="42"/>
  <c r="P12" i="45"/>
  <c r="X13" i="45"/>
  <c r="Z12" i="32"/>
  <c r="F16" i="32"/>
  <c r="V16" i="32"/>
  <c r="F20" i="32"/>
  <c r="V20" i="32"/>
  <c r="J24" i="32"/>
  <c r="X12" i="33"/>
  <c r="J21" i="33"/>
  <c r="F27" i="33"/>
  <c r="V27" i="33"/>
  <c r="F31" i="33"/>
  <c r="V31" i="33"/>
  <c r="F34" i="33"/>
  <c r="V34" i="33"/>
  <c r="Z12" i="35"/>
  <c r="F16" i="35"/>
  <c r="V16" i="35"/>
  <c r="F20" i="35"/>
  <c r="V20" i="35"/>
  <c r="L110" i="36"/>
  <c r="L22" i="37"/>
  <c r="L24" i="37"/>
  <c r="V21" i="38"/>
  <c r="V18" i="38"/>
  <c r="V36" i="38"/>
  <c r="V33" i="38"/>
  <c r="V29" i="38"/>
  <c r="V25" i="38"/>
  <c r="T18" i="38"/>
  <c r="V15" i="38"/>
  <c r="V34" i="38"/>
  <c r="V31" i="38"/>
  <c r="V27" i="38"/>
  <c r="X12" i="38"/>
  <c r="J24" i="38"/>
  <c r="N18" i="39"/>
  <c r="L18" i="39"/>
  <c r="L27" i="39"/>
  <c r="N27" i="39" s="1"/>
  <c r="Z35" i="39"/>
  <c r="R51" i="39"/>
  <c r="Z55" i="39"/>
  <c r="Z89" i="39"/>
  <c r="Z103" i="39"/>
  <c r="J34" i="40"/>
  <c r="J31" i="40"/>
  <c r="J27" i="40"/>
  <c r="J24" i="40"/>
  <c r="J21" i="40"/>
  <c r="J18" i="40"/>
  <c r="J36" i="40"/>
  <c r="J33" i="40"/>
  <c r="J29" i="40"/>
  <c r="J25" i="40"/>
  <c r="H18" i="40"/>
  <c r="J15" i="40"/>
  <c r="J22" i="40"/>
  <c r="N12" i="40"/>
  <c r="L12" i="40"/>
  <c r="F107" i="42"/>
  <c r="F92" i="42"/>
  <c r="F89" i="42"/>
  <c r="F81" i="42"/>
  <c r="F64" i="42"/>
  <c r="F61" i="42"/>
  <c r="F56" i="42"/>
  <c r="F53" i="42"/>
  <c r="F41" i="42"/>
  <c r="F36" i="42"/>
  <c r="F29" i="42"/>
  <c r="F101" i="42"/>
  <c r="F88" i="42"/>
  <c r="F71" i="42"/>
  <c r="F47" i="42"/>
  <c r="F44" i="42"/>
  <c r="F40" i="42"/>
  <c r="F28" i="42"/>
  <c r="F19" i="42"/>
  <c r="F94" i="42"/>
  <c r="F91" i="42"/>
  <c r="F87" i="42"/>
  <c r="F78" i="42"/>
  <c r="F66" i="42"/>
  <c r="F63" i="42"/>
  <c r="F58" i="42"/>
  <c r="F55" i="42"/>
  <c r="F39" i="42"/>
  <c r="F35" i="42"/>
  <c r="F27" i="42"/>
  <c r="F97" i="42"/>
  <c r="F86" i="42"/>
  <c r="F73" i="42"/>
  <c r="F70" i="42"/>
  <c r="F49" i="42"/>
  <c r="F46" i="42"/>
  <c r="F38" i="42"/>
  <c r="F34" i="42"/>
  <c r="F23" i="42"/>
  <c r="F102" i="42"/>
  <c r="F93" i="42"/>
  <c r="F85" i="42"/>
  <c r="F80" i="42"/>
  <c r="F77" i="42"/>
  <c r="F69" i="42"/>
  <c r="F65" i="42"/>
  <c r="F60" i="42"/>
  <c r="F57" i="42"/>
  <c r="F52" i="42"/>
  <c r="F37" i="42"/>
  <c r="F33" i="42"/>
  <c r="D23" i="42"/>
  <c r="F21" i="42"/>
  <c r="F96" i="42"/>
  <c r="F84" i="42"/>
  <c r="F76" i="42"/>
  <c r="F72" i="42"/>
  <c r="F68" i="42"/>
  <c r="F48" i="42"/>
  <c r="F43" i="42"/>
  <c r="F32" i="42"/>
  <c r="F20" i="42"/>
  <c r="F100" i="42"/>
  <c r="F95" i="42"/>
  <c r="F90" i="42"/>
  <c r="F83" i="42"/>
  <c r="F79" i="42"/>
  <c r="F75" i="42"/>
  <c r="F67" i="42"/>
  <c r="F62" i="42"/>
  <c r="F59" i="42"/>
  <c r="F54" i="42"/>
  <c r="F51" i="42"/>
  <c r="F31" i="42"/>
  <c r="F26" i="42"/>
  <c r="F25" i="42"/>
  <c r="X62" i="42"/>
  <c r="Z62" i="42" s="1"/>
  <c r="N92" i="42"/>
  <c r="L92" i="42"/>
  <c r="F98" i="42"/>
  <c r="Z16" i="44"/>
  <c r="X16" i="44"/>
  <c r="Z20" i="44"/>
  <c r="X20" i="44"/>
  <c r="Z13" i="45"/>
  <c r="J27" i="32"/>
  <c r="J31" i="32"/>
  <c r="J34" i="32"/>
  <c r="Z12" i="33"/>
  <c r="V16" i="33"/>
  <c r="V20" i="33"/>
  <c r="J34" i="35"/>
  <c r="F24" i="37"/>
  <c r="F21" i="37"/>
  <c r="F18" i="37"/>
  <c r="F22" i="37"/>
  <c r="F20" i="37"/>
  <c r="F16" i="37"/>
  <c r="H27" i="37"/>
  <c r="R113" i="39"/>
  <c r="R102" i="39"/>
  <c r="R98" i="39"/>
  <c r="R91" i="39"/>
  <c r="R74" i="39"/>
  <c r="R71" i="39"/>
  <c r="R59" i="39"/>
  <c r="R54" i="39"/>
  <c r="R50" i="39"/>
  <c r="R38" i="39"/>
  <c r="R27" i="39"/>
  <c r="R97" i="39"/>
  <c r="R81" i="39"/>
  <c r="R65" i="39"/>
  <c r="R62" i="39"/>
  <c r="R49" i="39"/>
  <c r="R37" i="39"/>
  <c r="R111" i="39"/>
  <c r="R104" i="39"/>
  <c r="R101" i="39"/>
  <c r="R96" i="39"/>
  <c r="R88" i="39"/>
  <c r="R80" i="39"/>
  <c r="R76" i="39"/>
  <c r="R73" i="39"/>
  <c r="R68" i="39"/>
  <c r="R56" i="39"/>
  <c r="R53" i="39"/>
  <c r="R48" i="39"/>
  <c r="R44" i="39"/>
  <c r="R36" i="39"/>
  <c r="R34" i="39"/>
  <c r="P32" i="39"/>
  <c r="R114" i="39"/>
  <c r="R107" i="39"/>
  <c r="R95" i="39"/>
  <c r="R87" i="39"/>
  <c r="R83" i="39"/>
  <c r="R79" i="39"/>
  <c r="R67" i="39"/>
  <c r="R64" i="39"/>
  <c r="R47" i="39"/>
  <c r="R43" i="39"/>
  <c r="R106" i="39"/>
  <c r="R103" i="39"/>
  <c r="R94" i="39"/>
  <c r="R90" i="39"/>
  <c r="R86" i="39"/>
  <c r="R78" i="39"/>
  <c r="R75" i="39"/>
  <c r="R70" i="39"/>
  <c r="R58" i="39"/>
  <c r="R55" i="39"/>
  <c r="R46" i="39"/>
  <c r="R42" i="39"/>
  <c r="R35" i="39"/>
  <c r="R30" i="39"/>
  <c r="R112" i="39"/>
  <c r="R109" i="39"/>
  <c r="R93" i="39"/>
  <c r="R85" i="39"/>
  <c r="R82" i="39"/>
  <c r="R66" i="39"/>
  <c r="R61" i="39"/>
  <c r="R41" i="39"/>
  <c r="R118" i="39"/>
  <c r="R105" i="39"/>
  <c r="R100" i="39"/>
  <c r="R92" i="39"/>
  <c r="R89" i="39"/>
  <c r="R77" i="39"/>
  <c r="R72" i="39"/>
  <c r="R69" i="39"/>
  <c r="R60" i="39"/>
  <c r="R57" i="39"/>
  <c r="R52" i="39"/>
  <c r="R45" i="39"/>
  <c r="R40" i="39"/>
  <c r="R28" i="39"/>
  <c r="R39" i="39"/>
  <c r="N53" i="39"/>
  <c r="L53" i="39"/>
  <c r="L101" i="39"/>
  <c r="N101" i="39" s="1"/>
  <c r="D111" i="39"/>
  <c r="L111" i="39" s="1"/>
  <c r="N111" i="39" s="1"/>
  <c r="L113" i="39"/>
  <c r="Z33" i="40"/>
  <c r="X33" i="40"/>
  <c r="N14" i="42"/>
  <c r="Z52" i="42"/>
  <c r="X90" i="42"/>
  <c r="Z90" i="42" s="1"/>
  <c r="V42" i="45"/>
  <c r="X44" i="48"/>
  <c r="Z44" i="48" s="1"/>
  <c r="L46" i="48"/>
  <c r="N46" i="48" s="1"/>
  <c r="J16" i="32"/>
  <c r="F22" i="32"/>
  <c r="V22" i="32"/>
  <c r="R15" i="33"/>
  <c r="P18" i="33"/>
  <c r="R25" i="33"/>
  <c r="J27" i="33"/>
  <c r="R29" i="33"/>
  <c r="J31" i="33"/>
  <c r="R33" i="33"/>
  <c r="J34" i="33"/>
  <c r="R36" i="33"/>
  <c r="J16" i="35"/>
  <c r="F22" i="35"/>
  <c r="V22" i="35"/>
  <c r="X81" i="36"/>
  <c r="Z81" i="36" s="1"/>
  <c r="T109" i="36"/>
  <c r="F33" i="37"/>
  <c r="X14" i="39"/>
  <c r="Z14" i="39" s="1"/>
  <c r="N59" i="39"/>
  <c r="R63" i="39"/>
  <c r="Z105" i="39"/>
  <c r="R108" i="39"/>
  <c r="P12" i="42"/>
  <c r="Z15" i="42"/>
  <c r="X15" i="42"/>
  <c r="N26" i="42"/>
  <c r="L36" i="42"/>
  <c r="N36" i="42" s="1"/>
  <c r="N54" i="42"/>
  <c r="Z92" i="42"/>
  <c r="P100" i="42"/>
  <c r="X100" i="42" s="1"/>
  <c r="Z100" i="42" s="1"/>
  <c r="X102" i="42"/>
  <c r="Z13" i="44"/>
  <c r="X13" i="44"/>
  <c r="N29" i="44"/>
  <c r="L29" i="44"/>
  <c r="L12" i="32"/>
  <c r="F15" i="32"/>
  <c r="V15" i="32"/>
  <c r="D18" i="32"/>
  <c r="T18" i="32"/>
  <c r="F25" i="32"/>
  <c r="V25" i="32"/>
  <c r="F29" i="32"/>
  <c r="V29" i="32"/>
  <c r="F33" i="32"/>
  <c r="V33" i="32"/>
  <c r="J16" i="33"/>
  <c r="V22" i="33"/>
  <c r="L12" i="35"/>
  <c r="F15" i="35"/>
  <c r="V15" i="35"/>
  <c r="D18" i="35"/>
  <c r="T18" i="35"/>
  <c r="F25" i="35"/>
  <c r="V25" i="35"/>
  <c r="F29" i="35"/>
  <c r="V29" i="35"/>
  <c r="F33" i="35"/>
  <c r="V33" i="35"/>
  <c r="L99" i="36"/>
  <c r="N99" i="36" s="1"/>
  <c r="N106" i="36"/>
  <c r="X110" i="36"/>
  <c r="Z110" i="36" s="1"/>
  <c r="L12" i="37"/>
  <c r="X20" i="37"/>
  <c r="F34" i="37"/>
  <c r="V22" i="38"/>
  <c r="X33" i="38"/>
  <c r="X34" i="38"/>
  <c r="T12" i="39"/>
  <c r="X12" i="39" s="1"/>
  <c r="X13" i="39"/>
  <c r="Z27" i="39"/>
  <c r="Z53" i="39"/>
  <c r="Z69" i="39"/>
  <c r="Z91" i="39"/>
  <c r="X91" i="39"/>
  <c r="Z101" i="39"/>
  <c r="L15" i="40"/>
  <c r="D18" i="40"/>
  <c r="Z29" i="40"/>
  <c r="X29" i="40"/>
  <c r="N25" i="42"/>
  <c r="N66" i="42"/>
  <c r="Z102" i="42"/>
  <c r="N24" i="44"/>
  <c r="L24" i="44"/>
  <c r="V15" i="33"/>
  <c r="T18" i="33"/>
  <c r="V25" i="33"/>
  <c r="V29" i="33"/>
  <c r="V33" i="33"/>
  <c r="X89" i="36"/>
  <c r="Z89" i="36" s="1"/>
  <c r="Z112" i="36"/>
  <c r="F29" i="37"/>
  <c r="F31" i="37"/>
  <c r="J16" i="38"/>
  <c r="J20" i="38"/>
  <c r="H12" i="39"/>
  <c r="L16" i="39"/>
  <c r="N16" i="39" s="1"/>
  <c r="Z22" i="39"/>
  <c r="X22" i="39"/>
  <c r="Z59" i="39"/>
  <c r="X59" i="39"/>
  <c r="T111" i="39"/>
  <c r="Z113" i="39"/>
  <c r="X113" i="39"/>
  <c r="N16" i="41"/>
  <c r="L16" i="41"/>
  <c r="N20" i="41"/>
  <c r="L20" i="41"/>
  <c r="X26" i="42"/>
  <c r="Z26" i="42" s="1"/>
  <c r="F30" i="42"/>
  <c r="Z36" i="42"/>
  <c r="X54" i="42"/>
  <c r="Z54" i="42" s="1"/>
  <c r="N56" i="42"/>
  <c r="L56" i="42"/>
  <c r="V85" i="45"/>
  <c r="V81" i="45"/>
  <c r="V61" i="45"/>
  <c r="V53" i="45"/>
  <c r="V45" i="45"/>
  <c r="V41" i="45"/>
  <c r="V29" i="45"/>
  <c r="V25" i="45"/>
  <c r="V23" i="45"/>
  <c r="V84" i="45"/>
  <c r="V80" i="45"/>
  <c r="V72" i="45"/>
  <c r="V60" i="45"/>
  <c r="V52" i="45"/>
  <c r="V44" i="45"/>
  <c r="V40" i="45"/>
  <c r="V28" i="45"/>
  <c r="V87" i="45"/>
  <c r="V79" i="45"/>
  <c r="V71" i="45"/>
  <c r="V67" i="45"/>
  <c r="V63" i="45"/>
  <c r="V55" i="45"/>
  <c r="V47" i="45"/>
  <c r="V39" i="45"/>
  <c r="V35" i="45"/>
  <c r="V27" i="45"/>
  <c r="V96" i="45"/>
  <c r="V90" i="45"/>
  <c r="V86" i="45"/>
  <c r="V78" i="45"/>
  <c r="V74" i="45"/>
  <c r="V70" i="45"/>
  <c r="V66" i="45"/>
  <c r="V62" i="45"/>
  <c r="V54" i="45"/>
  <c r="V46" i="45"/>
  <c r="V38" i="45"/>
  <c r="V34" i="45"/>
  <c r="V26" i="45"/>
  <c r="V89" i="45"/>
  <c r="V77" i="45"/>
  <c r="V73" i="45"/>
  <c r="V69" i="45"/>
  <c r="V65" i="45"/>
  <c r="V57" i="45"/>
  <c r="V49" i="45"/>
  <c r="V37" i="45"/>
  <c r="V33" i="45"/>
  <c r="V88" i="45"/>
  <c r="V83" i="45"/>
  <c r="V75" i="45"/>
  <c r="V59" i="45"/>
  <c r="V51" i="45"/>
  <c r="V56" i="45"/>
  <c r="V43" i="45"/>
  <c r="V50" i="45"/>
  <c r="V32" i="45"/>
  <c r="V92" i="45"/>
  <c r="V58" i="45"/>
  <c r="V21" i="45"/>
  <c r="V20" i="45"/>
  <c r="V19" i="45"/>
  <c r="V48" i="45"/>
  <c r="V30" i="45"/>
  <c r="T23" i="45"/>
  <c r="V76" i="45"/>
  <c r="V64" i="45"/>
  <c r="V31" i="45"/>
  <c r="V82" i="45"/>
  <c r="R22" i="37"/>
  <c r="J24" i="37"/>
  <c r="F27" i="38"/>
  <c r="F31" i="38"/>
  <c r="F34" i="38"/>
  <c r="V15" i="40"/>
  <c r="T18" i="40"/>
  <c r="R21" i="40"/>
  <c r="V25" i="40"/>
  <c r="V29" i="40"/>
  <c r="V33" i="40"/>
  <c r="V36" i="40"/>
  <c r="J16" i="41"/>
  <c r="R18" i="41"/>
  <c r="J20" i="41"/>
  <c r="H12" i="42"/>
  <c r="L12" i="42" s="1"/>
  <c r="J27" i="43"/>
  <c r="J31" i="43"/>
  <c r="J34" i="43"/>
  <c r="F16" i="44"/>
  <c r="R22" i="44"/>
  <c r="X16" i="45"/>
  <c r="Z16" i="45" s="1"/>
  <c r="F41" i="45"/>
  <c r="F50" i="45"/>
  <c r="Z73" i="45"/>
  <c r="L75" i="45"/>
  <c r="F92" i="45"/>
  <c r="X15" i="46"/>
  <c r="P18" i="46"/>
  <c r="Z16" i="47"/>
  <c r="X16" i="47"/>
  <c r="Z20" i="47"/>
  <c r="X20" i="47"/>
  <c r="N30" i="48"/>
  <c r="N56" i="48"/>
  <c r="Z25" i="50"/>
  <c r="X25" i="50"/>
  <c r="J97" i="51"/>
  <c r="J89" i="51"/>
  <c r="J79" i="51"/>
  <c r="J73" i="51"/>
  <c r="J65" i="51"/>
  <c r="J61" i="51"/>
  <c r="J53" i="51"/>
  <c r="J49" i="51"/>
  <c r="J41" i="51"/>
  <c r="J35" i="51"/>
  <c r="J88" i="51"/>
  <c r="J84" i="51"/>
  <c r="J70" i="51"/>
  <c r="J60" i="51"/>
  <c r="J54" i="51"/>
  <c r="J48" i="51"/>
  <c r="J40" i="51"/>
  <c r="J95" i="51"/>
  <c r="J91" i="51"/>
  <c r="J87" i="51"/>
  <c r="J81" i="51"/>
  <c r="J75" i="51"/>
  <c r="J59" i="51"/>
  <c r="J47" i="51"/>
  <c r="J39" i="51"/>
  <c r="J98" i="51"/>
  <c r="J86" i="51"/>
  <c r="J78" i="51"/>
  <c r="J72" i="51"/>
  <c r="J64" i="51"/>
  <c r="J58" i="51"/>
  <c r="J46" i="51"/>
  <c r="J38" i="51"/>
  <c r="J93" i="51"/>
  <c r="J83" i="51"/>
  <c r="J77" i="51"/>
  <c r="J69" i="51"/>
  <c r="J57" i="51"/>
  <c r="J45" i="51"/>
  <c r="J37" i="51"/>
  <c r="J102" i="51"/>
  <c r="J96" i="51"/>
  <c r="J90" i="51"/>
  <c r="J80" i="51"/>
  <c r="J74" i="51"/>
  <c r="J68" i="51"/>
  <c r="J56" i="51"/>
  <c r="J44" i="51"/>
  <c r="J36" i="51"/>
  <c r="J85" i="51"/>
  <c r="J71" i="51"/>
  <c r="J67" i="51"/>
  <c r="J63" i="51"/>
  <c r="J55" i="51"/>
  <c r="J51" i="51"/>
  <c r="J43" i="51"/>
  <c r="L28" i="51"/>
  <c r="N28" i="51" s="1"/>
  <c r="J42" i="51"/>
  <c r="Z79" i="51"/>
  <c r="N81" i="51"/>
  <c r="V21" i="52"/>
  <c r="V18" i="52"/>
  <c r="V36" i="52"/>
  <c r="V33" i="52"/>
  <c r="V29" i="52"/>
  <c r="V25" i="52"/>
  <c r="T18" i="52"/>
  <c r="V15" i="52"/>
  <c r="V22" i="52"/>
  <c r="V20" i="52"/>
  <c r="V16" i="52"/>
  <c r="Z12" i="52"/>
  <c r="V34" i="52"/>
  <c r="V31" i="52"/>
  <c r="V27" i="52"/>
  <c r="X12" i="52"/>
  <c r="Z24" i="53"/>
  <c r="X24" i="53"/>
  <c r="J16" i="43"/>
  <c r="J20" i="43"/>
  <c r="F36" i="44"/>
  <c r="F33" i="44"/>
  <c r="F29" i="44"/>
  <c r="F34" i="44"/>
  <c r="Z15" i="45"/>
  <c r="N75" i="45"/>
  <c r="L15" i="50"/>
  <c r="D18" i="50"/>
  <c r="X32" i="51"/>
  <c r="Z32" i="51" s="1"/>
  <c r="N21" i="52"/>
  <c r="L21" i="52"/>
  <c r="J16" i="37"/>
  <c r="R18" i="37"/>
  <c r="J20" i="37"/>
  <c r="D12" i="39"/>
  <c r="R27" i="40"/>
  <c r="R31" i="40"/>
  <c r="R34" i="40"/>
  <c r="L13" i="41"/>
  <c r="L13" i="42"/>
  <c r="N13" i="42" s="1"/>
  <c r="X17" i="42"/>
  <c r="Z17" i="42" s="1"/>
  <c r="L103" i="42"/>
  <c r="L12" i="43"/>
  <c r="F15" i="43"/>
  <c r="V15" i="43"/>
  <c r="L16" i="43"/>
  <c r="D18" i="43"/>
  <c r="T18" i="43"/>
  <c r="L20" i="43"/>
  <c r="X22" i="43"/>
  <c r="F25" i="43"/>
  <c r="V25" i="43"/>
  <c r="F29" i="43"/>
  <c r="V29" i="43"/>
  <c r="F33" i="43"/>
  <c r="V33" i="43"/>
  <c r="F36" i="43"/>
  <c r="V36" i="43"/>
  <c r="J36" i="44"/>
  <c r="J33" i="44"/>
  <c r="J29" i="44"/>
  <c r="J16" i="44"/>
  <c r="R18" i="44"/>
  <c r="J20" i="44"/>
  <c r="F22" i="44"/>
  <c r="F29" i="45"/>
  <c r="F36" i="45"/>
  <c r="F45" i="45"/>
  <c r="F55" i="45"/>
  <c r="F68" i="45"/>
  <c r="F87" i="45"/>
  <c r="N13" i="48"/>
  <c r="Z30" i="48"/>
  <c r="Z62" i="48"/>
  <c r="D12" i="51"/>
  <c r="L13" i="51"/>
  <c r="N13" i="51" s="1"/>
  <c r="P12" i="51"/>
  <c r="X17" i="51"/>
  <c r="Z17" i="51" s="1"/>
  <c r="Z21" i="51"/>
  <c r="Z28" i="51"/>
  <c r="L53" i="51"/>
  <c r="N53" i="51" s="1"/>
  <c r="Z81" i="51"/>
  <c r="R16" i="40"/>
  <c r="R20" i="40"/>
  <c r="V24" i="40"/>
  <c r="J15" i="41"/>
  <c r="H18" i="41"/>
  <c r="J25" i="41"/>
  <c r="R27" i="41"/>
  <c r="J29" i="41"/>
  <c r="R31" i="41"/>
  <c r="J33" i="41"/>
  <c r="R34" i="41"/>
  <c r="J36" i="41"/>
  <c r="N12" i="43"/>
  <c r="F18" i="43"/>
  <c r="V18" i="43"/>
  <c r="J22" i="43"/>
  <c r="L12" i="44"/>
  <c r="F15" i="44"/>
  <c r="D18" i="44"/>
  <c r="R21" i="44"/>
  <c r="F25" i="44"/>
  <c r="R29" i="44"/>
  <c r="J34" i="44"/>
  <c r="F28" i="45"/>
  <c r="F61" i="45"/>
  <c r="F64" i="45"/>
  <c r="F71" i="45"/>
  <c r="Z20" i="48"/>
  <c r="Z56" i="48"/>
  <c r="N20" i="51"/>
  <c r="L20" i="51"/>
  <c r="N23" i="51"/>
  <c r="X24" i="51"/>
  <c r="Z24" i="51" s="1"/>
  <c r="J76" i="51"/>
  <c r="N83" i="51"/>
  <c r="Z95" i="51"/>
  <c r="P22" i="54"/>
  <c r="N12" i="37"/>
  <c r="V18" i="37"/>
  <c r="J22" i="37"/>
  <c r="R24" i="37"/>
  <c r="L12" i="38"/>
  <c r="F15" i="38"/>
  <c r="D18" i="38"/>
  <c r="R21" i="38"/>
  <c r="F25" i="38"/>
  <c r="F29" i="38"/>
  <c r="F33" i="38"/>
  <c r="F36" i="38"/>
  <c r="X12" i="40"/>
  <c r="F27" i="40"/>
  <c r="V27" i="40"/>
  <c r="F31" i="40"/>
  <c r="V31" i="40"/>
  <c r="R16" i="41"/>
  <c r="J18" i="41"/>
  <c r="R20" i="41"/>
  <c r="V24" i="41"/>
  <c r="J15" i="43"/>
  <c r="H18" i="43"/>
  <c r="F21" i="43"/>
  <c r="V21" i="43"/>
  <c r="J25" i="43"/>
  <c r="R27" i="43"/>
  <c r="J29" i="43"/>
  <c r="R31" i="43"/>
  <c r="J33" i="43"/>
  <c r="J36" i="43"/>
  <c r="N12" i="44"/>
  <c r="F18" i="44"/>
  <c r="J22" i="44"/>
  <c r="L14" i="45"/>
  <c r="F19" i="45"/>
  <c r="D23" i="45"/>
  <c r="F35" i="45"/>
  <c r="F39" i="45"/>
  <c r="F48" i="45"/>
  <c r="X75" i="45"/>
  <c r="Z75" i="45" s="1"/>
  <c r="Z13" i="47"/>
  <c r="X13" i="47"/>
  <c r="T12" i="48"/>
  <c r="Z13" i="48"/>
  <c r="X13" i="48"/>
  <c r="Z33" i="50"/>
  <c r="X33" i="50"/>
  <c r="N16" i="51"/>
  <c r="Z54" i="51"/>
  <c r="J62" i="51"/>
  <c r="J82" i="51"/>
  <c r="Z21" i="55"/>
  <c r="J25" i="37"/>
  <c r="R27" i="37"/>
  <c r="J29" i="37"/>
  <c r="R31" i="37"/>
  <c r="J33" i="37"/>
  <c r="R34" i="37"/>
  <c r="J36" i="37"/>
  <c r="R22" i="40"/>
  <c r="J18" i="43"/>
  <c r="V24" i="43"/>
  <c r="R34" i="44"/>
  <c r="R31" i="44"/>
  <c r="R27" i="44"/>
  <c r="F21" i="44"/>
  <c r="F27" i="44"/>
  <c r="R33" i="44"/>
  <c r="F96" i="45"/>
  <c r="F90" i="45"/>
  <c r="F78" i="45"/>
  <c r="F74" i="45"/>
  <c r="F70" i="45"/>
  <c r="F66" i="45"/>
  <c r="F38" i="45"/>
  <c r="F34" i="45"/>
  <c r="F23" i="45"/>
  <c r="F89" i="45"/>
  <c r="F84" i="45"/>
  <c r="F77" i="45"/>
  <c r="F69" i="45"/>
  <c r="F65" i="45"/>
  <c r="F60" i="45"/>
  <c r="F57" i="45"/>
  <c r="F52" i="45"/>
  <c r="F49" i="45"/>
  <c r="F44" i="45"/>
  <c r="F37" i="45"/>
  <c r="F33" i="45"/>
  <c r="F76" i="45"/>
  <c r="F32" i="45"/>
  <c r="F20" i="45"/>
  <c r="L12" i="45"/>
  <c r="F86" i="45"/>
  <c r="F83" i="45"/>
  <c r="F62" i="45"/>
  <c r="F59" i="45"/>
  <c r="F54" i="45"/>
  <c r="F51" i="45"/>
  <c r="F46" i="45"/>
  <c r="F43" i="45"/>
  <c r="F31" i="45"/>
  <c r="F26" i="45"/>
  <c r="F25" i="45"/>
  <c r="F82" i="45"/>
  <c r="F73" i="45"/>
  <c r="F42" i="45"/>
  <c r="F30" i="45"/>
  <c r="F88" i="45"/>
  <c r="F85" i="45"/>
  <c r="F80" i="45"/>
  <c r="F75" i="45"/>
  <c r="F72" i="45"/>
  <c r="N19" i="45"/>
  <c r="F58" i="45"/>
  <c r="N24" i="47"/>
  <c r="L24" i="47"/>
  <c r="N13" i="49"/>
  <c r="L13" i="49"/>
  <c r="N22" i="49"/>
  <c r="L22" i="49"/>
  <c r="Z15" i="50"/>
  <c r="X15" i="50"/>
  <c r="H100" i="51"/>
  <c r="Z83" i="51"/>
  <c r="X83" i="51"/>
  <c r="L85" i="51"/>
  <c r="N85" i="51" s="1"/>
  <c r="Z34" i="52"/>
  <c r="X34" i="52"/>
  <c r="V37" i="55"/>
  <c r="V32" i="55"/>
  <c r="V30" i="55"/>
  <c r="V26" i="55"/>
  <c r="V25" i="55"/>
  <c r="V28" i="55"/>
  <c r="V23" i="55"/>
  <c r="T16" i="55"/>
  <c r="V24" i="55"/>
  <c r="V20" i="55"/>
  <c r="V19" i="55"/>
  <c r="V22" i="55"/>
  <c r="V14" i="55"/>
  <c r="V21" i="55"/>
  <c r="Z12" i="55"/>
  <c r="X12" i="55"/>
  <c r="V34" i="55"/>
  <c r="L39" i="59"/>
  <c r="N39" i="59" s="1"/>
  <c r="R16" i="37"/>
  <c r="R27" i="38"/>
  <c r="R31" i="38"/>
  <c r="R15" i="40"/>
  <c r="P18" i="40"/>
  <c r="R25" i="40"/>
  <c r="R29" i="40"/>
  <c r="R33" i="40"/>
  <c r="V16" i="41"/>
  <c r="X12" i="43"/>
  <c r="F27" i="43"/>
  <c r="V27" i="43"/>
  <c r="F31" i="43"/>
  <c r="V31" i="43"/>
  <c r="V36" i="44"/>
  <c r="V33" i="44"/>
  <c r="V29" i="44"/>
  <c r="V25" i="44"/>
  <c r="R16" i="44"/>
  <c r="J18" i="44"/>
  <c r="R20" i="44"/>
  <c r="F24" i="44"/>
  <c r="V24" i="44"/>
  <c r="H12" i="45"/>
  <c r="F21" i="45"/>
  <c r="F27" i="45"/>
  <c r="X36" i="45"/>
  <c r="Z36" i="45" s="1"/>
  <c r="F47" i="45"/>
  <c r="F53" i="45"/>
  <c r="F63" i="45"/>
  <c r="Z48" i="48"/>
  <c r="J34" i="50"/>
  <c r="J31" i="50"/>
  <c r="J27" i="50"/>
  <c r="J24" i="50"/>
  <c r="J21" i="50"/>
  <c r="J18" i="50"/>
  <c r="J36" i="50"/>
  <c r="J33" i="50"/>
  <c r="J29" i="50"/>
  <c r="J25" i="50"/>
  <c r="H18" i="50"/>
  <c r="J15" i="50"/>
  <c r="J22" i="50"/>
  <c r="N12" i="50"/>
  <c r="L12" i="50"/>
  <c r="J20" i="50"/>
  <c r="Z29" i="50"/>
  <c r="X29" i="50"/>
  <c r="N15" i="51"/>
  <c r="T12" i="51"/>
  <c r="X16" i="51"/>
  <c r="Z16" i="51" s="1"/>
  <c r="X53" i="51"/>
  <c r="Z53" i="51" s="1"/>
  <c r="J92" i="51"/>
  <c r="N98" i="51"/>
  <c r="R24" i="53"/>
  <c r="R21" i="53"/>
  <c r="R18" i="53"/>
  <c r="R36" i="53"/>
  <c r="R33" i="53"/>
  <c r="R29" i="53"/>
  <c r="R25" i="53"/>
  <c r="P18" i="53"/>
  <c r="R15" i="53"/>
  <c r="R22" i="53"/>
  <c r="X12" i="53"/>
  <c r="R20" i="53"/>
  <c r="R16" i="53"/>
  <c r="D26" i="54"/>
  <c r="J27" i="46"/>
  <c r="J31" i="46"/>
  <c r="J34" i="46"/>
  <c r="F16" i="47"/>
  <c r="F20" i="47"/>
  <c r="J24" i="47"/>
  <c r="F21" i="48"/>
  <c r="R25" i="48"/>
  <c r="F29" i="48"/>
  <c r="R30" i="48"/>
  <c r="F33" i="48"/>
  <c r="F44" i="48"/>
  <c r="R45" i="48"/>
  <c r="F49" i="48"/>
  <c r="F57" i="48"/>
  <c r="R58" i="48"/>
  <c r="H61" i="48"/>
  <c r="L61" i="48" s="1"/>
  <c r="F18" i="49"/>
  <c r="V18" i="49"/>
  <c r="R24" i="49"/>
  <c r="V15" i="50"/>
  <c r="T18" i="50"/>
  <c r="R21" i="50"/>
  <c r="V25" i="50"/>
  <c r="V29" i="50"/>
  <c r="V33" i="50"/>
  <c r="V36" i="50"/>
  <c r="J21" i="52"/>
  <c r="F27" i="52"/>
  <c r="F31" i="52"/>
  <c r="F34" i="52"/>
  <c r="F24" i="53"/>
  <c r="V24" i="53"/>
  <c r="T16" i="54"/>
  <c r="X16" i="54" s="1"/>
  <c r="H16" i="55"/>
  <c r="F20" i="55"/>
  <c r="F23" i="55"/>
  <c r="J18" i="56"/>
  <c r="N19" i="56"/>
  <c r="R25" i="56"/>
  <c r="J34" i="56"/>
  <c r="D71" i="56"/>
  <c r="D62" i="57"/>
  <c r="N32" i="57"/>
  <c r="T69" i="58"/>
  <c r="Z16" i="58"/>
  <c r="Z64" i="58"/>
  <c r="Z37" i="59"/>
  <c r="X37" i="59"/>
  <c r="T46" i="61"/>
  <c r="Z16" i="61"/>
  <c r="X19" i="61"/>
  <c r="Z19" i="61" s="1"/>
  <c r="Z39" i="61"/>
  <c r="X39" i="61"/>
  <c r="Z79" i="62"/>
  <c r="N93" i="62"/>
  <c r="N28" i="66"/>
  <c r="H12" i="66"/>
  <c r="J16" i="46"/>
  <c r="J20" i="46"/>
  <c r="F22" i="48"/>
  <c r="F34" i="48"/>
  <c r="F38" i="48"/>
  <c r="F41" i="48"/>
  <c r="F50" i="48"/>
  <c r="F54" i="48"/>
  <c r="R27" i="49"/>
  <c r="R31" i="49"/>
  <c r="R34" i="49"/>
  <c r="V16" i="54"/>
  <c r="V20" i="54"/>
  <c r="V26" i="54"/>
  <c r="V29" i="54"/>
  <c r="Z43" i="56"/>
  <c r="P62" i="57"/>
  <c r="X16" i="57"/>
  <c r="Z36" i="57"/>
  <c r="X36" i="57"/>
  <c r="N38" i="57"/>
  <c r="L38" i="57"/>
  <c r="Z42" i="58"/>
  <c r="X42" i="58"/>
  <c r="L44" i="58"/>
  <c r="N44" i="58" s="1"/>
  <c r="N28" i="60"/>
  <c r="J35" i="61"/>
  <c r="J21" i="61"/>
  <c r="J50" i="61"/>
  <c r="J44" i="61"/>
  <c r="J40" i="61"/>
  <c r="J32" i="61"/>
  <c r="J20" i="61"/>
  <c r="J16" i="61"/>
  <c r="J37" i="61"/>
  <c r="J31" i="61"/>
  <c r="J27" i="61"/>
  <c r="H16" i="61"/>
  <c r="J48" i="61"/>
  <c r="J42" i="61"/>
  <c r="J34" i="61"/>
  <c r="J30" i="61"/>
  <c r="J26" i="61"/>
  <c r="J18" i="61"/>
  <c r="J39" i="61"/>
  <c r="J29" i="61"/>
  <c r="J25" i="61"/>
  <c r="J19" i="61"/>
  <c r="J53" i="61"/>
  <c r="J46" i="61"/>
  <c r="J36" i="61"/>
  <c r="J24" i="61"/>
  <c r="J14" i="61"/>
  <c r="N12" i="61"/>
  <c r="J41" i="61"/>
  <c r="J33" i="61"/>
  <c r="J23" i="61"/>
  <c r="L33" i="61"/>
  <c r="N33" i="61" s="1"/>
  <c r="L41" i="61"/>
  <c r="N41" i="61" s="1"/>
  <c r="X48" i="45"/>
  <c r="Z48" i="45" s="1"/>
  <c r="L50" i="45"/>
  <c r="N50" i="45" s="1"/>
  <c r="X56" i="45"/>
  <c r="Z56" i="45" s="1"/>
  <c r="L58" i="45"/>
  <c r="N58" i="45" s="1"/>
  <c r="X64" i="45"/>
  <c r="Z64" i="45" s="1"/>
  <c r="X68" i="45"/>
  <c r="Z68" i="45" s="1"/>
  <c r="X88" i="45"/>
  <c r="L92" i="45"/>
  <c r="L12" i="46"/>
  <c r="F15" i="46"/>
  <c r="V15" i="46"/>
  <c r="L16" i="46"/>
  <c r="D18" i="46"/>
  <c r="T18" i="46"/>
  <c r="L20" i="46"/>
  <c r="X22" i="46"/>
  <c r="F25" i="46"/>
  <c r="V25" i="46"/>
  <c r="F29" i="46"/>
  <c r="V29" i="46"/>
  <c r="F33" i="46"/>
  <c r="V33" i="46"/>
  <c r="F36" i="46"/>
  <c r="V36" i="46"/>
  <c r="J16" i="47"/>
  <c r="R18" i="47"/>
  <c r="J20" i="47"/>
  <c r="F22" i="47"/>
  <c r="L34" i="47"/>
  <c r="H12" i="48"/>
  <c r="R20" i="48"/>
  <c r="F23" i="48"/>
  <c r="R27" i="48"/>
  <c r="F30" i="48"/>
  <c r="R31" i="48"/>
  <c r="F35" i="48"/>
  <c r="R43" i="48"/>
  <c r="F47" i="48"/>
  <c r="R48" i="48"/>
  <c r="F51" i="48"/>
  <c r="F55" i="48"/>
  <c r="R56" i="48"/>
  <c r="F58" i="48"/>
  <c r="R59" i="48"/>
  <c r="R62" i="48"/>
  <c r="L15" i="49"/>
  <c r="R16" i="49"/>
  <c r="R20" i="49"/>
  <c r="X21" i="49"/>
  <c r="F24" i="49"/>
  <c r="V24" i="49"/>
  <c r="L25" i="49"/>
  <c r="V21" i="50"/>
  <c r="R27" i="50"/>
  <c r="R31" i="50"/>
  <c r="R34" i="50"/>
  <c r="L14" i="51"/>
  <c r="N14" i="51" s="1"/>
  <c r="X18" i="51"/>
  <c r="Z18" i="51" s="1"/>
  <c r="L22" i="51"/>
  <c r="N22" i="51" s="1"/>
  <c r="X26" i="51"/>
  <c r="Z26" i="51" s="1"/>
  <c r="L30" i="51"/>
  <c r="N30" i="51" s="1"/>
  <c r="P18" i="52"/>
  <c r="J27" i="52"/>
  <c r="J31" i="52"/>
  <c r="J34" i="52"/>
  <c r="Z12" i="53"/>
  <c r="F16" i="53"/>
  <c r="V16" i="53"/>
  <c r="F20" i="53"/>
  <c r="V20" i="53"/>
  <c r="X34" i="53"/>
  <c r="X12" i="54"/>
  <c r="H16" i="54"/>
  <c r="F37" i="55"/>
  <c r="F30" i="55"/>
  <c r="F25" i="55"/>
  <c r="F24" i="55"/>
  <c r="F32" i="55"/>
  <c r="F26" i="55"/>
  <c r="F21" i="55"/>
  <c r="J23" i="55"/>
  <c r="J26" i="55"/>
  <c r="J28" i="55"/>
  <c r="J37" i="55"/>
  <c r="J71" i="56"/>
  <c r="J65" i="56"/>
  <c r="J61" i="56"/>
  <c r="J55" i="56"/>
  <c r="J51" i="56"/>
  <c r="J47" i="56"/>
  <c r="J39" i="56"/>
  <c r="J29" i="56"/>
  <c r="J25" i="56"/>
  <c r="J19" i="56"/>
  <c r="J44" i="56"/>
  <c r="J36" i="56"/>
  <c r="J24" i="56"/>
  <c r="J14" i="56"/>
  <c r="N12" i="56"/>
  <c r="J69" i="56"/>
  <c r="J63" i="56"/>
  <c r="J57" i="56"/>
  <c r="J41" i="56"/>
  <c r="J33" i="56"/>
  <c r="J23" i="56"/>
  <c r="J60" i="56"/>
  <c r="J54" i="56"/>
  <c r="J50" i="56"/>
  <c r="J46" i="56"/>
  <c r="J38" i="56"/>
  <c r="J28" i="56"/>
  <c r="J22" i="56"/>
  <c r="J74" i="56"/>
  <c r="J67" i="56"/>
  <c r="J53" i="56"/>
  <c r="J49" i="56"/>
  <c r="J43" i="56"/>
  <c r="J35" i="56"/>
  <c r="J21" i="56"/>
  <c r="J59" i="56"/>
  <c r="J45" i="56"/>
  <c r="J37" i="56"/>
  <c r="J31" i="56"/>
  <c r="J27" i="56"/>
  <c r="H16" i="56"/>
  <c r="J16" i="56"/>
  <c r="X18" i="56"/>
  <c r="Z18" i="56" s="1"/>
  <c r="X35" i="56"/>
  <c r="Z35" i="56" s="1"/>
  <c r="X43" i="56"/>
  <c r="N45" i="56"/>
  <c r="J56" i="56"/>
  <c r="L14" i="57"/>
  <c r="T62" i="57"/>
  <c r="Z16" i="57"/>
  <c r="N18" i="58"/>
  <c r="L19" i="59"/>
  <c r="N19" i="59" s="1"/>
  <c r="D50" i="60"/>
  <c r="X18" i="60"/>
  <c r="Z18" i="60" s="1"/>
  <c r="Z19" i="60"/>
  <c r="N19" i="62"/>
  <c r="Z93" i="62"/>
  <c r="X93" i="62"/>
  <c r="N12" i="46"/>
  <c r="F18" i="46"/>
  <c r="J22" i="46"/>
  <c r="L12" i="47"/>
  <c r="F15" i="47"/>
  <c r="D18" i="47"/>
  <c r="F25" i="47"/>
  <c r="F29" i="47"/>
  <c r="F33" i="47"/>
  <c r="F36" i="47"/>
  <c r="L12" i="48"/>
  <c r="F15" i="48"/>
  <c r="F24" i="48"/>
  <c r="R28" i="48"/>
  <c r="R32" i="48"/>
  <c r="F36" i="48"/>
  <c r="R37" i="48"/>
  <c r="F39" i="48"/>
  <c r="R40" i="48"/>
  <c r="F52" i="48"/>
  <c r="R53" i="48"/>
  <c r="F66" i="48"/>
  <c r="X12" i="49"/>
  <c r="F27" i="49"/>
  <c r="V27" i="49"/>
  <c r="F31" i="49"/>
  <c r="V31" i="49"/>
  <c r="F34" i="49"/>
  <c r="V34" i="49"/>
  <c r="R16" i="50"/>
  <c r="R20" i="50"/>
  <c r="V24" i="50"/>
  <c r="J16" i="52"/>
  <c r="J20" i="52"/>
  <c r="F22" i="52"/>
  <c r="Z12" i="54"/>
  <c r="R14" i="54"/>
  <c r="R18" i="54"/>
  <c r="J20" i="54"/>
  <c r="R22" i="54"/>
  <c r="J26" i="54"/>
  <c r="R28" i="54"/>
  <c r="R31" i="54"/>
  <c r="L23" i="55"/>
  <c r="N23" i="55" s="1"/>
  <c r="J25" i="55"/>
  <c r="F34" i="55"/>
  <c r="R74" i="56"/>
  <c r="R67" i="56"/>
  <c r="R54" i="56"/>
  <c r="R50" i="56"/>
  <c r="R46" i="56"/>
  <c r="R43" i="56"/>
  <c r="R38" i="56"/>
  <c r="R35" i="56"/>
  <c r="R22" i="56"/>
  <c r="R62" i="56"/>
  <c r="R53" i="56"/>
  <c r="R49" i="56"/>
  <c r="R21" i="56"/>
  <c r="R16" i="56"/>
  <c r="R56" i="56"/>
  <c r="R52" i="56"/>
  <c r="R48" i="56"/>
  <c r="R45" i="56"/>
  <c r="R40" i="56"/>
  <c r="R37" i="56"/>
  <c r="R32" i="56"/>
  <c r="R20" i="56"/>
  <c r="R18" i="56"/>
  <c r="P16" i="56"/>
  <c r="R59" i="56"/>
  <c r="R31" i="56"/>
  <c r="R27" i="56"/>
  <c r="R71" i="56"/>
  <c r="R65" i="56"/>
  <c r="R58" i="56"/>
  <c r="R55" i="56"/>
  <c r="R51" i="56"/>
  <c r="R47" i="56"/>
  <c r="R42" i="56"/>
  <c r="R39" i="56"/>
  <c r="R34" i="56"/>
  <c r="R30" i="56"/>
  <c r="R26" i="56"/>
  <c r="R19" i="56"/>
  <c r="R57" i="56"/>
  <c r="R44" i="56"/>
  <c r="R41" i="56"/>
  <c r="R36" i="56"/>
  <c r="R33" i="56"/>
  <c r="R24" i="56"/>
  <c r="X12" i="56"/>
  <c r="J26" i="56"/>
  <c r="L45" i="56"/>
  <c r="Z57" i="56"/>
  <c r="L18" i="57"/>
  <c r="N18" i="57" s="1"/>
  <c r="Z49" i="57"/>
  <c r="R71" i="58"/>
  <c r="R65" i="58"/>
  <c r="R62" i="58"/>
  <c r="R45" i="58"/>
  <c r="R42" i="58"/>
  <c r="R37" i="58"/>
  <c r="R33" i="58"/>
  <c r="R29" i="58"/>
  <c r="R21" i="58"/>
  <c r="R16" i="58"/>
  <c r="R76" i="58"/>
  <c r="R69" i="58"/>
  <c r="R48" i="58"/>
  <c r="R32" i="58"/>
  <c r="R28" i="58"/>
  <c r="R20" i="58"/>
  <c r="R18" i="58"/>
  <c r="P16" i="58"/>
  <c r="R64" i="58"/>
  <c r="R59" i="58"/>
  <c r="R51" i="58"/>
  <c r="R47" i="58"/>
  <c r="R44" i="58"/>
  <c r="R39" i="58"/>
  <c r="R36" i="58"/>
  <c r="R31" i="58"/>
  <c r="R27" i="58"/>
  <c r="R58" i="58"/>
  <c r="R54" i="58"/>
  <c r="R50" i="58"/>
  <c r="R26" i="58"/>
  <c r="R19" i="58"/>
  <c r="R61" i="58"/>
  <c r="R57" i="58"/>
  <c r="R53" i="58"/>
  <c r="R46" i="58"/>
  <c r="R41" i="58"/>
  <c r="R38" i="58"/>
  <c r="R30" i="58"/>
  <c r="R25" i="58"/>
  <c r="R14" i="58"/>
  <c r="R73" i="58"/>
  <c r="R67" i="58"/>
  <c r="R56" i="58"/>
  <c r="R49" i="58"/>
  <c r="R24" i="58"/>
  <c r="X12" i="58"/>
  <c r="R63" i="58"/>
  <c r="R60" i="58"/>
  <c r="R52" i="58"/>
  <c r="R43" i="58"/>
  <c r="R40" i="58"/>
  <c r="R35" i="58"/>
  <c r="R23" i="58"/>
  <c r="R22" i="58"/>
  <c r="X18" i="59"/>
  <c r="Z18" i="59" s="1"/>
  <c r="N44" i="59"/>
  <c r="X41" i="60"/>
  <c r="Z41" i="60" s="1"/>
  <c r="J22" i="61"/>
  <c r="Z41" i="61"/>
  <c r="X41" i="62"/>
  <c r="Z41" i="62" s="1"/>
  <c r="J15" i="46"/>
  <c r="H18" i="46"/>
  <c r="F21" i="46"/>
  <c r="V21" i="46"/>
  <c r="J25" i="46"/>
  <c r="R27" i="46"/>
  <c r="J29" i="46"/>
  <c r="R31" i="46"/>
  <c r="J33" i="46"/>
  <c r="J36" i="46"/>
  <c r="N12" i="47"/>
  <c r="F18" i="47"/>
  <c r="V18" i="47"/>
  <c r="J22" i="47"/>
  <c r="R24" i="47"/>
  <c r="P17" i="48"/>
  <c r="F19" i="48"/>
  <c r="R19" i="48"/>
  <c r="F20" i="48"/>
  <c r="R21" i="48"/>
  <c r="F25" i="48"/>
  <c r="R29" i="48"/>
  <c r="R33" i="48"/>
  <c r="F45" i="48"/>
  <c r="R46" i="48"/>
  <c r="F48" i="48"/>
  <c r="R49" i="48"/>
  <c r="F56" i="48"/>
  <c r="R57" i="48"/>
  <c r="P61" i="48"/>
  <c r="X61" i="48" s="1"/>
  <c r="F62" i="48"/>
  <c r="Z12" i="49"/>
  <c r="F16" i="49"/>
  <c r="V16" i="49"/>
  <c r="F20" i="49"/>
  <c r="V20" i="49"/>
  <c r="R22" i="49"/>
  <c r="J24" i="49"/>
  <c r="X12" i="50"/>
  <c r="F27" i="50"/>
  <c r="V27" i="50"/>
  <c r="F31" i="50"/>
  <c r="V31" i="50"/>
  <c r="V34" i="50"/>
  <c r="L12" i="52"/>
  <c r="F15" i="52"/>
  <c r="D18" i="52"/>
  <c r="R21" i="52"/>
  <c r="F25" i="52"/>
  <c r="F29" i="52"/>
  <c r="F33" i="52"/>
  <c r="F36" i="52"/>
  <c r="J16" i="53"/>
  <c r="J20" i="53"/>
  <c r="F22" i="53"/>
  <c r="V22" i="53"/>
  <c r="L16" i="54"/>
  <c r="R24" i="54"/>
  <c r="L12" i="55"/>
  <c r="P16" i="55"/>
  <c r="F18" i="55"/>
  <c r="R18" i="55"/>
  <c r="F19" i="55"/>
  <c r="R20" i="55"/>
  <c r="J21" i="55"/>
  <c r="R24" i="55"/>
  <c r="R28" i="55"/>
  <c r="J34" i="55"/>
  <c r="V53" i="56"/>
  <c r="V49" i="56"/>
  <c r="V45" i="56"/>
  <c r="V37" i="56"/>
  <c r="V21" i="56"/>
  <c r="T16" i="56"/>
  <c r="V56" i="56"/>
  <c r="V52" i="56"/>
  <c r="V48" i="56"/>
  <c r="V40" i="56"/>
  <c r="V32" i="56"/>
  <c r="V20" i="56"/>
  <c r="V71" i="56"/>
  <c r="V65" i="56"/>
  <c r="V59" i="56"/>
  <c r="V55" i="56"/>
  <c r="V51" i="56"/>
  <c r="V47" i="56"/>
  <c r="V39" i="56"/>
  <c r="V31" i="56"/>
  <c r="V27" i="56"/>
  <c r="V19" i="56"/>
  <c r="V58" i="56"/>
  <c r="V42" i="56"/>
  <c r="V34" i="56"/>
  <c r="V30" i="56"/>
  <c r="V26" i="56"/>
  <c r="V61" i="56"/>
  <c r="V57" i="56"/>
  <c r="V41" i="56"/>
  <c r="V33" i="56"/>
  <c r="V29" i="56"/>
  <c r="V25" i="56"/>
  <c r="V74" i="56"/>
  <c r="V69" i="56"/>
  <c r="V67" i="56"/>
  <c r="V63" i="56"/>
  <c r="V43" i="56"/>
  <c r="V35" i="56"/>
  <c r="V23" i="56"/>
  <c r="R14" i="56"/>
  <c r="V16" i="56"/>
  <c r="V18" i="56"/>
  <c r="L37" i="56"/>
  <c r="J52" i="56"/>
  <c r="R60" i="56"/>
  <c r="R39" i="57"/>
  <c r="R36" i="57"/>
  <c r="R31" i="57"/>
  <c r="R27" i="57"/>
  <c r="R64" i="57"/>
  <c r="R58" i="57"/>
  <c r="R55" i="57"/>
  <c r="R46" i="57"/>
  <c r="R42" i="57"/>
  <c r="R30" i="57"/>
  <c r="R26" i="57"/>
  <c r="R19" i="57"/>
  <c r="R69" i="57"/>
  <c r="R62" i="57"/>
  <c r="R45" i="57"/>
  <c r="R38" i="57"/>
  <c r="R33" i="57"/>
  <c r="R29" i="57"/>
  <c r="R25" i="57"/>
  <c r="R14" i="57"/>
  <c r="R57" i="57"/>
  <c r="R52" i="57"/>
  <c r="R48" i="57"/>
  <c r="R44" i="57"/>
  <c r="R41" i="57"/>
  <c r="R24" i="57"/>
  <c r="X12" i="57"/>
  <c r="R51" i="57"/>
  <c r="R35" i="57"/>
  <c r="R32" i="57"/>
  <c r="R28" i="57"/>
  <c r="R23" i="57"/>
  <c r="R54" i="57"/>
  <c r="R50" i="57"/>
  <c r="R47" i="57"/>
  <c r="R43" i="57"/>
  <c r="R22" i="57"/>
  <c r="R66" i="57"/>
  <c r="R60" i="57"/>
  <c r="R37" i="57"/>
  <c r="R34" i="57"/>
  <c r="R21" i="57"/>
  <c r="R16" i="57"/>
  <c r="N19" i="57"/>
  <c r="Z18" i="58"/>
  <c r="N30" i="58"/>
  <c r="R34" i="58"/>
  <c r="Z19" i="59"/>
  <c r="T46" i="60"/>
  <c r="J28" i="61"/>
  <c r="X19" i="62"/>
  <c r="Z19" i="62" s="1"/>
  <c r="J132" i="69"/>
  <c r="J128" i="69"/>
  <c r="J112" i="69"/>
  <c r="J100" i="69"/>
  <c r="J88" i="69"/>
  <c r="J76" i="69"/>
  <c r="J68" i="69"/>
  <c r="J60" i="69"/>
  <c r="J139" i="69"/>
  <c r="J131" i="69"/>
  <c r="J121" i="69"/>
  <c r="J115" i="69"/>
  <c r="J109" i="69"/>
  <c r="J103" i="69"/>
  <c r="J99" i="69"/>
  <c r="J87" i="69"/>
  <c r="J75" i="69"/>
  <c r="J67" i="69"/>
  <c r="J59" i="69"/>
  <c r="J136" i="69"/>
  <c r="J124" i="69"/>
  <c r="J118" i="69"/>
  <c r="J106" i="69"/>
  <c r="J98" i="69"/>
  <c r="J94" i="69"/>
  <c r="H83" i="69"/>
  <c r="J74" i="69"/>
  <c r="J66" i="69"/>
  <c r="J58" i="69"/>
  <c r="J149" i="69"/>
  <c r="J141" i="69"/>
  <c r="J127" i="69"/>
  <c r="J117" i="69"/>
  <c r="J111" i="69"/>
  <c r="J105" i="69"/>
  <c r="J97" i="69"/>
  <c r="J93" i="69"/>
  <c r="J85" i="69"/>
  <c r="J81" i="69"/>
  <c r="J73" i="69"/>
  <c r="J65" i="69"/>
  <c r="J57" i="69"/>
  <c r="J144" i="69"/>
  <c r="J138" i="69"/>
  <c r="J130" i="69"/>
  <c r="J120" i="69"/>
  <c r="J114" i="69"/>
  <c r="J108" i="69"/>
  <c r="J102" i="69"/>
  <c r="J96" i="69"/>
  <c r="J92" i="69"/>
  <c r="J86" i="69"/>
  <c r="J80" i="69"/>
  <c r="J72" i="69"/>
  <c r="J64" i="69"/>
  <c r="J135" i="69"/>
  <c r="J123" i="69"/>
  <c r="J91" i="69"/>
  <c r="J79" i="69"/>
  <c r="J71" i="69"/>
  <c r="J63" i="69"/>
  <c r="J140" i="69"/>
  <c r="J134" i="69"/>
  <c r="J126" i="69"/>
  <c r="J122" i="69"/>
  <c r="J116" i="69"/>
  <c r="J110" i="69"/>
  <c r="J104" i="69"/>
  <c r="J90" i="69"/>
  <c r="J78" i="69"/>
  <c r="J70" i="69"/>
  <c r="J62" i="69"/>
  <c r="J56" i="69"/>
  <c r="J113" i="69"/>
  <c r="J69" i="69"/>
  <c r="J137" i="69"/>
  <c r="J125" i="69"/>
  <c r="J77" i="69"/>
  <c r="J129" i="69"/>
  <c r="J89" i="69"/>
  <c r="J95" i="69"/>
  <c r="J145" i="69"/>
  <c r="J107" i="69"/>
  <c r="J119" i="69"/>
  <c r="J133" i="69"/>
  <c r="J61" i="69"/>
  <c r="J101" i="69"/>
  <c r="X28" i="69"/>
  <c r="Z28" i="69" s="1"/>
  <c r="P12" i="69"/>
  <c r="L56" i="69"/>
  <c r="N56" i="69" s="1"/>
  <c r="J18" i="46"/>
  <c r="F24" i="46"/>
  <c r="V24" i="46"/>
  <c r="J15" i="47"/>
  <c r="H18" i="47"/>
  <c r="F21" i="47"/>
  <c r="J25" i="47"/>
  <c r="R27" i="47"/>
  <c r="J29" i="47"/>
  <c r="R31" i="47"/>
  <c r="J33" i="47"/>
  <c r="R34" i="47"/>
  <c r="J36" i="47"/>
  <c r="R17" i="48"/>
  <c r="R22" i="48"/>
  <c r="F26" i="48"/>
  <c r="R34" i="48"/>
  <c r="F37" i="48"/>
  <c r="R38" i="48"/>
  <c r="F42" i="48"/>
  <c r="R50" i="48"/>
  <c r="F53" i="48"/>
  <c r="R54" i="48"/>
  <c r="R61" i="48"/>
  <c r="R15" i="49"/>
  <c r="P18" i="49"/>
  <c r="R25" i="49"/>
  <c r="R29" i="49"/>
  <c r="R33" i="49"/>
  <c r="R36" i="49"/>
  <c r="V16" i="50"/>
  <c r="R22" i="50"/>
  <c r="N12" i="52"/>
  <c r="F18" i="52"/>
  <c r="J22" i="52"/>
  <c r="L12" i="53"/>
  <c r="F15" i="53"/>
  <c r="V15" i="53"/>
  <c r="D18" i="53"/>
  <c r="T18" i="53"/>
  <c r="F25" i="53"/>
  <c r="V25" i="53"/>
  <c r="F29" i="53"/>
  <c r="V29" i="53"/>
  <c r="F33" i="53"/>
  <c r="V33" i="53"/>
  <c r="F36" i="53"/>
  <c r="V36" i="53"/>
  <c r="V14" i="54"/>
  <c r="V18" i="54"/>
  <c r="V22" i="54"/>
  <c r="V24" i="54"/>
  <c r="V28" i="54"/>
  <c r="N12" i="55"/>
  <c r="J14" i="55"/>
  <c r="J20" i="56"/>
  <c r="J32" i="56"/>
  <c r="J48" i="56"/>
  <c r="J58" i="56"/>
  <c r="N36" i="58"/>
  <c r="L36" i="58"/>
  <c r="X37" i="60"/>
  <c r="Z37" i="60" s="1"/>
  <c r="L31" i="62"/>
  <c r="N31" i="62" s="1"/>
  <c r="X97" i="62"/>
  <c r="P96" i="62"/>
  <c r="P99" i="62" s="1"/>
  <c r="L24" i="65"/>
  <c r="N24" i="65" s="1"/>
  <c r="L61" i="66"/>
  <c r="N61" i="66" s="1"/>
  <c r="X12" i="46"/>
  <c r="F27" i="46"/>
  <c r="V27" i="46"/>
  <c r="F31" i="46"/>
  <c r="V31" i="46"/>
  <c r="R16" i="47"/>
  <c r="D17" i="48"/>
  <c r="R23" i="48"/>
  <c r="F27" i="48"/>
  <c r="F31" i="48"/>
  <c r="R35" i="48"/>
  <c r="F43" i="48"/>
  <c r="R44" i="48"/>
  <c r="F46" i="48"/>
  <c r="R47" i="48"/>
  <c r="R51" i="48"/>
  <c r="R55" i="48"/>
  <c r="T61" i="48"/>
  <c r="J16" i="49"/>
  <c r="R15" i="50"/>
  <c r="P18" i="50"/>
  <c r="R25" i="50"/>
  <c r="R29" i="50"/>
  <c r="R33" i="50"/>
  <c r="J15" i="52"/>
  <c r="H18" i="52"/>
  <c r="J25" i="52"/>
  <c r="R27" i="52"/>
  <c r="J29" i="52"/>
  <c r="R31" i="52"/>
  <c r="J33" i="52"/>
  <c r="N12" i="53"/>
  <c r="R32" i="55"/>
  <c r="R26" i="55"/>
  <c r="R23" i="55"/>
  <c r="R25" i="55"/>
  <c r="D16" i="55"/>
  <c r="J19" i="55"/>
  <c r="F22" i="55"/>
  <c r="X25" i="55"/>
  <c r="Z25" i="55" s="1"/>
  <c r="R34" i="55"/>
  <c r="V14" i="56"/>
  <c r="L18" i="56"/>
  <c r="N18" i="56" s="1"/>
  <c r="R23" i="56"/>
  <c r="R29" i="56"/>
  <c r="Z33" i="56"/>
  <c r="L35" i="56"/>
  <c r="N35" i="56" s="1"/>
  <c r="V36" i="56"/>
  <c r="J40" i="56"/>
  <c r="X41" i="56"/>
  <c r="Z41" i="56" s="1"/>
  <c r="L43" i="56"/>
  <c r="N43" i="56" s="1"/>
  <c r="V44" i="56"/>
  <c r="V60" i="56"/>
  <c r="R69" i="56"/>
  <c r="X18" i="57"/>
  <c r="Z18" i="57" s="1"/>
  <c r="R40" i="57"/>
  <c r="D69" i="58"/>
  <c r="L16" i="58"/>
  <c r="R55" i="58"/>
  <c r="X62" i="58"/>
  <c r="Z62" i="58" s="1"/>
  <c r="N64" i="58"/>
  <c r="L64" i="58"/>
  <c r="L18" i="59"/>
  <c r="N18" i="59" s="1"/>
  <c r="N37" i="59"/>
  <c r="L18" i="60"/>
  <c r="N18" i="60" s="1"/>
  <c r="N18" i="61"/>
  <c r="Z97" i="62"/>
  <c r="F20" i="56"/>
  <c r="F32" i="56"/>
  <c r="F35" i="56"/>
  <c r="F40" i="56"/>
  <c r="F43" i="56"/>
  <c r="F48" i="56"/>
  <c r="F52" i="56"/>
  <c r="F56" i="56"/>
  <c r="F67" i="56"/>
  <c r="F74" i="56"/>
  <c r="N12" i="57"/>
  <c r="J14" i="57"/>
  <c r="V20" i="57"/>
  <c r="J24" i="57"/>
  <c r="F25" i="57"/>
  <c r="F29" i="57"/>
  <c r="F33" i="57"/>
  <c r="F36" i="57"/>
  <c r="V36" i="57"/>
  <c r="J38" i="57"/>
  <c r="V40" i="57"/>
  <c r="J44" i="57"/>
  <c r="F45" i="57"/>
  <c r="J48" i="57"/>
  <c r="J52" i="57"/>
  <c r="V56" i="57"/>
  <c r="J62" i="57"/>
  <c r="J69" i="57"/>
  <c r="F16" i="58"/>
  <c r="V16" i="58"/>
  <c r="J18" i="58"/>
  <c r="V18" i="58"/>
  <c r="V22" i="58"/>
  <c r="J26" i="58"/>
  <c r="F27" i="58"/>
  <c r="F31" i="58"/>
  <c r="V34" i="58"/>
  <c r="J36" i="58"/>
  <c r="F39" i="58"/>
  <c r="F42" i="58"/>
  <c r="V42" i="58"/>
  <c r="J44" i="58"/>
  <c r="F47" i="58"/>
  <c r="J50" i="58"/>
  <c r="F51" i="58"/>
  <c r="J54" i="58"/>
  <c r="J58" i="58"/>
  <c r="F59" i="58"/>
  <c r="F62" i="58"/>
  <c r="V62" i="58"/>
  <c r="J64" i="58"/>
  <c r="H69" i="58"/>
  <c r="T16" i="59"/>
  <c r="X16" i="59" s="1"/>
  <c r="J19" i="59"/>
  <c r="V21" i="59"/>
  <c r="R22" i="59"/>
  <c r="J25" i="59"/>
  <c r="F26" i="59"/>
  <c r="F30" i="59"/>
  <c r="F34" i="59"/>
  <c r="R35" i="59"/>
  <c r="F37" i="59"/>
  <c r="V37" i="59"/>
  <c r="R38" i="59"/>
  <c r="J39" i="59"/>
  <c r="V41" i="59"/>
  <c r="R42" i="59"/>
  <c r="V45" i="59"/>
  <c r="F50" i="59"/>
  <c r="R51" i="59"/>
  <c r="P56" i="59"/>
  <c r="R19" i="60"/>
  <c r="J21" i="60"/>
  <c r="F22" i="60"/>
  <c r="V25" i="60"/>
  <c r="R26" i="60"/>
  <c r="V29" i="60"/>
  <c r="J33" i="60"/>
  <c r="F37" i="60"/>
  <c r="V37" i="60"/>
  <c r="R38" i="60"/>
  <c r="F41" i="60"/>
  <c r="V41" i="60"/>
  <c r="R42" i="60"/>
  <c r="R48" i="60"/>
  <c r="L12" i="61"/>
  <c r="P16" i="61"/>
  <c r="F18" i="61"/>
  <c r="R18" i="61"/>
  <c r="F19" i="61"/>
  <c r="V19" i="61"/>
  <c r="R20" i="61"/>
  <c r="F24" i="61"/>
  <c r="V27" i="61"/>
  <c r="V31" i="61"/>
  <c r="R32" i="61"/>
  <c r="F36" i="61"/>
  <c r="R37" i="61"/>
  <c r="F39" i="61"/>
  <c r="V39" i="61"/>
  <c r="R40" i="61"/>
  <c r="R17" i="62"/>
  <c r="V21" i="62"/>
  <c r="R22" i="62"/>
  <c r="J25" i="62"/>
  <c r="F26" i="62"/>
  <c r="V29" i="62"/>
  <c r="R30" i="62"/>
  <c r="J31" i="62"/>
  <c r="V33" i="62"/>
  <c r="R34" i="62"/>
  <c r="J37" i="62"/>
  <c r="F38" i="62"/>
  <c r="R39" i="62"/>
  <c r="F41" i="62"/>
  <c r="V41" i="62"/>
  <c r="R42" i="62"/>
  <c r="V45" i="62"/>
  <c r="F50" i="62"/>
  <c r="J53" i="62"/>
  <c r="V57" i="62"/>
  <c r="J61" i="62"/>
  <c r="V65" i="62"/>
  <c r="J69" i="62"/>
  <c r="F70" i="62"/>
  <c r="F74" i="62"/>
  <c r="F78" i="62"/>
  <c r="R79" i="62"/>
  <c r="J81" i="62"/>
  <c r="F82" i="62"/>
  <c r="V85" i="62"/>
  <c r="J89" i="62"/>
  <c r="F93" i="62"/>
  <c r="V93" i="62"/>
  <c r="R94" i="62"/>
  <c r="R97" i="62"/>
  <c r="J99" i="62"/>
  <c r="R103" i="62"/>
  <c r="J106" i="62"/>
  <c r="N41" i="64"/>
  <c r="Z72" i="64"/>
  <c r="L15" i="65"/>
  <c r="Z18" i="65"/>
  <c r="X18" i="65"/>
  <c r="N15" i="66"/>
  <c r="Z16" i="66"/>
  <c r="N19" i="66"/>
  <c r="L89" i="66"/>
  <c r="N89" i="66" s="1"/>
  <c r="N48" i="67"/>
  <c r="L48" i="67"/>
  <c r="J69" i="58"/>
  <c r="J76" i="58"/>
  <c r="V16" i="59"/>
  <c r="V18" i="59"/>
  <c r="V22" i="59"/>
  <c r="V38" i="59"/>
  <c r="V42" i="59"/>
  <c r="J22" i="60"/>
  <c r="J28" i="60"/>
  <c r="T17" i="62"/>
  <c r="X17" i="62" s="1"/>
  <c r="V22" i="62"/>
  <c r="V30" i="62"/>
  <c r="V34" i="62"/>
  <c r="V42" i="62"/>
  <c r="V54" i="62"/>
  <c r="V62" i="62"/>
  <c r="F67" i="62"/>
  <c r="R68" i="62"/>
  <c r="J70" i="62"/>
  <c r="F71" i="62"/>
  <c r="J74" i="62"/>
  <c r="F75" i="62"/>
  <c r="J78" i="62"/>
  <c r="J82" i="62"/>
  <c r="F83" i="62"/>
  <c r="F87" i="62"/>
  <c r="R88" i="62"/>
  <c r="F90" i="62"/>
  <c r="V90" i="62"/>
  <c r="R91" i="62"/>
  <c r="V94" i="62"/>
  <c r="F101" i="62"/>
  <c r="R73" i="64"/>
  <c r="R70" i="64"/>
  <c r="R61" i="64"/>
  <c r="R58" i="64"/>
  <c r="R49" i="64"/>
  <c r="R45" i="64"/>
  <c r="R33" i="64"/>
  <c r="R86" i="64"/>
  <c r="R80" i="64"/>
  <c r="R77" i="64"/>
  <c r="R52" i="64"/>
  <c r="R48" i="64"/>
  <c r="R44" i="64"/>
  <c r="R32" i="64"/>
  <c r="R72" i="64"/>
  <c r="R63" i="64"/>
  <c r="R60" i="64"/>
  <c r="R47" i="64"/>
  <c r="R43" i="64"/>
  <c r="R41" i="64"/>
  <c r="P39" i="64"/>
  <c r="R39" i="64" s="1"/>
  <c r="R31" i="64"/>
  <c r="R79" i="64"/>
  <c r="R66" i="64"/>
  <c r="R54" i="64"/>
  <c r="R51" i="64"/>
  <c r="R30" i="64"/>
  <c r="R69" i="64"/>
  <c r="R65" i="64"/>
  <c r="R62" i="64"/>
  <c r="R57" i="64"/>
  <c r="R46" i="64"/>
  <c r="R42" i="64"/>
  <c r="R37" i="64"/>
  <c r="R29" i="64"/>
  <c r="R76" i="64"/>
  <c r="R68" i="64"/>
  <c r="R56" i="64"/>
  <c r="R53" i="64"/>
  <c r="R36" i="64"/>
  <c r="R28" i="64"/>
  <c r="R82" i="64"/>
  <c r="R75" i="64"/>
  <c r="R71" i="64"/>
  <c r="R64" i="64"/>
  <c r="R59" i="64"/>
  <c r="R35" i="64"/>
  <c r="X87" i="66"/>
  <c r="Z87" i="66" s="1"/>
  <c r="F22" i="56"/>
  <c r="F33" i="56"/>
  <c r="F38" i="56"/>
  <c r="F41" i="56"/>
  <c r="F46" i="56"/>
  <c r="F50" i="56"/>
  <c r="F54" i="56"/>
  <c r="F57" i="56"/>
  <c r="F16" i="57"/>
  <c r="V16" i="57"/>
  <c r="J18" i="57"/>
  <c r="V18" i="57"/>
  <c r="V22" i="57"/>
  <c r="J26" i="57"/>
  <c r="F27" i="57"/>
  <c r="J30" i="57"/>
  <c r="F31" i="57"/>
  <c r="F34" i="57"/>
  <c r="V34" i="57"/>
  <c r="J36" i="57"/>
  <c r="F39" i="57"/>
  <c r="J42" i="57"/>
  <c r="J46" i="57"/>
  <c r="V50" i="57"/>
  <c r="V54" i="57"/>
  <c r="J58" i="57"/>
  <c r="F60" i="57"/>
  <c r="V60" i="57"/>
  <c r="J64" i="57"/>
  <c r="F66" i="57"/>
  <c r="V66" i="57"/>
  <c r="Z12" i="58"/>
  <c r="J16" i="58"/>
  <c r="J20" i="58"/>
  <c r="F21" i="58"/>
  <c r="V24" i="58"/>
  <c r="J28" i="58"/>
  <c r="F29" i="58"/>
  <c r="J32" i="58"/>
  <c r="F33" i="58"/>
  <c r="F37" i="58"/>
  <c r="F40" i="58"/>
  <c r="V40" i="58"/>
  <c r="J42" i="58"/>
  <c r="F45" i="58"/>
  <c r="J48" i="58"/>
  <c r="F52" i="58"/>
  <c r="V52" i="58"/>
  <c r="V56" i="58"/>
  <c r="F60" i="58"/>
  <c r="V60" i="58"/>
  <c r="J62" i="58"/>
  <c r="F65" i="58"/>
  <c r="F71" i="58"/>
  <c r="X12" i="59"/>
  <c r="H16" i="59"/>
  <c r="F20" i="59"/>
  <c r="V23" i="59"/>
  <c r="R24" i="59"/>
  <c r="J27" i="59"/>
  <c r="F28" i="59"/>
  <c r="R29" i="59"/>
  <c r="J31" i="59"/>
  <c r="F32" i="59"/>
  <c r="R33" i="59"/>
  <c r="F35" i="59"/>
  <c r="V35" i="59"/>
  <c r="R36" i="59"/>
  <c r="J37" i="59"/>
  <c r="F40" i="59"/>
  <c r="V43" i="59"/>
  <c r="J47" i="59"/>
  <c r="F48" i="59"/>
  <c r="R49" i="59"/>
  <c r="F51" i="59"/>
  <c r="V51" i="59"/>
  <c r="R52" i="59"/>
  <c r="D56" i="59"/>
  <c r="R58" i="59"/>
  <c r="L12" i="60"/>
  <c r="P16" i="60"/>
  <c r="R18" i="60"/>
  <c r="R20" i="60"/>
  <c r="J23" i="60"/>
  <c r="F24" i="60"/>
  <c r="V27" i="60"/>
  <c r="J31" i="60"/>
  <c r="V35" i="60"/>
  <c r="R36" i="60"/>
  <c r="J37" i="60"/>
  <c r="V39" i="60"/>
  <c r="R40" i="60"/>
  <c r="J41" i="60"/>
  <c r="D16" i="61"/>
  <c r="V21" i="61"/>
  <c r="R22" i="61"/>
  <c r="F26" i="61"/>
  <c r="F30" i="61"/>
  <c r="F34" i="61"/>
  <c r="R35" i="61"/>
  <c r="F37" i="61"/>
  <c r="V37" i="61"/>
  <c r="R38" i="61"/>
  <c r="F42" i="61"/>
  <c r="F48" i="61"/>
  <c r="X12" i="62"/>
  <c r="V17" i="62"/>
  <c r="V19" i="62"/>
  <c r="V23" i="62"/>
  <c r="F28" i="62"/>
  <c r="F32" i="62"/>
  <c r="V35" i="62"/>
  <c r="R36" i="62"/>
  <c r="F39" i="62"/>
  <c r="V39" i="62"/>
  <c r="R40" i="62"/>
  <c r="J41" i="62"/>
  <c r="V43" i="62"/>
  <c r="J47" i="62"/>
  <c r="F48" i="62"/>
  <c r="R49" i="62"/>
  <c r="J51" i="62"/>
  <c r="V55" i="62"/>
  <c r="J59" i="62"/>
  <c r="V63" i="62"/>
  <c r="J67" i="62"/>
  <c r="J71" i="62"/>
  <c r="F72" i="62"/>
  <c r="R73" i="62"/>
  <c r="J75" i="62"/>
  <c r="F76" i="62"/>
  <c r="R77" i="62"/>
  <c r="F79" i="62"/>
  <c r="V79" i="62"/>
  <c r="R80" i="62"/>
  <c r="J83" i="62"/>
  <c r="F84" i="62"/>
  <c r="J87" i="62"/>
  <c r="V91" i="62"/>
  <c r="R92" i="62"/>
  <c r="J93" i="62"/>
  <c r="F97" i="62"/>
  <c r="V97" i="62"/>
  <c r="J101" i="62"/>
  <c r="F103" i="62"/>
  <c r="V103" i="62"/>
  <c r="Z42" i="64"/>
  <c r="R50" i="64"/>
  <c r="N64" i="64"/>
  <c r="R54" i="65"/>
  <c r="R45" i="65"/>
  <c r="R18" i="65"/>
  <c r="R48" i="65"/>
  <c r="R44" i="65"/>
  <c r="R41" i="65"/>
  <c r="R36" i="65"/>
  <c r="R33" i="65"/>
  <c r="R51" i="65"/>
  <c r="R47" i="65"/>
  <c r="R27" i="65"/>
  <c r="R57" i="65"/>
  <c r="R50" i="65"/>
  <c r="R43" i="65"/>
  <c r="R38" i="65"/>
  <c r="R35" i="65"/>
  <c r="R30" i="65"/>
  <c r="R26" i="65"/>
  <c r="R24" i="65"/>
  <c r="P22" i="65"/>
  <c r="R53" i="65"/>
  <c r="R46" i="65"/>
  <c r="R29" i="65"/>
  <c r="R49" i="65"/>
  <c r="R40" i="65"/>
  <c r="R37" i="65"/>
  <c r="R32" i="65"/>
  <c r="R25" i="65"/>
  <c r="R20" i="65"/>
  <c r="R61" i="65"/>
  <c r="R55" i="65"/>
  <c r="R52" i="65"/>
  <c r="R28" i="65"/>
  <c r="R19" i="65"/>
  <c r="F53" i="65"/>
  <c r="F29" i="65"/>
  <c r="F22" i="65"/>
  <c r="F57" i="65"/>
  <c r="F43" i="65"/>
  <c r="F40" i="65"/>
  <c r="F35" i="65"/>
  <c r="F32" i="65"/>
  <c r="D22" i="65"/>
  <c r="F20" i="65"/>
  <c r="F61" i="65"/>
  <c r="F55" i="65"/>
  <c r="F46" i="65"/>
  <c r="F19" i="65"/>
  <c r="F49" i="65"/>
  <c r="F42" i="65"/>
  <c r="F37" i="65"/>
  <c r="F34" i="65"/>
  <c r="F25" i="65"/>
  <c r="F24" i="65"/>
  <c r="F52" i="65"/>
  <c r="F45" i="65"/>
  <c r="F28" i="65"/>
  <c r="F48" i="65"/>
  <c r="F44" i="65"/>
  <c r="F39" i="65"/>
  <c r="F36" i="65"/>
  <c r="F31" i="65"/>
  <c r="F54" i="65"/>
  <c r="F51" i="65"/>
  <c r="F47" i="65"/>
  <c r="F27" i="65"/>
  <c r="F18" i="65"/>
  <c r="R42" i="65"/>
  <c r="Z54" i="65"/>
  <c r="X54" i="65"/>
  <c r="Z24" i="66"/>
  <c r="Z32" i="66"/>
  <c r="F23" i="56"/>
  <c r="F63" i="56"/>
  <c r="F69" i="56"/>
  <c r="H16" i="57"/>
  <c r="F20" i="57"/>
  <c r="V23" i="57"/>
  <c r="J27" i="57"/>
  <c r="J31" i="57"/>
  <c r="V35" i="57"/>
  <c r="J39" i="57"/>
  <c r="F40" i="57"/>
  <c r="F43" i="57"/>
  <c r="V43" i="57"/>
  <c r="F47" i="57"/>
  <c r="V47" i="57"/>
  <c r="J49" i="57"/>
  <c r="V51" i="57"/>
  <c r="J53" i="57"/>
  <c r="F56" i="57"/>
  <c r="J21" i="58"/>
  <c r="F22" i="58"/>
  <c r="V25" i="58"/>
  <c r="J29" i="58"/>
  <c r="J33" i="58"/>
  <c r="F34" i="58"/>
  <c r="J37" i="58"/>
  <c r="V41" i="58"/>
  <c r="J45" i="58"/>
  <c r="F49" i="58"/>
  <c r="V49" i="58"/>
  <c r="V53" i="58"/>
  <c r="J55" i="58"/>
  <c r="V57" i="58"/>
  <c r="V61" i="58"/>
  <c r="J65" i="58"/>
  <c r="F67" i="58"/>
  <c r="V67" i="58"/>
  <c r="J71" i="58"/>
  <c r="F73" i="58"/>
  <c r="V73" i="58"/>
  <c r="Z12" i="59"/>
  <c r="R14" i="59"/>
  <c r="J16" i="59"/>
  <c r="J20" i="59"/>
  <c r="F21" i="59"/>
  <c r="V24" i="59"/>
  <c r="R25" i="59"/>
  <c r="J28" i="59"/>
  <c r="J32" i="59"/>
  <c r="V36" i="59"/>
  <c r="J40" i="59"/>
  <c r="F41" i="59"/>
  <c r="F45" i="59"/>
  <c r="R46" i="59"/>
  <c r="J48" i="59"/>
  <c r="V52" i="59"/>
  <c r="F56" i="59"/>
  <c r="V56" i="59"/>
  <c r="V58" i="59"/>
  <c r="F63" i="59"/>
  <c r="V63" i="59"/>
  <c r="N12" i="60"/>
  <c r="J14" i="60"/>
  <c r="R16" i="60"/>
  <c r="V20" i="60"/>
  <c r="R21" i="60"/>
  <c r="J24" i="60"/>
  <c r="F25" i="60"/>
  <c r="F29" i="60"/>
  <c r="R30" i="60"/>
  <c r="F32" i="60"/>
  <c r="V32" i="60"/>
  <c r="R33" i="60"/>
  <c r="J34" i="60"/>
  <c r="V36" i="60"/>
  <c r="V40" i="60"/>
  <c r="R44" i="60"/>
  <c r="J46" i="60"/>
  <c r="R50" i="60"/>
  <c r="J53" i="60"/>
  <c r="F16" i="61"/>
  <c r="V16" i="61"/>
  <c r="V18" i="61"/>
  <c r="V22" i="61"/>
  <c r="R23" i="61"/>
  <c r="F27" i="61"/>
  <c r="R28" i="61"/>
  <c r="F31" i="61"/>
  <c r="V38" i="61"/>
  <c r="F44" i="61"/>
  <c r="V44" i="61"/>
  <c r="F50" i="61"/>
  <c r="V50" i="61"/>
  <c r="Z12" i="62"/>
  <c r="R14" i="62"/>
  <c r="H17" i="62"/>
  <c r="F21" i="62"/>
  <c r="V24" i="62"/>
  <c r="R25" i="62"/>
  <c r="J28" i="62"/>
  <c r="F29" i="62"/>
  <c r="J32" i="62"/>
  <c r="F33" i="62"/>
  <c r="V36" i="62"/>
  <c r="R37" i="62"/>
  <c r="V40" i="62"/>
  <c r="F45" i="62"/>
  <c r="R46" i="62"/>
  <c r="J48" i="62"/>
  <c r="F52" i="62"/>
  <c r="V52" i="62"/>
  <c r="R53" i="62"/>
  <c r="J54" i="62"/>
  <c r="F57" i="62"/>
  <c r="R58" i="62"/>
  <c r="F60" i="62"/>
  <c r="V60" i="62"/>
  <c r="R61" i="62"/>
  <c r="J62" i="62"/>
  <c r="F65" i="62"/>
  <c r="R66" i="62"/>
  <c r="F68" i="62"/>
  <c r="V68" i="62"/>
  <c r="R69" i="62"/>
  <c r="J72" i="62"/>
  <c r="J76" i="62"/>
  <c r="V80" i="62"/>
  <c r="R81" i="62"/>
  <c r="J84" i="62"/>
  <c r="F85" i="62"/>
  <c r="R86" i="62"/>
  <c r="F88" i="62"/>
  <c r="V88" i="62"/>
  <c r="R89" i="62"/>
  <c r="J90" i="62"/>
  <c r="V92" i="62"/>
  <c r="R96" i="62"/>
  <c r="X19" i="64"/>
  <c r="Z19" i="64" s="1"/>
  <c r="R34" i="64"/>
  <c r="Z41" i="64"/>
  <c r="Z58" i="64"/>
  <c r="X58" i="64"/>
  <c r="N60" i="64"/>
  <c r="L60" i="64"/>
  <c r="R74" i="64"/>
  <c r="Z24" i="65"/>
  <c r="F30" i="65"/>
  <c r="D12" i="66"/>
  <c r="L13" i="66"/>
  <c r="N13" i="66" s="1"/>
  <c r="Z19" i="66"/>
  <c r="N22" i="66"/>
  <c r="Z23" i="66"/>
  <c r="Z31" i="66"/>
  <c r="Z61" i="66"/>
  <c r="Z62" i="66"/>
  <c r="L12" i="56"/>
  <c r="F18" i="56"/>
  <c r="F19" i="56"/>
  <c r="F24" i="56"/>
  <c r="F36" i="56"/>
  <c r="F39" i="56"/>
  <c r="F44" i="56"/>
  <c r="F47" i="56"/>
  <c r="F51" i="56"/>
  <c r="F55" i="56"/>
  <c r="F65" i="56"/>
  <c r="F71" i="56"/>
  <c r="J16" i="57"/>
  <c r="J20" i="57"/>
  <c r="F28" i="57"/>
  <c r="V28" i="57"/>
  <c r="F32" i="57"/>
  <c r="V32" i="57"/>
  <c r="J34" i="57"/>
  <c r="F37" i="57"/>
  <c r="J40" i="57"/>
  <c r="V44" i="57"/>
  <c r="V48" i="57"/>
  <c r="V52" i="57"/>
  <c r="J56" i="57"/>
  <c r="J60" i="57"/>
  <c r="J66" i="57"/>
  <c r="J22" i="58"/>
  <c r="F23" i="58"/>
  <c r="V26" i="58"/>
  <c r="F30" i="58"/>
  <c r="V30" i="58"/>
  <c r="J34" i="58"/>
  <c r="F35" i="58"/>
  <c r="F38" i="58"/>
  <c r="V38" i="58"/>
  <c r="J40" i="58"/>
  <c r="F43" i="58"/>
  <c r="F46" i="58"/>
  <c r="V46" i="58"/>
  <c r="V50" i="58"/>
  <c r="J52" i="58"/>
  <c r="V54" i="58"/>
  <c r="V58" i="58"/>
  <c r="J60" i="58"/>
  <c r="F63" i="58"/>
  <c r="R19" i="59"/>
  <c r="J21" i="59"/>
  <c r="F22" i="59"/>
  <c r="V25" i="59"/>
  <c r="R26" i="59"/>
  <c r="F29" i="59"/>
  <c r="V29" i="59"/>
  <c r="R30" i="59"/>
  <c r="F33" i="59"/>
  <c r="V33" i="59"/>
  <c r="R34" i="59"/>
  <c r="J35" i="59"/>
  <c r="F38" i="59"/>
  <c r="R39" i="59"/>
  <c r="J41" i="59"/>
  <c r="F42" i="59"/>
  <c r="J45" i="59"/>
  <c r="F49" i="59"/>
  <c r="V49" i="59"/>
  <c r="R50" i="59"/>
  <c r="J51" i="59"/>
  <c r="J19" i="60"/>
  <c r="V21" i="60"/>
  <c r="R22" i="60"/>
  <c r="J25" i="60"/>
  <c r="F26" i="60"/>
  <c r="J29" i="60"/>
  <c r="X32" i="60"/>
  <c r="Z32" i="60" s="1"/>
  <c r="V33" i="60"/>
  <c r="L34" i="60"/>
  <c r="N34" i="60" s="1"/>
  <c r="F38" i="60"/>
  <c r="F42" i="60"/>
  <c r="F48" i="60"/>
  <c r="X12" i="61"/>
  <c r="F20" i="61"/>
  <c r="V23" i="61"/>
  <c r="R24" i="61"/>
  <c r="F32" i="61"/>
  <c r="R33" i="61"/>
  <c r="F35" i="61"/>
  <c r="V35" i="61"/>
  <c r="R36" i="61"/>
  <c r="F40" i="61"/>
  <c r="R41" i="61"/>
  <c r="J21" i="62"/>
  <c r="F22" i="62"/>
  <c r="V25" i="62"/>
  <c r="R26" i="62"/>
  <c r="J29" i="62"/>
  <c r="F30" i="62"/>
  <c r="R31" i="62"/>
  <c r="J33" i="62"/>
  <c r="F34" i="62"/>
  <c r="V37" i="62"/>
  <c r="R38" i="62"/>
  <c r="J39" i="62"/>
  <c r="F42" i="62"/>
  <c r="J45" i="62"/>
  <c r="F49" i="62"/>
  <c r="V49" i="62"/>
  <c r="R50" i="62"/>
  <c r="X52" i="62"/>
  <c r="V53" i="62"/>
  <c r="L54" i="62"/>
  <c r="J57" i="62"/>
  <c r="X60" i="62"/>
  <c r="Z60" i="62" s="1"/>
  <c r="V61" i="62"/>
  <c r="L62" i="62"/>
  <c r="N62" i="62" s="1"/>
  <c r="J65" i="62"/>
  <c r="X68" i="62"/>
  <c r="Z68" i="62" s="1"/>
  <c r="V69" i="62"/>
  <c r="R70" i="62"/>
  <c r="F73" i="62"/>
  <c r="V73" i="62"/>
  <c r="R74" i="62"/>
  <c r="F77" i="62"/>
  <c r="V77" i="62"/>
  <c r="R78" i="62"/>
  <c r="J79" i="62"/>
  <c r="V81" i="62"/>
  <c r="R82" i="62"/>
  <c r="J85" i="62"/>
  <c r="X88" i="62"/>
  <c r="Z88" i="62" s="1"/>
  <c r="V89" i="62"/>
  <c r="L90" i="62"/>
  <c r="F94" i="62"/>
  <c r="D96" i="62"/>
  <c r="L96" i="62" s="1"/>
  <c r="N96" i="62" s="1"/>
  <c r="T96" i="62"/>
  <c r="J97" i="62"/>
  <c r="R99" i="62"/>
  <c r="J103" i="62"/>
  <c r="R106" i="62"/>
  <c r="H12" i="64"/>
  <c r="F26" i="65"/>
  <c r="R31" i="65"/>
  <c r="Z72" i="66"/>
  <c r="Z96" i="66"/>
  <c r="L103" i="66"/>
  <c r="N103" i="66" s="1"/>
  <c r="X102" i="69"/>
  <c r="Z102" i="69" s="1"/>
  <c r="F25" i="56"/>
  <c r="F29" i="56"/>
  <c r="F61" i="56"/>
  <c r="J21" i="57"/>
  <c r="F22" i="57"/>
  <c r="V25" i="57"/>
  <c r="V29" i="57"/>
  <c r="V33" i="57"/>
  <c r="J37" i="57"/>
  <c r="F41" i="57"/>
  <c r="V41" i="57"/>
  <c r="J43" i="57"/>
  <c r="V45" i="57"/>
  <c r="J47" i="57"/>
  <c r="F50" i="57"/>
  <c r="F54" i="57"/>
  <c r="F57" i="57"/>
  <c r="V57" i="57"/>
  <c r="L12" i="58"/>
  <c r="F18" i="58"/>
  <c r="F19" i="58"/>
  <c r="V19" i="58"/>
  <c r="J23" i="58"/>
  <c r="F24" i="58"/>
  <c r="V27" i="58"/>
  <c r="V31" i="58"/>
  <c r="J35" i="58"/>
  <c r="V39" i="58"/>
  <c r="J43" i="58"/>
  <c r="V47" i="58"/>
  <c r="J49" i="58"/>
  <c r="V51" i="58"/>
  <c r="F56" i="58"/>
  <c r="V59" i="58"/>
  <c r="J63" i="58"/>
  <c r="J67" i="58"/>
  <c r="J73" i="58"/>
  <c r="V14" i="59"/>
  <c r="J22" i="59"/>
  <c r="F23" i="59"/>
  <c r="V26" i="59"/>
  <c r="R27" i="59"/>
  <c r="V30" i="59"/>
  <c r="R31" i="59"/>
  <c r="V34" i="59"/>
  <c r="J38" i="59"/>
  <c r="J42" i="59"/>
  <c r="F43" i="59"/>
  <c r="R44" i="59"/>
  <c r="F46" i="59"/>
  <c r="V46" i="59"/>
  <c r="R47" i="59"/>
  <c r="V50" i="59"/>
  <c r="R54" i="59"/>
  <c r="J56" i="59"/>
  <c r="R60" i="59"/>
  <c r="J63" i="59"/>
  <c r="F16" i="60"/>
  <c r="V16" i="60"/>
  <c r="J18" i="60"/>
  <c r="V18" i="60"/>
  <c r="V22" i="60"/>
  <c r="R23" i="60"/>
  <c r="J26" i="60"/>
  <c r="F27" i="60"/>
  <c r="R28" i="60"/>
  <c r="F30" i="60"/>
  <c r="V30" i="60"/>
  <c r="R31" i="60"/>
  <c r="J32" i="60"/>
  <c r="F35" i="60"/>
  <c r="J38" i="60"/>
  <c r="F39" i="60"/>
  <c r="J42" i="60"/>
  <c r="F44" i="60"/>
  <c r="V44" i="60"/>
  <c r="J48" i="60"/>
  <c r="Z12" i="61"/>
  <c r="R14" i="61"/>
  <c r="F21" i="61"/>
  <c r="V24" i="61"/>
  <c r="R25" i="61"/>
  <c r="F28" i="61"/>
  <c r="V28" i="61"/>
  <c r="R29" i="61"/>
  <c r="R46" i="61"/>
  <c r="R53" i="61"/>
  <c r="F14" i="62"/>
  <c r="V14" i="62"/>
  <c r="R15" i="62"/>
  <c r="L17" i="62"/>
  <c r="R20" i="62"/>
  <c r="J22" i="62"/>
  <c r="F23" i="62"/>
  <c r="V26" i="62"/>
  <c r="R27" i="62"/>
  <c r="J30" i="62"/>
  <c r="J34" i="62"/>
  <c r="F35" i="62"/>
  <c r="V38" i="62"/>
  <c r="J42" i="62"/>
  <c r="F43" i="62"/>
  <c r="R44" i="62"/>
  <c r="F46" i="62"/>
  <c r="V46" i="62"/>
  <c r="R47" i="62"/>
  <c r="V50" i="62"/>
  <c r="R51" i="62"/>
  <c r="J52" i="62"/>
  <c r="F55" i="62"/>
  <c r="R56" i="62"/>
  <c r="F58" i="62"/>
  <c r="V58" i="62"/>
  <c r="R59" i="62"/>
  <c r="J60" i="62"/>
  <c r="F63" i="62"/>
  <c r="R64" i="62"/>
  <c r="F66" i="62"/>
  <c r="V66" i="62"/>
  <c r="R67" i="62"/>
  <c r="J68" i="62"/>
  <c r="V70" i="62"/>
  <c r="R71" i="62"/>
  <c r="V74" i="62"/>
  <c r="R75" i="62"/>
  <c r="V78" i="62"/>
  <c r="V82" i="62"/>
  <c r="R83" i="62"/>
  <c r="F86" i="62"/>
  <c r="V86" i="62"/>
  <c r="R87" i="62"/>
  <c r="J88" i="62"/>
  <c r="F91" i="62"/>
  <c r="J94" i="62"/>
  <c r="F96" i="62"/>
  <c r="V96" i="62"/>
  <c r="R101" i="62"/>
  <c r="Z23" i="64"/>
  <c r="Z60" i="64"/>
  <c r="R67" i="64"/>
  <c r="L20" i="66"/>
  <c r="F26" i="56"/>
  <c r="F30" i="56"/>
  <c r="F34" i="56"/>
  <c r="F37" i="56"/>
  <c r="F42" i="56"/>
  <c r="F45" i="56"/>
  <c r="J22" i="57"/>
  <c r="F23" i="57"/>
  <c r="V26" i="57"/>
  <c r="J28" i="57"/>
  <c r="V30" i="57"/>
  <c r="J32" i="57"/>
  <c r="F35" i="57"/>
  <c r="F38" i="57"/>
  <c r="V38" i="57"/>
  <c r="V42" i="57"/>
  <c r="V46" i="57"/>
  <c r="J50" i="57"/>
  <c r="F51" i="57"/>
  <c r="V58" i="57"/>
  <c r="F62" i="57"/>
  <c r="V62" i="57"/>
  <c r="V64" i="57"/>
  <c r="N12" i="58"/>
  <c r="J14" i="58"/>
  <c r="V20" i="58"/>
  <c r="J24" i="58"/>
  <c r="F25" i="58"/>
  <c r="V28" i="58"/>
  <c r="J30" i="58"/>
  <c r="V32" i="58"/>
  <c r="F36" i="58"/>
  <c r="V36" i="58"/>
  <c r="J38" i="58"/>
  <c r="F41" i="58"/>
  <c r="F44" i="58"/>
  <c r="V44" i="58"/>
  <c r="J46" i="58"/>
  <c r="V48" i="58"/>
  <c r="F53" i="58"/>
  <c r="F57" i="58"/>
  <c r="F61" i="58"/>
  <c r="V19" i="59"/>
  <c r="V27" i="59"/>
  <c r="J29" i="59"/>
  <c r="V31" i="59"/>
  <c r="R32" i="59"/>
  <c r="J33" i="59"/>
  <c r="R37" i="59"/>
  <c r="F39" i="59"/>
  <c r="V39" i="59"/>
  <c r="R40" i="59"/>
  <c r="J43" i="59"/>
  <c r="F52" i="59"/>
  <c r="H16" i="60"/>
  <c r="L16" i="60" s="1"/>
  <c r="J27" i="60"/>
  <c r="J35" i="60"/>
  <c r="R37" i="60"/>
  <c r="F22" i="61"/>
  <c r="F33" i="61"/>
  <c r="F38" i="61"/>
  <c r="R39" i="61"/>
  <c r="R42" i="61"/>
  <c r="V15" i="62"/>
  <c r="J23" i="62"/>
  <c r="F24" i="62"/>
  <c r="V27" i="62"/>
  <c r="R28" i="62"/>
  <c r="F31" i="62"/>
  <c r="V31" i="62"/>
  <c r="R32" i="62"/>
  <c r="J35" i="62"/>
  <c r="F36" i="62"/>
  <c r="F40" i="62"/>
  <c r="R41" i="62"/>
  <c r="J43" i="62"/>
  <c r="V47" i="62"/>
  <c r="R48" i="62"/>
  <c r="J49" i="62"/>
  <c r="V51" i="62"/>
  <c r="J55" i="62"/>
  <c r="V59" i="62"/>
  <c r="J63" i="62"/>
  <c r="V67" i="62"/>
  <c r="V71" i="62"/>
  <c r="R72" i="62"/>
  <c r="J73" i="62"/>
  <c r="V75" i="62"/>
  <c r="R76" i="62"/>
  <c r="J77" i="62"/>
  <c r="F80" i="62"/>
  <c r="V83" i="62"/>
  <c r="R84" i="62"/>
  <c r="V87" i="62"/>
  <c r="F92" i="62"/>
  <c r="F99" i="62"/>
  <c r="V99" i="62"/>
  <c r="V101" i="62"/>
  <c r="D12" i="64"/>
  <c r="L16" i="64"/>
  <c r="Z18" i="64"/>
  <c r="R27" i="64"/>
  <c r="Z53" i="64"/>
  <c r="Z70" i="64"/>
  <c r="X70" i="64"/>
  <c r="N72" i="64"/>
  <c r="L72" i="64"/>
  <c r="F33" i="65"/>
  <c r="N46" i="65"/>
  <c r="P12" i="66"/>
  <c r="X17" i="66"/>
  <c r="Z17" i="66" s="1"/>
  <c r="N20" i="66"/>
  <c r="L28" i="66"/>
  <c r="L36" i="66"/>
  <c r="N36" i="66" s="1"/>
  <c r="L79" i="70"/>
  <c r="N79" i="70" s="1"/>
  <c r="D78" i="70"/>
  <c r="T12" i="64"/>
  <c r="X12" i="64" s="1"/>
  <c r="N14" i="64"/>
  <c r="T12" i="65"/>
  <c r="N115" i="66"/>
  <c r="N23" i="67"/>
  <c r="N22" i="69"/>
  <c r="X27" i="69"/>
  <c r="Z38" i="69"/>
  <c r="N46" i="69"/>
  <c r="X51" i="69"/>
  <c r="X86" i="69"/>
  <c r="Z86" i="69" s="1"/>
  <c r="Z116" i="69"/>
  <c r="Z140" i="69"/>
  <c r="P12" i="67"/>
  <c r="Z27" i="69"/>
  <c r="Z51" i="69"/>
  <c r="Z29" i="71"/>
  <c r="X29" i="71"/>
  <c r="X13" i="64"/>
  <c r="Z13" i="64" s="1"/>
  <c r="L17" i="64"/>
  <c r="X21" i="64"/>
  <c r="Z21" i="64" s="1"/>
  <c r="L25" i="64"/>
  <c r="X13" i="65"/>
  <c r="L14" i="66"/>
  <c r="N14" i="66" s="1"/>
  <c r="X18" i="66"/>
  <c r="Z18" i="66" s="1"/>
  <c r="L22" i="66"/>
  <c r="X26" i="66"/>
  <c r="Z26" i="66" s="1"/>
  <c r="L30" i="66"/>
  <c r="N30" i="66" s="1"/>
  <c r="X34" i="66"/>
  <c r="L38" i="66"/>
  <c r="H112" i="66"/>
  <c r="Z115" i="66"/>
  <c r="F54" i="67"/>
  <c r="F48" i="67"/>
  <c r="F27" i="67"/>
  <c r="F18" i="67"/>
  <c r="F52" i="67"/>
  <c r="F46" i="67"/>
  <c r="F41" i="67"/>
  <c r="F38" i="67"/>
  <c r="F33" i="67"/>
  <c r="F26" i="67"/>
  <c r="F25" i="67"/>
  <c r="F43" i="67"/>
  <c r="F40" i="67"/>
  <c r="F35" i="67"/>
  <c r="F32" i="67"/>
  <c r="F21" i="67"/>
  <c r="L12" i="67"/>
  <c r="F57" i="67"/>
  <c r="F50" i="67"/>
  <c r="F31" i="67"/>
  <c r="D21" i="67"/>
  <c r="F19" i="67"/>
  <c r="F45" i="67"/>
  <c r="F42" i="67"/>
  <c r="F37" i="67"/>
  <c r="F34" i="67"/>
  <c r="F29" i="67"/>
  <c r="F24" i="67"/>
  <c r="F23" i="67"/>
  <c r="V54" i="67"/>
  <c r="V48" i="67"/>
  <c r="V42" i="67"/>
  <c r="V34" i="67"/>
  <c r="V30" i="67"/>
  <c r="V18" i="67"/>
  <c r="V41" i="67"/>
  <c r="V33" i="67"/>
  <c r="V29" i="67"/>
  <c r="V44" i="67"/>
  <c r="V36" i="67"/>
  <c r="V28" i="67"/>
  <c r="V43" i="67"/>
  <c r="V35" i="67"/>
  <c r="V27" i="67"/>
  <c r="V23" i="67"/>
  <c r="V21" i="67"/>
  <c r="V57" i="67"/>
  <c r="V52" i="67"/>
  <c r="V50" i="67"/>
  <c r="V46" i="67"/>
  <c r="V38" i="67"/>
  <c r="V26" i="67"/>
  <c r="T21" i="67"/>
  <c r="V45" i="67"/>
  <c r="V37" i="67"/>
  <c r="V40" i="67"/>
  <c r="V32" i="67"/>
  <c r="V24" i="67"/>
  <c r="Z12" i="67"/>
  <c r="Z15" i="67"/>
  <c r="X15" i="67"/>
  <c r="V19" i="67"/>
  <c r="X24" i="67"/>
  <c r="Z24" i="67" s="1"/>
  <c r="L39" i="69"/>
  <c r="Z85" i="69"/>
  <c r="L144" i="69"/>
  <c r="D143" i="69"/>
  <c r="L18" i="70"/>
  <c r="N18" i="70"/>
  <c r="J98" i="71"/>
  <c r="J86" i="71"/>
  <c r="J78" i="71"/>
  <c r="J72" i="71"/>
  <c r="J64" i="71"/>
  <c r="J58" i="71"/>
  <c r="J46" i="71"/>
  <c r="J38" i="71"/>
  <c r="J93" i="71"/>
  <c r="J83" i="71"/>
  <c r="J77" i="71"/>
  <c r="J69" i="71"/>
  <c r="J57" i="71"/>
  <c r="J45" i="71"/>
  <c r="J37" i="71"/>
  <c r="J102" i="71"/>
  <c r="J96" i="71"/>
  <c r="J90" i="71"/>
  <c r="J80" i="71"/>
  <c r="J74" i="71"/>
  <c r="J68" i="71"/>
  <c r="J56" i="71"/>
  <c r="J44" i="71"/>
  <c r="J36" i="71"/>
  <c r="J85" i="71"/>
  <c r="J71" i="71"/>
  <c r="J67" i="71"/>
  <c r="J63" i="71"/>
  <c r="J55" i="71"/>
  <c r="J51" i="71"/>
  <c r="J43" i="71"/>
  <c r="J92" i="71"/>
  <c r="J82" i="71"/>
  <c r="J76" i="71"/>
  <c r="J66" i="71"/>
  <c r="J62" i="71"/>
  <c r="H51" i="71"/>
  <c r="J42" i="71"/>
  <c r="J97" i="71"/>
  <c r="J89" i="71"/>
  <c r="J79" i="71"/>
  <c r="J73" i="71"/>
  <c r="J65" i="71"/>
  <c r="J61" i="71"/>
  <c r="J53" i="71"/>
  <c r="J49" i="71"/>
  <c r="J41" i="71"/>
  <c r="J35" i="71"/>
  <c r="J88" i="71"/>
  <c r="J84" i="71"/>
  <c r="J70" i="71"/>
  <c r="J60" i="71"/>
  <c r="J54" i="71"/>
  <c r="J48" i="71"/>
  <c r="J40" i="71"/>
  <c r="J91" i="71"/>
  <c r="J95" i="71"/>
  <c r="J81" i="71"/>
  <c r="J47" i="71"/>
  <c r="J87" i="71"/>
  <c r="J39" i="71"/>
  <c r="J75" i="71"/>
  <c r="J59" i="71"/>
  <c r="T12" i="66"/>
  <c r="L113" i="66"/>
  <c r="N113" i="66" s="1"/>
  <c r="X115" i="66"/>
  <c r="Z13" i="67"/>
  <c r="L18" i="67"/>
  <c r="V39" i="67"/>
  <c r="L27" i="64"/>
  <c r="N27" i="64" s="1"/>
  <c r="X53" i="64"/>
  <c r="L55" i="64"/>
  <c r="L67" i="64"/>
  <c r="H12" i="65"/>
  <c r="L31" i="65"/>
  <c r="F28" i="67"/>
  <c r="F36" i="67"/>
  <c r="N15" i="69"/>
  <c r="N34" i="69"/>
  <c r="Z35" i="69"/>
  <c r="N100" i="66"/>
  <c r="Z113" i="66"/>
  <c r="Z114" i="66"/>
  <c r="Z18" i="67"/>
  <c r="D12" i="69"/>
  <c r="Z21" i="69"/>
  <c r="L23" i="69"/>
  <c r="Z30" i="69"/>
  <c r="N38" i="69"/>
  <c r="Z45" i="69"/>
  <c r="L47" i="69"/>
  <c r="N102" i="69"/>
  <c r="X130" i="69"/>
  <c r="Z130" i="69" s="1"/>
  <c r="T143" i="69"/>
  <c r="X143" i="69" s="1"/>
  <c r="X144" i="69"/>
  <c r="Z144" i="69" s="1"/>
  <c r="L24" i="67"/>
  <c r="F39" i="67"/>
  <c r="X19" i="69"/>
  <c r="Z19" i="69" s="1"/>
  <c r="N23" i="69"/>
  <c r="Z34" i="69"/>
  <c r="X43" i="69"/>
  <c r="Z43" i="69" s="1"/>
  <c r="N47" i="69"/>
  <c r="N86" i="69"/>
  <c r="N104" i="69"/>
  <c r="L104" i="69"/>
  <c r="Z114" i="69"/>
  <c r="X114" i="69"/>
  <c r="L116" i="69"/>
  <c r="N116" i="69" s="1"/>
  <c r="Z138" i="69"/>
  <c r="X138" i="69"/>
  <c r="N140" i="69"/>
  <c r="L140" i="69"/>
  <c r="D112" i="66"/>
  <c r="L112" i="66" s="1"/>
  <c r="T112" i="66"/>
  <c r="X13" i="67"/>
  <c r="J18" i="67"/>
  <c r="J28" i="67"/>
  <c r="J36" i="67"/>
  <c r="J44" i="67"/>
  <c r="J48" i="67"/>
  <c r="J54" i="67"/>
  <c r="T12" i="69"/>
  <c r="L13" i="70"/>
  <c r="D12" i="70"/>
  <c r="N22" i="70"/>
  <c r="X24" i="70"/>
  <c r="Z24" i="70" s="1"/>
  <c r="Z33" i="70"/>
  <c r="P12" i="71"/>
  <c r="X14" i="71"/>
  <c r="Z14" i="71" s="1"/>
  <c r="L17" i="71"/>
  <c r="N17" i="71" s="1"/>
  <c r="N64" i="71"/>
  <c r="Z70" i="71"/>
  <c r="N76" i="71"/>
  <c r="T12" i="70"/>
  <c r="X14" i="70"/>
  <c r="X96" i="71"/>
  <c r="Z96" i="71" s="1"/>
  <c r="P95" i="71"/>
  <c r="J24" i="67"/>
  <c r="J30" i="67"/>
  <c r="J34" i="67"/>
  <c r="J42" i="67"/>
  <c r="X13" i="69"/>
  <c r="Z13" i="69" s="1"/>
  <c r="L17" i="69"/>
  <c r="N17" i="69" s="1"/>
  <c r="X21" i="69"/>
  <c r="L25" i="69"/>
  <c r="X29" i="69"/>
  <c r="Z29" i="69" s="1"/>
  <c r="L33" i="69"/>
  <c r="X37" i="69"/>
  <c r="Z37" i="69" s="1"/>
  <c r="L41" i="69"/>
  <c r="X45" i="69"/>
  <c r="L49" i="69"/>
  <c r="X53" i="69"/>
  <c r="Z53" i="69" s="1"/>
  <c r="P12" i="70"/>
  <c r="Z14" i="70"/>
  <c r="N21" i="70"/>
  <c r="L27" i="70"/>
  <c r="Z32" i="70"/>
  <c r="Z65" i="70"/>
  <c r="X65" i="70"/>
  <c r="L67" i="70"/>
  <c r="N67" i="70" s="1"/>
  <c r="Z79" i="70"/>
  <c r="T78" i="70"/>
  <c r="X79" i="70"/>
  <c r="N25" i="71"/>
  <c r="L25" i="71"/>
  <c r="N54" i="71"/>
  <c r="L54" i="71"/>
  <c r="Z76" i="71"/>
  <c r="X76" i="71"/>
  <c r="F18" i="75"/>
  <c r="F27" i="75"/>
  <c r="F31" i="75"/>
  <c r="D23" i="75"/>
  <c r="F23" i="75" s="1"/>
  <c r="F21" i="75"/>
  <c r="F20" i="75"/>
  <c r="F19" i="75"/>
  <c r="F25" i="75"/>
  <c r="J19" i="67"/>
  <c r="J23" i="67"/>
  <c r="J31" i="67"/>
  <c r="J37" i="67"/>
  <c r="J45" i="67"/>
  <c r="Z22" i="70"/>
  <c r="Z59" i="70"/>
  <c r="Z73" i="70"/>
  <c r="X73" i="70"/>
  <c r="N75" i="70"/>
  <c r="L75" i="70"/>
  <c r="T12" i="71"/>
  <c r="X13" i="71"/>
  <c r="Z13" i="71" s="1"/>
  <c r="Z22" i="71"/>
  <c r="N53" i="71"/>
  <c r="Z64" i="71"/>
  <c r="N14" i="72"/>
  <c r="L14" i="72"/>
  <c r="N19" i="74"/>
  <c r="N12" i="67"/>
  <c r="H21" i="67"/>
  <c r="J32" i="67"/>
  <c r="X35" i="67"/>
  <c r="Z35" i="67" s="1"/>
  <c r="J40" i="67"/>
  <c r="J50" i="67"/>
  <c r="J57" i="67"/>
  <c r="H143" i="69"/>
  <c r="H12" i="70"/>
  <c r="N20" i="70"/>
  <c r="L20" i="70"/>
  <c r="D32" i="72"/>
  <c r="P12" i="73"/>
  <c r="X16" i="73"/>
  <c r="J21" i="67"/>
  <c r="J25" i="67"/>
  <c r="J35" i="67"/>
  <c r="J43" i="67"/>
  <c r="N15" i="70"/>
  <c r="L33" i="70"/>
  <c r="N63" i="70"/>
  <c r="Z75" i="70"/>
  <c r="X21" i="71"/>
  <c r="Z21" i="71" s="1"/>
  <c r="Z30" i="71"/>
  <c r="N33" i="71"/>
  <c r="L33" i="71"/>
  <c r="X53" i="71"/>
  <c r="Z53" i="71" s="1"/>
  <c r="N18" i="72"/>
  <c r="L18" i="72"/>
  <c r="J26" i="67"/>
  <c r="J38" i="67"/>
  <c r="J46" i="67"/>
  <c r="Z16" i="70"/>
  <c r="X16" i="70"/>
  <c r="L32" i="70"/>
  <c r="N32" i="70" s="1"/>
  <c r="N33" i="70"/>
  <c r="L18" i="71"/>
  <c r="N18" i="71" s="1"/>
  <c r="D12" i="71"/>
  <c r="N70" i="71"/>
  <c r="L70" i="71"/>
  <c r="X92" i="71"/>
  <c r="Z92" i="71" s="1"/>
  <c r="N98" i="71"/>
  <c r="J70" i="73"/>
  <c r="J62" i="73"/>
  <c r="J58" i="73"/>
  <c r="J52" i="73"/>
  <c r="J44" i="73"/>
  <c r="J40" i="73"/>
  <c r="J28" i="73"/>
  <c r="J18" i="73"/>
  <c r="J84" i="73"/>
  <c r="J77" i="73"/>
  <c r="J67" i="73"/>
  <c r="J55" i="73"/>
  <c r="J49" i="73"/>
  <c r="J39" i="73"/>
  <c r="J35" i="73"/>
  <c r="J27" i="73"/>
  <c r="J23" i="73"/>
  <c r="J72" i="73"/>
  <c r="J66" i="73"/>
  <c r="J54" i="73"/>
  <c r="J46" i="73"/>
  <c r="J38" i="73"/>
  <c r="J34" i="73"/>
  <c r="H23" i="73"/>
  <c r="J69" i="73"/>
  <c r="J65" i="73"/>
  <c r="J61" i="73"/>
  <c r="J57" i="73"/>
  <c r="J51" i="73"/>
  <c r="J43" i="73"/>
  <c r="J37" i="73"/>
  <c r="J33" i="73"/>
  <c r="J25" i="73"/>
  <c r="J21" i="73"/>
  <c r="J64" i="73"/>
  <c r="J60" i="73"/>
  <c r="J48" i="73"/>
  <c r="J32" i="73"/>
  <c r="J26" i="73"/>
  <c r="J20" i="73"/>
  <c r="N12" i="73"/>
  <c r="J81" i="73"/>
  <c r="J75" i="73"/>
  <c r="J71" i="73"/>
  <c r="J63" i="73"/>
  <c r="J59" i="73"/>
  <c r="J53" i="73"/>
  <c r="J45" i="73"/>
  <c r="J31" i="73"/>
  <c r="J19" i="73"/>
  <c r="J56" i="73"/>
  <c r="J36" i="73"/>
  <c r="J50" i="73"/>
  <c r="J73" i="73"/>
  <c r="J68" i="73"/>
  <c r="J47" i="73"/>
  <c r="J41" i="73"/>
  <c r="J29" i="73"/>
  <c r="J79" i="73"/>
  <c r="J42" i="73"/>
  <c r="J30" i="73"/>
  <c r="X19" i="74"/>
  <c r="Z19" i="74" s="1"/>
  <c r="N12" i="72"/>
  <c r="J14" i="72"/>
  <c r="V16" i="72"/>
  <c r="H29" i="72"/>
  <c r="N29" i="72" s="1"/>
  <c r="Z16" i="73"/>
  <c r="V34" i="73"/>
  <c r="L68" i="73"/>
  <c r="Z72" i="73"/>
  <c r="N75" i="73"/>
  <c r="L75" i="73"/>
  <c r="X14" i="74"/>
  <c r="Z14" i="74" s="1"/>
  <c r="R17" i="76"/>
  <c r="R39" i="76"/>
  <c r="R90" i="77"/>
  <c r="R25" i="72"/>
  <c r="R36" i="72"/>
  <c r="R30" i="72"/>
  <c r="R27" i="72"/>
  <c r="R34" i="72"/>
  <c r="P18" i="72"/>
  <c r="R20" i="72"/>
  <c r="R22" i="72"/>
  <c r="R29" i="72"/>
  <c r="N68" i="73"/>
  <c r="R75" i="79"/>
  <c r="R71" i="79"/>
  <c r="R64" i="79"/>
  <c r="R70" i="79"/>
  <c r="R77" i="79"/>
  <c r="R74" i="79"/>
  <c r="R69" i="79"/>
  <c r="R82" i="79"/>
  <c r="R79" i="79"/>
  <c r="R76" i="79"/>
  <c r="R67" i="79"/>
  <c r="R63" i="79"/>
  <c r="R59" i="79"/>
  <c r="R66" i="79"/>
  <c r="R78" i="79"/>
  <c r="R73" i="79"/>
  <c r="R65" i="79"/>
  <c r="R62" i="79"/>
  <c r="R57" i="79"/>
  <c r="R40" i="79"/>
  <c r="R37" i="79"/>
  <c r="R28" i="79"/>
  <c r="R86" i="79"/>
  <c r="R51" i="79"/>
  <c r="R48" i="79"/>
  <c r="R32" i="79"/>
  <c r="R27" i="79"/>
  <c r="R16" i="79"/>
  <c r="R42" i="79"/>
  <c r="R39" i="79"/>
  <c r="R26" i="79"/>
  <c r="R53" i="79"/>
  <c r="R50" i="79"/>
  <c r="R45" i="79"/>
  <c r="R25" i="79"/>
  <c r="R20" i="79"/>
  <c r="R72" i="79"/>
  <c r="R68" i="79"/>
  <c r="R61" i="79"/>
  <c r="R56" i="79"/>
  <c r="R44" i="79"/>
  <c r="R41" i="79"/>
  <c r="R36" i="79"/>
  <c r="R24" i="79"/>
  <c r="R22" i="79"/>
  <c r="P20" i="79"/>
  <c r="R60" i="79"/>
  <c r="R55" i="79"/>
  <c r="R52" i="79"/>
  <c r="R47" i="79"/>
  <c r="R35" i="79"/>
  <c r="R31" i="79"/>
  <c r="R54" i="79"/>
  <c r="R43" i="79"/>
  <c r="R29" i="79"/>
  <c r="R58" i="79"/>
  <c r="R30" i="79"/>
  <c r="R23" i="79"/>
  <c r="R49" i="79"/>
  <c r="R46" i="79"/>
  <c r="R38" i="79"/>
  <c r="R33" i="79"/>
  <c r="R17" i="79"/>
  <c r="V36" i="72"/>
  <c r="V30" i="72"/>
  <c r="V24" i="72"/>
  <c r="V27" i="72"/>
  <c r="V26" i="72"/>
  <c r="V39" i="72"/>
  <c r="V29" i="72"/>
  <c r="F15" i="72"/>
  <c r="R18" i="72"/>
  <c r="V22" i="72"/>
  <c r="R23" i="72"/>
  <c r="F25" i="72"/>
  <c r="F27" i="72"/>
  <c r="V33" i="73"/>
  <c r="V38" i="73"/>
  <c r="V69" i="73"/>
  <c r="X30" i="74"/>
  <c r="Z30" i="74" s="1"/>
  <c r="N32" i="74"/>
  <c r="L32" i="74"/>
  <c r="N42" i="74"/>
  <c r="L42" i="74"/>
  <c r="N15" i="75"/>
  <c r="D12" i="76"/>
  <c r="L14" i="76"/>
  <c r="X12" i="72"/>
  <c r="J15" i="72"/>
  <c r="F16" i="72"/>
  <c r="T18" i="72"/>
  <c r="J21" i="72"/>
  <c r="V23" i="72"/>
  <c r="J25" i="72"/>
  <c r="V34" i="72"/>
  <c r="R39" i="72"/>
  <c r="X15" i="73"/>
  <c r="N25" i="73"/>
  <c r="X26" i="73"/>
  <c r="Z26" i="73" s="1"/>
  <c r="Z43" i="73"/>
  <c r="X43" i="73"/>
  <c r="X51" i="73"/>
  <c r="Z51" i="73" s="1"/>
  <c r="L53" i="73"/>
  <c r="N53" i="73" s="1"/>
  <c r="V54" i="73"/>
  <c r="V75" i="73"/>
  <c r="Z16" i="76"/>
  <c r="X22" i="76"/>
  <c r="Z22" i="76" s="1"/>
  <c r="R29" i="76"/>
  <c r="R33" i="76"/>
  <c r="L51" i="76"/>
  <c r="N51" i="76" s="1"/>
  <c r="T39" i="80"/>
  <c r="H78" i="70"/>
  <c r="D95" i="71"/>
  <c r="L95" i="71" s="1"/>
  <c r="N95" i="71" s="1"/>
  <c r="T95" i="71"/>
  <c r="R14" i="72"/>
  <c r="N45" i="73"/>
  <c r="L45" i="73"/>
  <c r="L56" i="73"/>
  <c r="F46" i="74"/>
  <c r="F40" i="74"/>
  <c r="F35" i="74"/>
  <c r="F17" i="74"/>
  <c r="F31" i="74"/>
  <c r="F26" i="74"/>
  <c r="D17" i="74"/>
  <c r="F15" i="74"/>
  <c r="F37" i="74"/>
  <c r="F34" i="74"/>
  <c r="F51" i="74"/>
  <c r="F44" i="74"/>
  <c r="F33" i="74"/>
  <c r="F28" i="74"/>
  <c r="F25" i="74"/>
  <c r="F20" i="74"/>
  <c r="F19" i="74"/>
  <c r="F39" i="74"/>
  <c r="F36" i="74"/>
  <c r="F24" i="74"/>
  <c r="L12" i="74"/>
  <c r="F30" i="74"/>
  <c r="F27" i="74"/>
  <c r="F23" i="74"/>
  <c r="F14" i="74"/>
  <c r="L35" i="74"/>
  <c r="Z15" i="75"/>
  <c r="H12" i="76"/>
  <c r="N13" i="76"/>
  <c r="R75" i="76"/>
  <c r="R64" i="76"/>
  <c r="R60" i="76"/>
  <c r="R52" i="76"/>
  <c r="R49" i="76"/>
  <c r="R44" i="76"/>
  <c r="R71" i="76"/>
  <c r="R68" i="76"/>
  <c r="R63" i="76"/>
  <c r="R59" i="76"/>
  <c r="R55" i="76"/>
  <c r="R62" i="76"/>
  <c r="R58" i="76"/>
  <c r="R54" i="76"/>
  <c r="R51" i="76"/>
  <c r="R46" i="76"/>
  <c r="R34" i="76"/>
  <c r="R79" i="76"/>
  <c r="R73" i="76"/>
  <c r="R70" i="76"/>
  <c r="R57" i="76"/>
  <c r="R61" i="76"/>
  <c r="R53" i="76"/>
  <c r="R48" i="76"/>
  <c r="R45" i="76"/>
  <c r="R32" i="76"/>
  <c r="R27" i="76"/>
  <c r="R16" i="76"/>
  <c r="R56" i="76"/>
  <c r="R41" i="76"/>
  <c r="R37" i="76"/>
  <c r="R26" i="76"/>
  <c r="R65" i="76"/>
  <c r="R47" i="76"/>
  <c r="R40" i="76"/>
  <c r="R36" i="76"/>
  <c r="R25" i="76"/>
  <c r="R66" i="76"/>
  <c r="R24" i="76"/>
  <c r="R22" i="76"/>
  <c r="P20" i="76"/>
  <c r="X12" i="76"/>
  <c r="R72" i="76"/>
  <c r="R67" i="76"/>
  <c r="R50" i="76"/>
  <c r="R31" i="76"/>
  <c r="R69" i="76"/>
  <c r="R42" i="76"/>
  <c r="R30" i="76"/>
  <c r="R23" i="76"/>
  <c r="R18" i="76"/>
  <c r="F36" i="72"/>
  <c r="F30" i="72"/>
  <c r="F24" i="72"/>
  <c r="F34" i="72"/>
  <c r="F26" i="72"/>
  <c r="F39" i="72"/>
  <c r="F29" i="72"/>
  <c r="F22" i="72"/>
  <c r="R24" i="72"/>
  <c r="L30" i="72"/>
  <c r="F32" i="72"/>
  <c r="V68" i="73"/>
  <c r="V64" i="73"/>
  <c r="V60" i="73"/>
  <c r="V56" i="73"/>
  <c r="V48" i="73"/>
  <c r="V36" i="73"/>
  <c r="V32" i="73"/>
  <c r="V20" i="73"/>
  <c r="V71" i="73"/>
  <c r="V63" i="73"/>
  <c r="V59" i="73"/>
  <c r="V47" i="73"/>
  <c r="V31" i="73"/>
  <c r="V19" i="73"/>
  <c r="V70" i="73"/>
  <c r="V62" i="73"/>
  <c r="V58" i="73"/>
  <c r="V50" i="73"/>
  <c r="V42" i="73"/>
  <c r="V30" i="73"/>
  <c r="V18" i="73"/>
  <c r="V79" i="73"/>
  <c r="V73" i="73"/>
  <c r="V49" i="73"/>
  <c r="V41" i="73"/>
  <c r="V29" i="73"/>
  <c r="V25" i="73"/>
  <c r="V72" i="73"/>
  <c r="V52" i="73"/>
  <c r="V44" i="73"/>
  <c r="V40" i="73"/>
  <c r="V28" i="73"/>
  <c r="T23" i="73"/>
  <c r="V23" i="73" s="1"/>
  <c r="V67" i="73"/>
  <c r="V55" i="73"/>
  <c r="V51" i="73"/>
  <c r="V43" i="73"/>
  <c r="V39" i="73"/>
  <c r="V35" i="73"/>
  <c r="V27" i="73"/>
  <c r="V21" i="73"/>
  <c r="V26" i="73"/>
  <c r="V46" i="73"/>
  <c r="H44" i="74"/>
  <c r="N17" i="74"/>
  <c r="L13" i="76"/>
  <c r="R28" i="76"/>
  <c r="N40" i="76"/>
  <c r="L40" i="76"/>
  <c r="Z45" i="76"/>
  <c r="L18" i="77"/>
  <c r="N18" i="77" s="1"/>
  <c r="L34" i="77"/>
  <c r="N34" i="77" s="1"/>
  <c r="R18" i="79"/>
  <c r="J34" i="72"/>
  <c r="J26" i="72"/>
  <c r="J39" i="72"/>
  <c r="J32" i="72"/>
  <c r="J29" i="72"/>
  <c r="J27" i="72"/>
  <c r="F14" i="72"/>
  <c r="V14" i="72"/>
  <c r="R15" i="72"/>
  <c r="J18" i="72"/>
  <c r="J22" i="72"/>
  <c r="F23" i="72"/>
  <c r="V25" i="72"/>
  <c r="D12" i="73"/>
  <c r="Z25" i="73"/>
  <c r="V53" i="73"/>
  <c r="V57" i="73"/>
  <c r="V61" i="73"/>
  <c r="V66" i="73"/>
  <c r="P12" i="75"/>
  <c r="T12" i="75"/>
  <c r="Z14" i="75"/>
  <c r="Z32" i="76"/>
  <c r="X32" i="76"/>
  <c r="R35" i="76"/>
  <c r="R104" i="77"/>
  <c r="R101" i="77"/>
  <c r="R93" i="77"/>
  <c r="R89" i="77"/>
  <c r="R85" i="77"/>
  <c r="R80" i="77"/>
  <c r="R77" i="77"/>
  <c r="R72" i="77"/>
  <c r="R69" i="77"/>
  <c r="R56" i="77"/>
  <c r="R44" i="77"/>
  <c r="R96" i="77"/>
  <c r="R60" i="77"/>
  <c r="R55" i="77"/>
  <c r="R43" i="77"/>
  <c r="R112" i="77"/>
  <c r="R106" i="77"/>
  <c r="R103" i="77"/>
  <c r="R82" i="77"/>
  <c r="R79" i="77"/>
  <c r="R74" i="77"/>
  <c r="R71" i="77"/>
  <c r="R66" i="77"/>
  <c r="R54" i="77"/>
  <c r="R42" i="77"/>
  <c r="R65" i="77"/>
  <c r="R53" i="77"/>
  <c r="R41" i="77"/>
  <c r="R105" i="77"/>
  <c r="R100" i="77"/>
  <c r="R92" i="77"/>
  <c r="R88" i="77"/>
  <c r="R84" i="77"/>
  <c r="R81" i="77"/>
  <c r="R76" i="77"/>
  <c r="R73" i="77"/>
  <c r="R68" i="77"/>
  <c r="R64" i="77"/>
  <c r="R52" i="77"/>
  <c r="R50" i="77"/>
  <c r="P48" i="77"/>
  <c r="R48" i="77" s="1"/>
  <c r="R40" i="77"/>
  <c r="R99" i="77"/>
  <c r="R95" i="77"/>
  <c r="R91" i="77"/>
  <c r="R87" i="77"/>
  <c r="R63" i="77"/>
  <c r="R59" i="77"/>
  <c r="R39" i="77"/>
  <c r="R97" i="77"/>
  <c r="R75" i="77"/>
  <c r="R98" i="77"/>
  <c r="R102" i="77"/>
  <c r="R94" i="77"/>
  <c r="R51" i="77"/>
  <c r="R108" i="77"/>
  <c r="R61" i="77"/>
  <c r="R86" i="77"/>
  <c r="R83" i="77"/>
  <c r="R70" i="77"/>
  <c r="R62" i="77"/>
  <c r="R57" i="77"/>
  <c r="R38" i="77"/>
  <c r="R67" i="77"/>
  <c r="R58" i="77"/>
  <c r="R45" i="77"/>
  <c r="R46" i="77"/>
  <c r="R34" i="79"/>
  <c r="N38" i="77"/>
  <c r="N103" i="77"/>
  <c r="Z57" i="79"/>
  <c r="N16" i="80"/>
  <c r="H32" i="80"/>
  <c r="X13" i="87"/>
  <c r="Z13" i="87" s="1"/>
  <c r="P12" i="87"/>
  <c r="V14" i="74"/>
  <c r="R15" i="74"/>
  <c r="R20" i="74"/>
  <c r="J22" i="74"/>
  <c r="R28" i="74"/>
  <c r="V30" i="74"/>
  <c r="R31" i="74"/>
  <c r="J32" i="74"/>
  <c r="V34" i="74"/>
  <c r="J38" i="74"/>
  <c r="J42" i="74"/>
  <c r="R44" i="74"/>
  <c r="J48" i="74"/>
  <c r="R51" i="74"/>
  <c r="H12" i="75"/>
  <c r="L38" i="76"/>
  <c r="N49" i="76"/>
  <c r="L75" i="76"/>
  <c r="Z14" i="77"/>
  <c r="Z25" i="77"/>
  <c r="X30" i="77"/>
  <c r="Z30" i="77" s="1"/>
  <c r="X38" i="77"/>
  <c r="L60" i="77"/>
  <c r="N60" i="77" s="1"/>
  <c r="F79" i="79"/>
  <c r="F74" i="79"/>
  <c r="F67" i="79"/>
  <c r="F66" i="79"/>
  <c r="F82" i="79"/>
  <c r="F76" i="79"/>
  <c r="F73" i="79"/>
  <c r="F65" i="79"/>
  <c r="F78" i="79"/>
  <c r="F75" i="79"/>
  <c r="F71" i="79"/>
  <c r="F62" i="79"/>
  <c r="F70" i="79"/>
  <c r="F77" i="79"/>
  <c r="F69" i="79"/>
  <c r="F64" i="79"/>
  <c r="F81" i="79"/>
  <c r="F61" i="79"/>
  <c r="F56" i="79"/>
  <c r="F44" i="79"/>
  <c r="F39" i="79"/>
  <c r="F36" i="79"/>
  <c r="F24" i="79"/>
  <c r="F60" i="79"/>
  <c r="F59" i="79"/>
  <c r="F55" i="79"/>
  <c r="F50" i="79"/>
  <c r="F47" i="79"/>
  <c r="F35" i="79"/>
  <c r="F31" i="79"/>
  <c r="F20" i="79"/>
  <c r="F58" i="79"/>
  <c r="F41" i="79"/>
  <c r="F38" i="79"/>
  <c r="F34" i="79"/>
  <c r="F30" i="79"/>
  <c r="D20" i="79"/>
  <c r="F18" i="79"/>
  <c r="F52" i="79"/>
  <c r="F49" i="79"/>
  <c r="F33" i="79"/>
  <c r="F29" i="79"/>
  <c r="F17" i="79"/>
  <c r="F86" i="79"/>
  <c r="F43" i="79"/>
  <c r="F40" i="79"/>
  <c r="F28" i="79"/>
  <c r="F23" i="79"/>
  <c r="F22" i="79"/>
  <c r="F54" i="79"/>
  <c r="F51" i="79"/>
  <c r="F46" i="79"/>
  <c r="F27" i="79"/>
  <c r="X22" i="79"/>
  <c r="Z22" i="79" s="1"/>
  <c r="F48" i="79"/>
  <c r="L18" i="81"/>
  <c r="N18" i="81" s="1"/>
  <c r="V15" i="74"/>
  <c r="J23" i="74"/>
  <c r="J27" i="74"/>
  <c r="V31" i="74"/>
  <c r="R37" i="74"/>
  <c r="V39" i="74"/>
  <c r="R40" i="74"/>
  <c r="R46" i="74"/>
  <c r="T12" i="76"/>
  <c r="T12" i="77"/>
  <c r="X14" i="77"/>
  <c r="N21" i="77"/>
  <c r="X23" i="77"/>
  <c r="Z24" i="77"/>
  <c r="X50" i="77"/>
  <c r="Z50" i="77" s="1"/>
  <c r="F54" i="77"/>
  <c r="F60" i="77"/>
  <c r="F69" i="77"/>
  <c r="Z77" i="77"/>
  <c r="L79" i="77"/>
  <c r="F85" i="77"/>
  <c r="Z89" i="77"/>
  <c r="H12" i="79"/>
  <c r="L14" i="79"/>
  <c r="Z16" i="79"/>
  <c r="X37" i="79"/>
  <c r="Z52" i="79"/>
  <c r="F68" i="79"/>
  <c r="D32" i="80"/>
  <c r="L30" i="80"/>
  <c r="L14" i="73"/>
  <c r="P17" i="74"/>
  <c r="R19" i="74"/>
  <c r="V20" i="74"/>
  <c r="R21" i="74"/>
  <c r="J24" i="74"/>
  <c r="R26" i="74"/>
  <c r="V28" i="74"/>
  <c r="R29" i="74"/>
  <c r="J30" i="74"/>
  <c r="J36" i="74"/>
  <c r="V40" i="74"/>
  <c r="V44" i="74"/>
  <c r="V46" i="74"/>
  <c r="V51" i="74"/>
  <c r="Z38" i="77"/>
  <c r="F53" i="77"/>
  <c r="N79" i="77"/>
  <c r="P12" i="78"/>
  <c r="X13" i="78"/>
  <c r="L25" i="78"/>
  <c r="F26" i="79"/>
  <c r="F42" i="79"/>
  <c r="N14" i="81"/>
  <c r="L14" i="81"/>
  <c r="R17" i="74"/>
  <c r="V21" i="74"/>
  <c r="R22" i="74"/>
  <c r="J25" i="74"/>
  <c r="V29" i="74"/>
  <c r="J33" i="74"/>
  <c r="R35" i="74"/>
  <c r="V37" i="74"/>
  <c r="R38" i="74"/>
  <c r="J39" i="74"/>
  <c r="L14" i="75"/>
  <c r="N14" i="75" s="1"/>
  <c r="F103" i="77"/>
  <c r="F100" i="77"/>
  <c r="F92" i="77"/>
  <c r="F88" i="77"/>
  <c r="F84" i="77"/>
  <c r="F79" i="77"/>
  <c r="F76" i="77"/>
  <c r="F71" i="77"/>
  <c r="F68" i="77"/>
  <c r="F64" i="77"/>
  <c r="F52" i="77"/>
  <c r="F40" i="77"/>
  <c r="F99" i="77"/>
  <c r="F95" i="77"/>
  <c r="F91" i="77"/>
  <c r="F87" i="77"/>
  <c r="F63" i="77"/>
  <c r="F59" i="77"/>
  <c r="F48" i="77"/>
  <c r="F39" i="77"/>
  <c r="F105" i="77"/>
  <c r="F102" i="77"/>
  <c r="F98" i="77"/>
  <c r="F94" i="77"/>
  <c r="F90" i="77"/>
  <c r="F86" i="77"/>
  <c r="F81" i="77"/>
  <c r="F78" i="77"/>
  <c r="F73" i="77"/>
  <c r="F70" i="77"/>
  <c r="F62" i="77"/>
  <c r="F58" i="77"/>
  <c r="D48" i="77"/>
  <c r="F46" i="77"/>
  <c r="F97" i="77"/>
  <c r="F61" i="77"/>
  <c r="F57" i="77"/>
  <c r="F45" i="77"/>
  <c r="F104" i="77"/>
  <c r="F83" i="77"/>
  <c r="F80" i="77"/>
  <c r="F75" i="77"/>
  <c r="F72" i="77"/>
  <c r="F67" i="77"/>
  <c r="F56" i="77"/>
  <c r="F51" i="77"/>
  <c r="F50" i="77"/>
  <c r="F44" i="77"/>
  <c r="F108" i="77"/>
  <c r="F55" i="77"/>
  <c r="F43" i="77"/>
  <c r="F38" i="77"/>
  <c r="Z22" i="77"/>
  <c r="Z33" i="77"/>
  <c r="F93" i="77"/>
  <c r="F101" i="77"/>
  <c r="F106" i="77"/>
  <c r="Z108" i="77"/>
  <c r="X108" i="77"/>
  <c r="F53" i="79"/>
  <c r="X14" i="81"/>
  <c r="P16" i="81"/>
  <c r="T17" i="74"/>
  <c r="J20" i="74"/>
  <c r="V22" i="74"/>
  <c r="R23" i="74"/>
  <c r="V26" i="74"/>
  <c r="R27" i="74"/>
  <c r="J28" i="74"/>
  <c r="R32" i="74"/>
  <c r="J34" i="74"/>
  <c r="X37" i="74"/>
  <c r="Z37" i="74" s="1"/>
  <c r="V38" i="74"/>
  <c r="L39" i="74"/>
  <c r="N39" i="74" s="1"/>
  <c r="R42" i="74"/>
  <c r="J44" i="74"/>
  <c r="R48" i="74"/>
  <c r="J51" i="74"/>
  <c r="X27" i="75"/>
  <c r="Z47" i="76"/>
  <c r="Z61" i="76"/>
  <c r="Z17" i="77"/>
  <c r="X22" i="77"/>
  <c r="L26" i="77"/>
  <c r="N26" i="77" s="1"/>
  <c r="Z32" i="77"/>
  <c r="Z60" i="77"/>
  <c r="Z69" i="77"/>
  <c r="Z85" i="77"/>
  <c r="F96" i="77"/>
  <c r="T12" i="78"/>
  <c r="N16" i="78"/>
  <c r="L22" i="79"/>
  <c r="N22" i="79" s="1"/>
  <c r="X54" i="79"/>
  <c r="Z54" i="79" s="1"/>
  <c r="F57" i="79"/>
  <c r="X12" i="74"/>
  <c r="J15" i="74"/>
  <c r="V17" i="74"/>
  <c r="J19" i="74"/>
  <c r="V19" i="74"/>
  <c r="V23" i="74"/>
  <c r="R24" i="74"/>
  <c r="V27" i="74"/>
  <c r="J31" i="74"/>
  <c r="X49" i="76"/>
  <c r="Z49" i="76" s="1"/>
  <c r="L68" i="76"/>
  <c r="N68" i="76" s="1"/>
  <c r="X15" i="77"/>
  <c r="Z15" i="77" s="1"/>
  <c r="Z16" i="77"/>
  <c r="N19" i="77"/>
  <c r="Z31" i="77"/>
  <c r="L50" i="77"/>
  <c r="N50" i="77" s="1"/>
  <c r="F66" i="77"/>
  <c r="N71" i="77"/>
  <c r="X93" i="77"/>
  <c r="Z93" i="77" s="1"/>
  <c r="N96" i="77"/>
  <c r="L96" i="77"/>
  <c r="X101" i="77"/>
  <c r="Z101" i="77" s="1"/>
  <c r="L22" i="78"/>
  <c r="F23" i="78"/>
  <c r="L16" i="79"/>
  <c r="L32" i="79"/>
  <c r="F45" i="79"/>
  <c r="F63" i="79"/>
  <c r="X58" i="81"/>
  <c r="Z58" i="81" s="1"/>
  <c r="H12" i="77"/>
  <c r="L12" i="77" s="1"/>
  <c r="F17" i="78"/>
  <c r="T12" i="79"/>
  <c r="N14" i="80"/>
  <c r="L14" i="80"/>
  <c r="P16" i="80"/>
  <c r="F35" i="82"/>
  <c r="F29" i="82"/>
  <c r="F23" i="82"/>
  <c r="F20" i="82"/>
  <c r="F26" i="82"/>
  <c r="F16" i="82"/>
  <c r="F40" i="82"/>
  <c r="F33" i="82"/>
  <c r="F22" i="82"/>
  <c r="D16" i="82"/>
  <c r="F28" i="82"/>
  <c r="F25" i="82"/>
  <c r="F24" i="82"/>
  <c r="F19" i="82"/>
  <c r="F18" i="82"/>
  <c r="L12" i="82"/>
  <c r="F27" i="82"/>
  <c r="F31" i="82"/>
  <c r="F37" i="82"/>
  <c r="F14" i="82"/>
  <c r="F18" i="78"/>
  <c r="D20" i="78"/>
  <c r="F26" i="78"/>
  <c r="F32" i="78"/>
  <c r="Z18" i="80"/>
  <c r="H12" i="78"/>
  <c r="L12" i="78" s="1"/>
  <c r="F28" i="78"/>
  <c r="Z64" i="79"/>
  <c r="X76" i="79"/>
  <c r="L78" i="79"/>
  <c r="X30" i="80"/>
  <c r="X28" i="81"/>
  <c r="F24" i="78"/>
  <c r="N74" i="79"/>
  <c r="L74" i="79"/>
  <c r="N78" i="79"/>
  <c r="L82" i="79"/>
  <c r="Z28" i="81"/>
  <c r="L34" i="81"/>
  <c r="N34" i="81" s="1"/>
  <c r="X36" i="81"/>
  <c r="Z36" i="81" s="1"/>
  <c r="L54" i="81"/>
  <c r="N54" i="81" s="1"/>
  <c r="F16" i="78"/>
  <c r="X82" i="79"/>
  <c r="H71" i="81"/>
  <c r="N73" i="81"/>
  <c r="Z74" i="79"/>
  <c r="Z78" i="79"/>
  <c r="Z82" i="79"/>
  <c r="T81" i="79"/>
  <c r="Z81" i="79" s="1"/>
  <c r="N18" i="80"/>
  <c r="H81" i="79"/>
  <c r="N81" i="79" s="1"/>
  <c r="N12" i="80"/>
  <c r="J14" i="80"/>
  <c r="R16" i="80"/>
  <c r="V20" i="80"/>
  <c r="J24" i="80"/>
  <c r="V28" i="80"/>
  <c r="F32" i="80"/>
  <c r="V32" i="80"/>
  <c r="V34" i="80"/>
  <c r="F39" i="80"/>
  <c r="V39" i="80"/>
  <c r="N12" i="81"/>
  <c r="J14" i="81"/>
  <c r="R16" i="81"/>
  <c r="R21" i="81"/>
  <c r="J24" i="81"/>
  <c r="F29" i="81"/>
  <c r="V32" i="81"/>
  <c r="R33" i="81"/>
  <c r="J34" i="81"/>
  <c r="F37" i="81"/>
  <c r="J40" i="81"/>
  <c r="V44" i="81"/>
  <c r="J48" i="81"/>
  <c r="J52" i="81"/>
  <c r="F53" i="81"/>
  <c r="V55" i="81"/>
  <c r="V56" i="81"/>
  <c r="V57" i="81"/>
  <c r="L72" i="81"/>
  <c r="N72" i="81" s="1"/>
  <c r="D71" i="81"/>
  <c r="J73" i="81"/>
  <c r="J29" i="82"/>
  <c r="X25" i="83"/>
  <c r="Z25" i="83" s="1"/>
  <c r="J19" i="80"/>
  <c r="F22" i="80"/>
  <c r="R23" i="80"/>
  <c r="F25" i="80"/>
  <c r="V25" i="80"/>
  <c r="R26" i="80"/>
  <c r="J27" i="80"/>
  <c r="R65" i="81"/>
  <c r="R68" i="81"/>
  <c r="R79" i="81"/>
  <c r="R73" i="81"/>
  <c r="R61" i="81"/>
  <c r="R71" i="81"/>
  <c r="R64" i="81"/>
  <c r="R77" i="81"/>
  <c r="R67" i="81"/>
  <c r="R60" i="81"/>
  <c r="D75" i="81"/>
  <c r="J19" i="81"/>
  <c r="V21" i="81"/>
  <c r="R22" i="81"/>
  <c r="J25" i="81"/>
  <c r="F26" i="81"/>
  <c r="J29" i="81"/>
  <c r="F30" i="81"/>
  <c r="V33" i="81"/>
  <c r="J37" i="81"/>
  <c r="F38" i="81"/>
  <c r="R39" i="81"/>
  <c r="F41" i="81"/>
  <c r="V41" i="81"/>
  <c r="R42" i="81"/>
  <c r="J43" i="81"/>
  <c r="F46" i="81"/>
  <c r="R47" i="81"/>
  <c r="F49" i="81"/>
  <c r="V49" i="81"/>
  <c r="R50" i="81"/>
  <c r="J53" i="81"/>
  <c r="J60" i="81"/>
  <c r="F61" i="81"/>
  <c r="F62" i="81"/>
  <c r="J64" i="81"/>
  <c r="X65" i="81"/>
  <c r="F68" i="81"/>
  <c r="X19" i="82"/>
  <c r="Z19" i="82" s="1"/>
  <c r="N23" i="82"/>
  <c r="T38" i="83"/>
  <c r="F16" i="80"/>
  <c r="V16" i="80"/>
  <c r="J18" i="80"/>
  <c r="V18" i="80"/>
  <c r="J22" i="80"/>
  <c r="V26" i="80"/>
  <c r="R30" i="80"/>
  <c r="J32" i="80"/>
  <c r="R36" i="80"/>
  <c r="J39" i="80"/>
  <c r="V79" i="81"/>
  <c r="V73" i="81"/>
  <c r="V62" i="81"/>
  <c r="V71" i="81"/>
  <c r="V64" i="81"/>
  <c r="V60" i="81"/>
  <c r="V82" i="81"/>
  <c r="V77" i="81"/>
  <c r="V75" i="81"/>
  <c r="V67" i="81"/>
  <c r="V63" i="81"/>
  <c r="V72" i="81"/>
  <c r="V66" i="81"/>
  <c r="F16" i="81"/>
  <c r="V16" i="81"/>
  <c r="J18" i="81"/>
  <c r="V18" i="81"/>
  <c r="V22" i="81"/>
  <c r="R23" i="81"/>
  <c r="J26" i="81"/>
  <c r="F27" i="81"/>
  <c r="R28" i="81"/>
  <c r="J30" i="81"/>
  <c r="F31" i="81"/>
  <c r="F35" i="81"/>
  <c r="R36" i="81"/>
  <c r="J38" i="81"/>
  <c r="V42" i="81"/>
  <c r="J46" i="81"/>
  <c r="V50" i="81"/>
  <c r="R51" i="81"/>
  <c r="R58" i="81"/>
  <c r="R59" i="81"/>
  <c r="J61" i="81"/>
  <c r="J63" i="81"/>
  <c r="Z65" i="81"/>
  <c r="N68" i="81"/>
  <c r="R69" i="81"/>
  <c r="X72" i="81"/>
  <c r="N18" i="82"/>
  <c r="L21" i="82"/>
  <c r="H38" i="83"/>
  <c r="X18" i="83"/>
  <c r="Z18" i="83" s="1"/>
  <c r="P81" i="79"/>
  <c r="X81" i="79" s="1"/>
  <c r="R14" i="80"/>
  <c r="J16" i="80"/>
  <c r="J20" i="80"/>
  <c r="V24" i="80"/>
  <c r="J28" i="80"/>
  <c r="F30" i="80"/>
  <c r="V30" i="80"/>
  <c r="J34" i="80"/>
  <c r="F36" i="80"/>
  <c r="V36" i="80"/>
  <c r="J20" i="81"/>
  <c r="R25" i="81"/>
  <c r="R29" i="81"/>
  <c r="J32" i="81"/>
  <c r="R34" i="81"/>
  <c r="R37" i="81"/>
  <c r="V40" i="81"/>
  <c r="J44" i="81"/>
  <c r="V48" i="81"/>
  <c r="V52" i="81"/>
  <c r="R53" i="81"/>
  <c r="J54" i="81"/>
  <c r="J56" i="81"/>
  <c r="J57" i="81"/>
  <c r="V58" i="81"/>
  <c r="R62" i="81"/>
  <c r="Z72" i="81"/>
  <c r="T71" i="81"/>
  <c r="J79" i="81"/>
  <c r="J26" i="82"/>
  <c r="J20" i="82"/>
  <c r="J16" i="82"/>
  <c r="J40" i="82"/>
  <c r="J33" i="82"/>
  <c r="H16" i="82"/>
  <c r="J28" i="82"/>
  <c r="J22" i="82"/>
  <c r="J18" i="82"/>
  <c r="J25" i="82"/>
  <c r="J19" i="82"/>
  <c r="J24" i="82"/>
  <c r="J14" i="82"/>
  <c r="N12" i="82"/>
  <c r="J37" i="82"/>
  <c r="J31" i="82"/>
  <c r="J27" i="82"/>
  <c r="J21" i="82"/>
  <c r="R19" i="80"/>
  <c r="F21" i="80"/>
  <c r="V21" i="80"/>
  <c r="R22" i="80"/>
  <c r="J23" i="80"/>
  <c r="R27" i="80"/>
  <c r="F79" i="81"/>
  <c r="F73" i="81"/>
  <c r="F64" i="81"/>
  <c r="F77" i="81"/>
  <c r="F67" i="81"/>
  <c r="F71" i="81"/>
  <c r="F66" i="81"/>
  <c r="F69" i="81"/>
  <c r="F60" i="81"/>
  <c r="F82" i="81"/>
  <c r="F75" i="81"/>
  <c r="F63" i="81"/>
  <c r="F56" i="81"/>
  <c r="F72" i="81"/>
  <c r="F59" i="81"/>
  <c r="F55" i="81"/>
  <c r="L16" i="81"/>
  <c r="R19" i="81"/>
  <c r="J21" i="81"/>
  <c r="F22" i="81"/>
  <c r="V25" i="81"/>
  <c r="R26" i="81"/>
  <c r="V29" i="81"/>
  <c r="R30" i="81"/>
  <c r="J33" i="81"/>
  <c r="V37" i="81"/>
  <c r="R38" i="81"/>
  <c r="J39" i="81"/>
  <c r="F42" i="81"/>
  <c r="R43" i="81"/>
  <c r="F45" i="81"/>
  <c r="V45" i="81"/>
  <c r="R46" i="81"/>
  <c r="F50" i="81"/>
  <c r="V53" i="81"/>
  <c r="F58" i="81"/>
  <c r="V61" i="81"/>
  <c r="V68" i="81"/>
  <c r="Z18" i="82"/>
  <c r="L18" i="83"/>
  <c r="N18" i="83" s="1"/>
  <c r="T69" i="86"/>
  <c r="J26" i="80"/>
  <c r="J30" i="80"/>
  <c r="R32" i="80"/>
  <c r="J77" i="81"/>
  <c r="J71" i="81"/>
  <c r="J67" i="81"/>
  <c r="J66" i="81"/>
  <c r="J82" i="81"/>
  <c r="J75" i="81"/>
  <c r="J69" i="81"/>
  <c r="J72" i="81"/>
  <c r="J65" i="81"/>
  <c r="J59" i="81"/>
  <c r="J55" i="81"/>
  <c r="J68" i="81"/>
  <c r="J62" i="81"/>
  <c r="J22" i="81"/>
  <c r="F23" i="81"/>
  <c r="V26" i="81"/>
  <c r="R27" i="81"/>
  <c r="J28" i="81"/>
  <c r="V30" i="81"/>
  <c r="R31" i="81"/>
  <c r="F34" i="81"/>
  <c r="V34" i="81"/>
  <c r="R35" i="81"/>
  <c r="J36" i="81"/>
  <c r="V38" i="81"/>
  <c r="J42" i="81"/>
  <c r="V46" i="81"/>
  <c r="J50" i="81"/>
  <c r="F51" i="81"/>
  <c r="N58" i="81"/>
  <c r="R63" i="81"/>
  <c r="F65" i="81"/>
  <c r="L73" i="81"/>
  <c r="R75" i="81"/>
  <c r="Z21" i="82"/>
  <c r="F32" i="83"/>
  <c r="F27" i="83"/>
  <c r="F24" i="83"/>
  <c r="F42" i="83"/>
  <c r="F36" i="83"/>
  <c r="F40" i="83"/>
  <c r="F34" i="83"/>
  <c r="F33" i="83"/>
  <c r="F30" i="83"/>
  <c r="F25" i="83"/>
  <c r="F22" i="83"/>
  <c r="F41" i="84"/>
  <c r="F35" i="84"/>
  <c r="F30" i="84"/>
  <c r="F25" i="84"/>
  <c r="F22" i="84"/>
  <c r="F39" i="84"/>
  <c r="F33" i="84"/>
  <c r="F18" i="84"/>
  <c r="F32" i="84"/>
  <c r="F27" i="84"/>
  <c r="F24" i="84"/>
  <c r="D18" i="84"/>
  <c r="F16" i="84"/>
  <c r="F31" i="84"/>
  <c r="F28" i="84"/>
  <c r="F23" i="84"/>
  <c r="F15" i="84"/>
  <c r="L12" i="84"/>
  <c r="F29" i="84"/>
  <c r="L14" i="85"/>
  <c r="D12" i="85"/>
  <c r="Z68" i="85"/>
  <c r="Z75" i="85"/>
  <c r="Z83" i="85"/>
  <c r="T82" i="85"/>
  <c r="Z82" i="85" s="1"/>
  <c r="V29" i="88"/>
  <c r="V23" i="88"/>
  <c r="V19" i="88"/>
  <c r="V22" i="88"/>
  <c r="V14" i="88"/>
  <c r="V25" i="88"/>
  <c r="V36" i="88"/>
  <c r="V30" i="88"/>
  <c r="V24" i="88"/>
  <c r="Z12" i="88"/>
  <c r="V21" i="88"/>
  <c r="T16" i="88"/>
  <c r="V39" i="88"/>
  <c r="V34" i="88"/>
  <c r="V32" i="88"/>
  <c r="V20" i="88"/>
  <c r="V27" i="88"/>
  <c r="V18" i="88"/>
  <c r="V16" i="88"/>
  <c r="P71" i="81"/>
  <c r="X71" i="81" s="1"/>
  <c r="P16" i="82"/>
  <c r="R18" i="82"/>
  <c r="V19" i="82"/>
  <c r="R20" i="82"/>
  <c r="R33" i="82"/>
  <c r="R40" i="82"/>
  <c r="J29" i="83"/>
  <c r="J23" i="83"/>
  <c r="J40" i="83"/>
  <c r="J34" i="83"/>
  <c r="J31" i="83"/>
  <c r="J45" i="83"/>
  <c r="J38" i="83"/>
  <c r="J28" i="83"/>
  <c r="J27" i="83"/>
  <c r="J42" i="83"/>
  <c r="J36" i="83"/>
  <c r="J32" i="83"/>
  <c r="F14" i="83"/>
  <c r="V14" i="83"/>
  <c r="N16" i="83"/>
  <c r="J22" i="83"/>
  <c r="F23" i="83"/>
  <c r="J24" i="83"/>
  <c r="X27" i="83"/>
  <c r="Z27" i="83" s="1"/>
  <c r="J30" i="83"/>
  <c r="V40" i="83"/>
  <c r="Z20" i="84"/>
  <c r="F44" i="84"/>
  <c r="N14" i="85"/>
  <c r="Z16" i="85"/>
  <c r="N33" i="85"/>
  <c r="V68" i="85"/>
  <c r="L19" i="86"/>
  <c r="Z29" i="86"/>
  <c r="V59" i="86"/>
  <c r="F22" i="87"/>
  <c r="F21" i="87"/>
  <c r="F31" i="87"/>
  <c r="F25" i="87"/>
  <c r="F17" i="87"/>
  <c r="F20" i="87"/>
  <c r="F19" i="87"/>
  <c r="F34" i="87"/>
  <c r="F27" i="87"/>
  <c r="F15" i="87"/>
  <c r="D17" i="87"/>
  <c r="T27" i="87"/>
  <c r="V27" i="87" s="1"/>
  <c r="F23" i="87"/>
  <c r="X12" i="88"/>
  <c r="R16" i="82"/>
  <c r="V20" i="82"/>
  <c r="R26" i="82"/>
  <c r="V28" i="82"/>
  <c r="R29" i="82"/>
  <c r="R35" i="82"/>
  <c r="L12" i="83"/>
  <c r="P16" i="83"/>
  <c r="F18" i="83"/>
  <c r="R18" i="83"/>
  <c r="F19" i="83"/>
  <c r="V19" i="83"/>
  <c r="R20" i="83"/>
  <c r="Z31" i="83"/>
  <c r="L33" i="83"/>
  <c r="Z25" i="84"/>
  <c r="X29" i="84"/>
  <c r="R33" i="84"/>
  <c r="R39" i="84"/>
  <c r="V16" i="85"/>
  <c r="X33" i="85"/>
  <c r="Z41" i="85"/>
  <c r="N43" i="85"/>
  <c r="X52" i="85"/>
  <c r="Z52" i="85" s="1"/>
  <c r="Z61" i="85"/>
  <c r="V38" i="86"/>
  <c r="L50" i="86"/>
  <c r="V58" i="86"/>
  <c r="R34" i="90"/>
  <c r="R31" i="90"/>
  <c r="R26" i="90"/>
  <c r="R15" i="90"/>
  <c r="R42" i="90"/>
  <c r="R37" i="90"/>
  <c r="R25" i="90"/>
  <c r="R36" i="90"/>
  <c r="R33" i="90"/>
  <c r="R28" i="90"/>
  <c r="R24" i="90"/>
  <c r="R39" i="90"/>
  <c r="R23" i="90"/>
  <c r="R32" i="90"/>
  <c r="R29" i="90"/>
  <c r="R21" i="90"/>
  <c r="R16" i="90"/>
  <c r="R49" i="90"/>
  <c r="R43" i="90"/>
  <c r="R40" i="90"/>
  <c r="R41" i="90"/>
  <c r="R27" i="90"/>
  <c r="R20" i="90"/>
  <c r="R38" i="90"/>
  <c r="R45" i="90"/>
  <c r="R30" i="90"/>
  <c r="P18" i="90"/>
  <c r="T16" i="82"/>
  <c r="R23" i="82"/>
  <c r="V29" i="82"/>
  <c r="V33" i="82"/>
  <c r="V35" i="82"/>
  <c r="V40" i="82"/>
  <c r="Z14" i="83"/>
  <c r="R16" i="83"/>
  <c r="V20" i="83"/>
  <c r="J25" i="83"/>
  <c r="F26" i="83"/>
  <c r="F28" i="83"/>
  <c r="F29" i="83"/>
  <c r="V31" i="83"/>
  <c r="F38" i="83"/>
  <c r="P37" i="84"/>
  <c r="Z29" i="84"/>
  <c r="N13" i="85"/>
  <c r="H12" i="85"/>
  <c r="N19" i="86"/>
  <c r="V22" i="86"/>
  <c r="N41" i="86"/>
  <c r="L41" i="86"/>
  <c r="N67" i="86"/>
  <c r="H66" i="86"/>
  <c r="L67" i="86"/>
  <c r="V16" i="82"/>
  <c r="V18" i="82"/>
  <c r="V26" i="82"/>
  <c r="R27" i="82"/>
  <c r="R33" i="83"/>
  <c r="R28" i="83"/>
  <c r="R25" i="83"/>
  <c r="R30" i="83"/>
  <c r="R42" i="83"/>
  <c r="R36" i="83"/>
  <c r="R40" i="83"/>
  <c r="R34" i="83"/>
  <c r="R31" i="83"/>
  <c r="R26" i="83"/>
  <c r="R45" i="83"/>
  <c r="R38" i="83"/>
  <c r="D16" i="83"/>
  <c r="V21" i="83"/>
  <c r="R22" i="83"/>
  <c r="R23" i="83"/>
  <c r="R24" i="83"/>
  <c r="J26" i="83"/>
  <c r="J33" i="83"/>
  <c r="F21" i="84"/>
  <c r="F26" i="84"/>
  <c r="N31" i="84"/>
  <c r="Z33" i="85"/>
  <c r="Z43" i="85"/>
  <c r="V52" i="85"/>
  <c r="L83" i="85"/>
  <c r="D82" i="85"/>
  <c r="V73" i="86"/>
  <c r="V67" i="86"/>
  <c r="V64" i="86"/>
  <c r="V76" i="86"/>
  <c r="V71" i="86"/>
  <c r="V69" i="86"/>
  <c r="V66" i="86"/>
  <c r="V63" i="86"/>
  <c r="V55" i="86"/>
  <c r="V43" i="86"/>
  <c r="V35" i="86"/>
  <c r="V31" i="86"/>
  <c r="V27" i="86"/>
  <c r="V15" i="86"/>
  <c r="V54" i="86"/>
  <c r="V46" i="86"/>
  <c r="V34" i="86"/>
  <c r="V30" i="86"/>
  <c r="V26" i="86"/>
  <c r="V14" i="86"/>
  <c r="V49" i="86"/>
  <c r="V45" i="86"/>
  <c r="V37" i="86"/>
  <c r="V29" i="86"/>
  <c r="V25" i="86"/>
  <c r="V60" i="86"/>
  <c r="V48" i="86"/>
  <c r="V40" i="86"/>
  <c r="V36" i="86"/>
  <c r="V24" i="86"/>
  <c r="Z12" i="86"/>
  <c r="V61" i="86"/>
  <c r="V57" i="86"/>
  <c r="V53" i="86"/>
  <c r="V41" i="86"/>
  <c r="V33" i="86"/>
  <c r="V21" i="86"/>
  <c r="V56" i="86"/>
  <c r="V52" i="86"/>
  <c r="V44" i="86"/>
  <c r="V32" i="86"/>
  <c r="V28" i="86"/>
  <c r="V20" i="86"/>
  <c r="Z14" i="86"/>
  <c r="X36" i="86"/>
  <c r="V42" i="86"/>
  <c r="X47" i="86"/>
  <c r="Z47" i="86" s="1"/>
  <c r="N61" i="86"/>
  <c r="L61" i="86"/>
  <c r="F29" i="87"/>
  <c r="V26" i="88"/>
  <c r="Z30" i="88"/>
  <c r="T29" i="88"/>
  <c r="Z29" i="88" s="1"/>
  <c r="N16" i="89"/>
  <c r="H30" i="89"/>
  <c r="R55" i="91"/>
  <c r="R48" i="91"/>
  <c r="R35" i="91"/>
  <c r="R32" i="91"/>
  <c r="R27" i="91"/>
  <c r="R43" i="91"/>
  <c r="R38" i="91"/>
  <c r="R26" i="91"/>
  <c r="R19" i="91"/>
  <c r="R37" i="91"/>
  <c r="R34" i="91"/>
  <c r="R29" i="91"/>
  <c r="R25" i="91"/>
  <c r="R14" i="91"/>
  <c r="R40" i="91"/>
  <c r="R24" i="91"/>
  <c r="R33" i="91"/>
  <c r="R30" i="91"/>
  <c r="R21" i="91"/>
  <c r="R16" i="91"/>
  <c r="R50" i="91"/>
  <c r="R44" i="91"/>
  <c r="R41" i="91"/>
  <c r="R52" i="91"/>
  <c r="R42" i="91"/>
  <c r="R22" i="91"/>
  <c r="R39" i="91"/>
  <c r="R31" i="91"/>
  <c r="R23" i="91"/>
  <c r="R18" i="91"/>
  <c r="R28" i="91"/>
  <c r="R20" i="91"/>
  <c r="X12" i="91"/>
  <c r="R36" i="91"/>
  <c r="R46" i="91"/>
  <c r="P16" i="91"/>
  <c r="X12" i="82"/>
  <c r="R21" i="82"/>
  <c r="V23" i="82"/>
  <c r="R24" i="82"/>
  <c r="V27" i="82"/>
  <c r="R31" i="82"/>
  <c r="R37" i="82"/>
  <c r="V27" i="83"/>
  <c r="V42" i="83"/>
  <c r="V36" i="83"/>
  <c r="V30" i="83"/>
  <c r="V29" i="83"/>
  <c r="V32" i="83"/>
  <c r="V33" i="83"/>
  <c r="V25" i="83"/>
  <c r="F16" i="83"/>
  <c r="V16" i="83"/>
  <c r="V18" i="83"/>
  <c r="V22" i="83"/>
  <c r="V23" i="83"/>
  <c r="V24" i="83"/>
  <c r="V38" i="83"/>
  <c r="F20" i="84"/>
  <c r="Z39" i="85"/>
  <c r="N54" i="85"/>
  <c r="Z77" i="85"/>
  <c r="N79" i="85"/>
  <c r="X12" i="86"/>
  <c r="L17" i="86"/>
  <c r="D69" i="86"/>
  <c r="X19" i="86"/>
  <c r="Z19" i="86" s="1"/>
  <c r="L38" i="86"/>
  <c r="N38" i="86" s="1"/>
  <c r="Z43" i="86"/>
  <c r="V47" i="86"/>
  <c r="V51" i="86"/>
  <c r="V62" i="86"/>
  <c r="V38" i="91"/>
  <c r="V34" i="91"/>
  <c r="V26" i="91"/>
  <c r="V37" i="91"/>
  <c r="V29" i="91"/>
  <c r="V25" i="91"/>
  <c r="V52" i="91"/>
  <c r="V46" i="91"/>
  <c r="V40" i="91"/>
  <c r="V36" i="91"/>
  <c r="V28" i="91"/>
  <c r="V24" i="91"/>
  <c r="Z12" i="91"/>
  <c r="V39" i="91"/>
  <c r="V31" i="91"/>
  <c r="V23" i="91"/>
  <c r="V55" i="91"/>
  <c r="V50" i="91"/>
  <c r="V48" i="91"/>
  <c r="V44" i="91"/>
  <c r="V32" i="91"/>
  <c r="V20" i="91"/>
  <c r="V43" i="91"/>
  <c r="V35" i="91"/>
  <c r="V27" i="91"/>
  <c r="V42" i="91"/>
  <c r="V22" i="91"/>
  <c r="V18" i="91"/>
  <c r="V16" i="91"/>
  <c r="V14" i="91"/>
  <c r="T16" i="91"/>
  <c r="V30" i="91"/>
  <c r="V19" i="91"/>
  <c r="V41" i="91"/>
  <c r="V33" i="91"/>
  <c r="H52" i="91"/>
  <c r="Z12" i="82"/>
  <c r="R14" i="82"/>
  <c r="X12" i="83"/>
  <c r="F20" i="83"/>
  <c r="V28" i="83"/>
  <c r="R29" i="83"/>
  <c r="F45" i="83"/>
  <c r="R31" i="84"/>
  <c r="R26" i="84"/>
  <c r="R23" i="84"/>
  <c r="R15" i="84"/>
  <c r="R41" i="84"/>
  <c r="R35" i="84"/>
  <c r="R28" i="84"/>
  <c r="R25" i="84"/>
  <c r="R18" i="84"/>
  <c r="R44" i="84"/>
  <c r="R37" i="84"/>
  <c r="R32" i="84"/>
  <c r="R29" i="84"/>
  <c r="R24" i="84"/>
  <c r="R21" i="84"/>
  <c r="R16" i="84"/>
  <c r="L15" i="84"/>
  <c r="N20" i="84"/>
  <c r="X21" i="84"/>
  <c r="Z21" i="84" s="1"/>
  <c r="R27" i="84"/>
  <c r="F37" i="84"/>
  <c r="X83" i="85"/>
  <c r="L29" i="83"/>
  <c r="N29" i="83" s="1"/>
  <c r="J18" i="84"/>
  <c r="J22" i="84"/>
  <c r="X25" i="84"/>
  <c r="J30" i="84"/>
  <c r="T20" i="85"/>
  <c r="V20" i="85" s="1"/>
  <c r="V25" i="85"/>
  <c r="V37" i="85"/>
  <c r="V45" i="85"/>
  <c r="X48" i="85"/>
  <c r="Z48" i="85" s="1"/>
  <c r="V49" i="85"/>
  <c r="L50" i="85"/>
  <c r="N50" i="85" s="1"/>
  <c r="X56" i="85"/>
  <c r="Z56" i="85" s="1"/>
  <c r="V57" i="85"/>
  <c r="L58" i="85"/>
  <c r="N58" i="85" s="1"/>
  <c r="V65" i="85"/>
  <c r="V73" i="85"/>
  <c r="H82" i="85"/>
  <c r="N82" i="85" s="1"/>
  <c r="V87" i="85"/>
  <c r="N12" i="86"/>
  <c r="J14" i="86"/>
  <c r="P17" i="86"/>
  <c r="F19" i="86"/>
  <c r="R19" i="86"/>
  <c r="F20" i="86"/>
  <c r="R21" i="86"/>
  <c r="J24" i="86"/>
  <c r="F25" i="86"/>
  <c r="R33" i="86"/>
  <c r="J34" i="86"/>
  <c r="F37" i="86"/>
  <c r="R38" i="86"/>
  <c r="J40" i="86"/>
  <c r="J48" i="86"/>
  <c r="F49" i="86"/>
  <c r="R50" i="86"/>
  <c r="F52" i="86"/>
  <c r="R53" i="86"/>
  <c r="J54" i="86"/>
  <c r="R57" i="86"/>
  <c r="J60" i="86"/>
  <c r="X67" i="86"/>
  <c r="Z67" i="86" s="1"/>
  <c r="X19" i="87"/>
  <c r="Z19" i="87" s="1"/>
  <c r="Z22" i="87"/>
  <c r="X22" i="87"/>
  <c r="X12" i="89"/>
  <c r="V26" i="89"/>
  <c r="Z27" i="90"/>
  <c r="Z34" i="92"/>
  <c r="J25" i="84"/>
  <c r="J35" i="84"/>
  <c r="J41" i="84"/>
  <c r="V22" i="85"/>
  <c r="V26" i="85"/>
  <c r="V38" i="85"/>
  <c r="V46" i="85"/>
  <c r="V54" i="85"/>
  <c r="V74" i="85"/>
  <c r="R76" i="86"/>
  <c r="R69" i="86"/>
  <c r="R17" i="86"/>
  <c r="R22" i="86"/>
  <c r="J25" i="86"/>
  <c r="J37" i="86"/>
  <c r="F41" i="86"/>
  <c r="R42" i="86"/>
  <c r="J43" i="86"/>
  <c r="F46" i="86"/>
  <c r="R47" i="86"/>
  <c r="J49" i="86"/>
  <c r="R58" i="86"/>
  <c r="F61" i="86"/>
  <c r="R62" i="86"/>
  <c r="J63" i="86"/>
  <c r="H12" i="87"/>
  <c r="L12" i="87" s="1"/>
  <c r="L13" i="87"/>
  <c r="N13" i="87" s="1"/>
  <c r="N18" i="88"/>
  <c r="Z26" i="88"/>
  <c r="X30" i="88"/>
  <c r="T12" i="84"/>
  <c r="X12" i="84" s="1"/>
  <c r="J26" i="84"/>
  <c r="P12" i="85"/>
  <c r="V17" i="85"/>
  <c r="V29" i="85"/>
  <c r="V33" i="85"/>
  <c r="V41" i="85"/>
  <c r="V53" i="85"/>
  <c r="V61" i="85"/>
  <c r="V69" i="85"/>
  <c r="V77" i="85"/>
  <c r="P82" i="85"/>
  <c r="X82" i="85" s="1"/>
  <c r="V83" i="85"/>
  <c r="R14" i="86"/>
  <c r="H17" i="86"/>
  <c r="F21" i="86"/>
  <c r="R25" i="86"/>
  <c r="J28" i="86"/>
  <c r="J32" i="86"/>
  <c r="F33" i="86"/>
  <c r="R34" i="86"/>
  <c r="F36" i="86"/>
  <c r="R37" i="86"/>
  <c r="J38" i="86"/>
  <c r="J44" i="86"/>
  <c r="R49" i="86"/>
  <c r="J50" i="86"/>
  <c r="F53" i="86"/>
  <c r="R54" i="86"/>
  <c r="J56" i="86"/>
  <c r="X63" i="86"/>
  <c r="J76" i="86"/>
  <c r="L19" i="87"/>
  <c r="N19" i="87" s="1"/>
  <c r="V16" i="89"/>
  <c r="X23" i="89"/>
  <c r="L15" i="90"/>
  <c r="N20" i="90"/>
  <c r="X38" i="90"/>
  <c r="J21" i="84"/>
  <c r="J29" i="84"/>
  <c r="J37" i="84"/>
  <c r="J44" i="84"/>
  <c r="V18" i="85"/>
  <c r="V30" i="85"/>
  <c r="V34" i="85"/>
  <c r="V42" i="85"/>
  <c r="V50" i="85"/>
  <c r="V58" i="85"/>
  <c r="V62" i="85"/>
  <c r="V66" i="85"/>
  <c r="V70" i="85"/>
  <c r="V78" i="85"/>
  <c r="F73" i="86"/>
  <c r="F67" i="86"/>
  <c r="F71" i="86"/>
  <c r="F76" i="86"/>
  <c r="F69" i="86"/>
  <c r="J17" i="86"/>
  <c r="J21" i="86"/>
  <c r="F22" i="86"/>
  <c r="R26" i="86"/>
  <c r="F29" i="86"/>
  <c r="R30" i="86"/>
  <c r="J33" i="86"/>
  <c r="F42" i="86"/>
  <c r="R43" i="86"/>
  <c r="F45" i="86"/>
  <c r="R46" i="86"/>
  <c r="J47" i="86"/>
  <c r="J53" i="86"/>
  <c r="F58" i="86"/>
  <c r="F62" i="86"/>
  <c r="R63" i="86"/>
  <c r="R66" i="86"/>
  <c r="L20" i="87"/>
  <c r="N16" i="88"/>
  <c r="H32" i="88"/>
  <c r="Z23" i="89"/>
  <c r="F33" i="90"/>
  <c r="F30" i="90"/>
  <c r="F22" i="90"/>
  <c r="F41" i="90"/>
  <c r="F45" i="90"/>
  <c r="F35" i="90"/>
  <c r="F32" i="90"/>
  <c r="F27" i="90"/>
  <c r="D18" i="90"/>
  <c r="F18" i="90" s="1"/>
  <c r="F16" i="90"/>
  <c r="F49" i="90"/>
  <c r="F43" i="90"/>
  <c r="F38" i="90"/>
  <c r="F36" i="90"/>
  <c r="F31" i="90"/>
  <c r="F28" i="90"/>
  <c r="F24" i="90"/>
  <c r="F15" i="90"/>
  <c r="L12" i="90"/>
  <c r="F42" i="90"/>
  <c r="F39" i="90"/>
  <c r="F23" i="90"/>
  <c r="N15" i="90"/>
  <c r="Z21" i="90"/>
  <c r="L31" i="90"/>
  <c r="L40" i="90"/>
  <c r="X13" i="92"/>
  <c r="P12" i="92"/>
  <c r="X13" i="84"/>
  <c r="Z13" i="84" s="1"/>
  <c r="J16" i="84"/>
  <c r="J20" i="84"/>
  <c r="J24" i="84"/>
  <c r="J32" i="84"/>
  <c r="V23" i="85"/>
  <c r="V31" i="85"/>
  <c r="V35" i="85"/>
  <c r="V39" i="85"/>
  <c r="V51" i="85"/>
  <c r="V59" i="85"/>
  <c r="V63" i="85"/>
  <c r="V67" i="85"/>
  <c r="V71" i="85"/>
  <c r="V75" i="85"/>
  <c r="J73" i="86"/>
  <c r="J67" i="86"/>
  <c r="J71" i="86"/>
  <c r="J22" i="86"/>
  <c r="R27" i="86"/>
  <c r="R31" i="86"/>
  <c r="R35" i="86"/>
  <c r="J36" i="86"/>
  <c r="F39" i="86"/>
  <c r="J42" i="86"/>
  <c r="F51" i="86"/>
  <c r="R52" i="86"/>
  <c r="F54" i="86"/>
  <c r="R55" i="86"/>
  <c r="J58" i="86"/>
  <c r="F59" i="86"/>
  <c r="J62" i="86"/>
  <c r="R64" i="86"/>
  <c r="R67" i="86"/>
  <c r="V22" i="87"/>
  <c r="V25" i="87"/>
  <c r="V19" i="87"/>
  <c r="V17" i="87"/>
  <c r="V20" i="87"/>
  <c r="V29" i="87"/>
  <c r="V23" i="87"/>
  <c r="V15" i="87"/>
  <c r="L30" i="88"/>
  <c r="D29" i="88"/>
  <c r="L29" i="88" s="1"/>
  <c r="N31" i="90"/>
  <c r="H18" i="84"/>
  <c r="J27" i="84"/>
  <c r="J33" i="84"/>
  <c r="V24" i="85"/>
  <c r="V32" i="85"/>
  <c r="V36" i="85"/>
  <c r="V40" i="85"/>
  <c r="V48" i="85"/>
  <c r="V56" i="85"/>
  <c r="V60" i="85"/>
  <c r="V64" i="85"/>
  <c r="V72" i="85"/>
  <c r="V76" i="85"/>
  <c r="L12" i="86"/>
  <c r="J23" i="86"/>
  <c r="F24" i="86"/>
  <c r="R28" i="86"/>
  <c r="J29" i="86"/>
  <c r="R32" i="86"/>
  <c r="J39" i="86"/>
  <c r="F40" i="86"/>
  <c r="R41" i="86"/>
  <c r="F43" i="86"/>
  <c r="R44" i="86"/>
  <c r="J45" i="86"/>
  <c r="F48" i="86"/>
  <c r="J51" i="86"/>
  <c r="R56" i="86"/>
  <c r="J59" i="86"/>
  <c r="F60" i="86"/>
  <c r="R61" i="86"/>
  <c r="F63" i="86"/>
  <c r="X18" i="88"/>
  <c r="Z18" i="88" s="1"/>
  <c r="Z24" i="88"/>
  <c r="N26" i="88"/>
  <c r="V19" i="89"/>
  <c r="V34" i="89"/>
  <c r="V28" i="89"/>
  <c r="V22" i="89"/>
  <c r="V14" i="89"/>
  <c r="V21" i="89"/>
  <c r="V24" i="89"/>
  <c r="Z12" i="89"/>
  <c r="V25" i="89"/>
  <c r="T16" i="89"/>
  <c r="V20" i="89"/>
  <c r="N18" i="89"/>
  <c r="N21" i="89"/>
  <c r="Z20" i="90"/>
  <c r="Z62" i="92"/>
  <c r="L49" i="94"/>
  <c r="N49" i="94" s="1"/>
  <c r="N12" i="88"/>
  <c r="J14" i="88"/>
  <c r="R16" i="88"/>
  <c r="X19" i="88"/>
  <c r="Z19" i="88" s="1"/>
  <c r="R21" i="88"/>
  <c r="J22" i="88"/>
  <c r="F25" i="88"/>
  <c r="R26" i="88"/>
  <c r="F32" i="88"/>
  <c r="F39" i="88"/>
  <c r="N12" i="89"/>
  <c r="J14" i="89"/>
  <c r="X19" i="89"/>
  <c r="Z19" i="89" s="1"/>
  <c r="L21" i="89"/>
  <c r="J24" i="89"/>
  <c r="J28" i="89"/>
  <c r="R30" i="89"/>
  <c r="J34" i="89"/>
  <c r="R37" i="89"/>
  <c r="J18" i="90"/>
  <c r="J22" i="90"/>
  <c r="L27" i="90"/>
  <c r="J30" i="90"/>
  <c r="X33" i="90"/>
  <c r="Z33" i="90" s="1"/>
  <c r="L35" i="90"/>
  <c r="L45" i="90"/>
  <c r="L12" i="91"/>
  <c r="F16" i="91"/>
  <c r="F18" i="91"/>
  <c r="J55" i="91"/>
  <c r="F67" i="92"/>
  <c r="F63" i="92"/>
  <c r="F35" i="92"/>
  <c r="F31" i="92"/>
  <c r="D21" i="92"/>
  <c r="F19" i="92"/>
  <c r="F74" i="92"/>
  <c r="F57" i="92"/>
  <c r="F54" i="92"/>
  <c r="F49" i="92"/>
  <c r="F46" i="92"/>
  <c r="F41" i="92"/>
  <c r="F30" i="92"/>
  <c r="F18" i="92"/>
  <c r="F73" i="92"/>
  <c r="F29" i="92"/>
  <c r="F24" i="92"/>
  <c r="F23" i="92"/>
  <c r="F72" i="92"/>
  <c r="F59" i="92"/>
  <c r="F56" i="92"/>
  <c r="F51" i="92"/>
  <c r="F48" i="92"/>
  <c r="F43" i="92"/>
  <c r="F40" i="92"/>
  <c r="F28" i="92"/>
  <c r="F69" i="92"/>
  <c r="F65" i="92"/>
  <c r="F61" i="92"/>
  <c r="F37" i="92"/>
  <c r="F33" i="92"/>
  <c r="F25" i="92"/>
  <c r="F75" i="92"/>
  <c r="F68" i="92"/>
  <c r="F64" i="92"/>
  <c r="F60" i="92"/>
  <c r="F55" i="92"/>
  <c r="F52" i="92"/>
  <c r="F47" i="92"/>
  <c r="F44" i="92"/>
  <c r="F36" i="92"/>
  <c r="F32" i="92"/>
  <c r="F21" i="92"/>
  <c r="V29" i="92"/>
  <c r="F34" i="92"/>
  <c r="F45" i="92"/>
  <c r="F53" i="92"/>
  <c r="F62" i="92"/>
  <c r="J19" i="88"/>
  <c r="J25" i="88"/>
  <c r="J29" i="88"/>
  <c r="D16" i="89"/>
  <c r="J19" i="89"/>
  <c r="F22" i="89"/>
  <c r="R23" i="89"/>
  <c r="F25" i="89"/>
  <c r="R26" i="89"/>
  <c r="R32" i="89"/>
  <c r="J23" i="90"/>
  <c r="J33" i="90"/>
  <c r="J39" i="90"/>
  <c r="N18" i="91"/>
  <c r="F24" i="91"/>
  <c r="L32" i="91"/>
  <c r="H12" i="92"/>
  <c r="L12" i="92" s="1"/>
  <c r="V17" i="92"/>
  <c r="V54" i="92"/>
  <c r="F58" i="92"/>
  <c r="X59" i="92"/>
  <c r="Z59" i="92" s="1"/>
  <c r="Z66" i="92"/>
  <c r="F76" i="92"/>
  <c r="R14" i="88"/>
  <c r="J16" i="88"/>
  <c r="J20" i="88"/>
  <c r="F21" i="88"/>
  <c r="R22" i="88"/>
  <c r="F24" i="88"/>
  <c r="R25" i="88"/>
  <c r="J26" i="88"/>
  <c r="P29" i="88"/>
  <c r="X29" i="88" s="1"/>
  <c r="F30" i="88"/>
  <c r="J34" i="88"/>
  <c r="F36" i="88"/>
  <c r="R14" i="89"/>
  <c r="J16" i="89"/>
  <c r="J20" i="89"/>
  <c r="R28" i="89"/>
  <c r="J30" i="89"/>
  <c r="R34" i="89"/>
  <c r="J37" i="89"/>
  <c r="T12" i="90"/>
  <c r="X12" i="90" s="1"/>
  <c r="J26" i="90"/>
  <c r="J34" i="90"/>
  <c r="J40" i="90"/>
  <c r="X18" i="91"/>
  <c r="Z18" i="91" s="1"/>
  <c r="J19" i="91"/>
  <c r="J37" i="91"/>
  <c r="X39" i="91"/>
  <c r="J43" i="91"/>
  <c r="Z13" i="92"/>
  <c r="L17" i="92"/>
  <c r="F27" i="92"/>
  <c r="V34" i="92"/>
  <c r="F39" i="92"/>
  <c r="V45" i="92"/>
  <c r="F50" i="92"/>
  <c r="V53" i="92"/>
  <c r="V62" i="92"/>
  <c r="F70" i="92"/>
  <c r="Z60" i="95"/>
  <c r="L16" i="88"/>
  <c r="R19" i="88"/>
  <c r="J21" i="88"/>
  <c r="R29" i="88"/>
  <c r="R19" i="89"/>
  <c r="F21" i="89"/>
  <c r="R22" i="89"/>
  <c r="J23" i="89"/>
  <c r="F26" i="89"/>
  <c r="F32" i="89"/>
  <c r="J21" i="90"/>
  <c r="J29" i="90"/>
  <c r="J43" i="90"/>
  <c r="J49" i="90"/>
  <c r="F26" i="91"/>
  <c r="Z28" i="91"/>
  <c r="F17" i="92"/>
  <c r="F38" i="92"/>
  <c r="F42" i="92"/>
  <c r="R23" i="88"/>
  <c r="J24" i="88"/>
  <c r="F27" i="88"/>
  <c r="J30" i="88"/>
  <c r="R32" i="88"/>
  <c r="J36" i="88"/>
  <c r="R39" i="88"/>
  <c r="J26" i="89"/>
  <c r="F28" i="89"/>
  <c r="J32" i="89"/>
  <c r="F34" i="89"/>
  <c r="J16" i="90"/>
  <c r="J20" i="90"/>
  <c r="J32" i="90"/>
  <c r="J38" i="90"/>
  <c r="F34" i="91"/>
  <c r="F31" i="91"/>
  <c r="F23" i="91"/>
  <c r="F42" i="91"/>
  <c r="F22" i="91"/>
  <c r="F52" i="91"/>
  <c r="F46" i="91"/>
  <c r="F36" i="91"/>
  <c r="F33" i="91"/>
  <c r="F28" i="91"/>
  <c r="F21" i="91"/>
  <c r="F50" i="91"/>
  <c r="F44" i="91"/>
  <c r="F39" i="91"/>
  <c r="F20" i="91"/>
  <c r="F55" i="91"/>
  <c r="F48" i="91"/>
  <c r="F37" i="91"/>
  <c r="F32" i="91"/>
  <c r="F29" i="91"/>
  <c r="F25" i="91"/>
  <c r="F43" i="91"/>
  <c r="F40" i="91"/>
  <c r="F14" i="91"/>
  <c r="F35" i="91"/>
  <c r="Z39" i="91"/>
  <c r="F41" i="91"/>
  <c r="V82" i="92"/>
  <c r="V76" i="92"/>
  <c r="V70" i="92"/>
  <c r="V58" i="92"/>
  <c r="V50" i="92"/>
  <c r="V42" i="92"/>
  <c r="V38" i="92"/>
  <c r="V26" i="92"/>
  <c r="T21" i="92"/>
  <c r="V75" i="92"/>
  <c r="V69" i="92"/>
  <c r="V65" i="92"/>
  <c r="V61" i="92"/>
  <c r="V57" i="92"/>
  <c r="V49" i="92"/>
  <c r="V41" i="92"/>
  <c r="V37" i="92"/>
  <c r="V33" i="92"/>
  <c r="V25" i="92"/>
  <c r="V68" i="92"/>
  <c r="V64" i="92"/>
  <c r="V60" i="92"/>
  <c r="V52" i="92"/>
  <c r="V44" i="92"/>
  <c r="V36" i="92"/>
  <c r="V32" i="92"/>
  <c r="V24" i="92"/>
  <c r="V67" i="92"/>
  <c r="V63" i="92"/>
  <c r="V59" i="92"/>
  <c r="V51" i="92"/>
  <c r="V43" i="92"/>
  <c r="V35" i="92"/>
  <c r="V31" i="92"/>
  <c r="V19" i="92"/>
  <c r="V78" i="92"/>
  <c r="V72" i="92"/>
  <c r="V56" i="92"/>
  <c r="V48" i="92"/>
  <c r="V40" i="92"/>
  <c r="V28" i="92"/>
  <c r="V71" i="92"/>
  <c r="V55" i="92"/>
  <c r="V47" i="92"/>
  <c r="V39" i="92"/>
  <c r="V27" i="92"/>
  <c r="V23" i="92"/>
  <c r="V21" i="92"/>
  <c r="X23" i="92"/>
  <c r="Z23" i="92" s="1"/>
  <c r="X43" i="92"/>
  <c r="X51" i="92"/>
  <c r="F66" i="92"/>
  <c r="V74" i="92"/>
  <c r="F82" i="92"/>
  <c r="N17" i="94"/>
  <c r="L41" i="94"/>
  <c r="Z43" i="94"/>
  <c r="L12" i="88"/>
  <c r="P16" i="88"/>
  <c r="F18" i="88"/>
  <c r="R18" i="88"/>
  <c r="F19" i="88"/>
  <c r="R20" i="88"/>
  <c r="L12" i="89"/>
  <c r="P16" i="89"/>
  <c r="F18" i="89"/>
  <c r="R18" i="89"/>
  <c r="F19" i="89"/>
  <c r="R20" i="89"/>
  <c r="H18" i="90"/>
  <c r="J27" i="90"/>
  <c r="J35" i="90"/>
  <c r="J41" i="90"/>
  <c r="J45" i="90"/>
  <c r="J52" i="91"/>
  <c r="J46" i="91"/>
  <c r="J42" i="91"/>
  <c r="J36" i="91"/>
  <c r="J28" i="91"/>
  <c r="J22" i="91"/>
  <c r="J39" i="91"/>
  <c r="J33" i="91"/>
  <c r="J21" i="91"/>
  <c r="J50" i="91"/>
  <c r="J44" i="91"/>
  <c r="J30" i="91"/>
  <c r="J20" i="91"/>
  <c r="J16" i="91"/>
  <c r="J41" i="91"/>
  <c r="J35" i="91"/>
  <c r="J27" i="91"/>
  <c r="J40" i="91"/>
  <c r="J34" i="91"/>
  <c r="J24" i="91"/>
  <c r="J31" i="91"/>
  <c r="D16" i="91"/>
  <c r="J25" i="91"/>
  <c r="J29" i="91"/>
  <c r="X30" i="91"/>
  <c r="N41" i="91"/>
  <c r="L41" i="91"/>
  <c r="L15" i="92"/>
  <c r="V18" i="92"/>
  <c r="F26" i="92"/>
  <c r="L45" i="92"/>
  <c r="N47" i="92"/>
  <c r="L53" i="92"/>
  <c r="N53" i="92" s="1"/>
  <c r="V73" i="92"/>
  <c r="F78" i="92"/>
  <c r="N57" i="94"/>
  <c r="T18" i="93"/>
  <c r="V34" i="93"/>
  <c r="V28" i="93"/>
  <c r="V22" i="93"/>
  <c r="V21" i="93"/>
  <c r="V24" i="93"/>
  <c r="V16" i="93"/>
  <c r="V23" i="93"/>
  <c r="V25" i="93"/>
  <c r="V18" i="93"/>
  <c r="N14" i="94"/>
  <c r="L14" i="94"/>
  <c r="F67" i="94"/>
  <c r="F68" i="94"/>
  <c r="L13" i="92"/>
  <c r="J21" i="93"/>
  <c r="J32" i="93"/>
  <c r="J26" i="93"/>
  <c r="J16" i="93"/>
  <c r="J23" i="93"/>
  <c r="J37" i="93"/>
  <c r="J30" i="93"/>
  <c r="N12" i="93"/>
  <c r="J25" i="93"/>
  <c r="H18" i="93"/>
  <c r="F79" i="94"/>
  <c r="F75" i="94"/>
  <c r="F83" i="94"/>
  <c r="F74" i="94"/>
  <c r="F69" i="94"/>
  <c r="F66" i="94"/>
  <c r="F78" i="94"/>
  <c r="F71" i="94"/>
  <c r="F57" i="94"/>
  <c r="F54" i="94"/>
  <c r="F49" i="94"/>
  <c r="F46" i="94"/>
  <c r="F41" i="94"/>
  <c r="F30" i="94"/>
  <c r="F18" i="94"/>
  <c r="F81" i="94"/>
  <c r="F77" i="94"/>
  <c r="F29" i="94"/>
  <c r="F24" i="94"/>
  <c r="F23" i="94"/>
  <c r="F80" i="94"/>
  <c r="F76" i="94"/>
  <c r="F59" i="94"/>
  <c r="F56" i="94"/>
  <c r="F51" i="94"/>
  <c r="F48" i="94"/>
  <c r="F43" i="94"/>
  <c r="F40" i="94"/>
  <c r="F28" i="94"/>
  <c r="F70" i="94"/>
  <c r="F62" i="94"/>
  <c r="F39" i="94"/>
  <c r="F34" i="94"/>
  <c r="F27" i="94"/>
  <c r="F87" i="94"/>
  <c r="F58" i="94"/>
  <c r="F53" i="94"/>
  <c r="F50" i="94"/>
  <c r="F45" i="94"/>
  <c r="F42" i="94"/>
  <c r="F38" i="94"/>
  <c r="F26" i="94"/>
  <c r="F17" i="94"/>
  <c r="F73" i="94"/>
  <c r="F72" i="94"/>
  <c r="F65" i="94"/>
  <c r="F64" i="94"/>
  <c r="F60" i="94"/>
  <c r="F55" i="94"/>
  <c r="F52" i="94"/>
  <c r="F47" i="94"/>
  <c r="F44" i="94"/>
  <c r="F36" i="94"/>
  <c r="F32" i="94"/>
  <c r="L12" i="94"/>
  <c r="X23" i="94"/>
  <c r="Z23" i="94" s="1"/>
  <c r="F31" i="94"/>
  <c r="Z47" i="94"/>
  <c r="Z55" i="94"/>
  <c r="F61" i="94"/>
  <c r="X13" i="95"/>
  <c r="P12" i="95"/>
  <c r="V26" i="93"/>
  <c r="F25" i="94"/>
  <c r="N45" i="94"/>
  <c r="N53" i="94"/>
  <c r="L13" i="93"/>
  <c r="D12" i="93"/>
  <c r="X14" i="93"/>
  <c r="J20" i="93"/>
  <c r="J34" i="93"/>
  <c r="H12" i="94"/>
  <c r="Z13" i="94"/>
  <c r="Z17" i="94"/>
  <c r="F35" i="94"/>
  <c r="X45" i="94"/>
  <c r="X53" i="94"/>
  <c r="Z53" i="94" s="1"/>
  <c r="F63" i="94"/>
  <c r="V85" i="95"/>
  <c r="V79" i="95"/>
  <c r="V88" i="95"/>
  <c r="V83" i="95"/>
  <c r="V81" i="95"/>
  <c r="V54" i="95"/>
  <c r="V46" i="95"/>
  <c r="V38" i="95"/>
  <c r="V26" i="95"/>
  <c r="T21" i="95"/>
  <c r="V73" i="95"/>
  <c r="V57" i="95"/>
  <c r="V49" i="95"/>
  <c r="V41" i="95"/>
  <c r="V37" i="95"/>
  <c r="V33" i="95"/>
  <c r="V25" i="95"/>
  <c r="V72" i="95"/>
  <c r="V56" i="95"/>
  <c r="V48" i="95"/>
  <c r="V40" i="95"/>
  <c r="V36" i="95"/>
  <c r="V32" i="95"/>
  <c r="V24" i="95"/>
  <c r="Z12" i="95"/>
  <c r="V75" i="95"/>
  <c r="V71" i="95"/>
  <c r="V59" i="95"/>
  <c r="V51" i="95"/>
  <c r="V43" i="95"/>
  <c r="V35" i="95"/>
  <c r="V31" i="95"/>
  <c r="V19" i="95"/>
  <c r="V77" i="95"/>
  <c r="V69" i="95"/>
  <c r="V65" i="95"/>
  <c r="V61" i="95"/>
  <c r="V53" i="95"/>
  <c r="V45" i="95"/>
  <c r="V29" i="95"/>
  <c r="V17" i="95"/>
  <c r="V44" i="95"/>
  <c r="V28" i="95"/>
  <c r="V62" i="95"/>
  <c r="V55" i="95"/>
  <c r="V64" i="95"/>
  <c r="V34" i="95"/>
  <c r="V70" i="95"/>
  <c r="V60" i="95"/>
  <c r="V58" i="95"/>
  <c r="V52" i="95"/>
  <c r="V47" i="95"/>
  <c r="V18" i="95"/>
  <c r="V74" i="95"/>
  <c r="V66" i="95"/>
  <c r="V42" i="95"/>
  <c r="J24" i="93"/>
  <c r="F37" i="94"/>
  <c r="Z45" i="94"/>
  <c r="V67" i="95"/>
  <c r="V76" i="95"/>
  <c r="L75" i="92"/>
  <c r="N75" i="92" s="1"/>
  <c r="X78" i="92"/>
  <c r="J18" i="93"/>
  <c r="X20" i="93"/>
  <c r="Z20" i="93" s="1"/>
  <c r="Z25" i="93"/>
  <c r="V30" i="93"/>
  <c r="D21" i="94"/>
  <c r="N47" i="94"/>
  <c r="Z13" i="93"/>
  <c r="R23" i="93"/>
  <c r="R26" i="93"/>
  <c r="R32" i="93"/>
  <c r="R17" i="94"/>
  <c r="R28" i="94"/>
  <c r="R40" i="94"/>
  <c r="R45" i="94"/>
  <c r="R48" i="94"/>
  <c r="R53" i="94"/>
  <c r="R56" i="94"/>
  <c r="R76" i="94"/>
  <c r="Z23" i="95"/>
  <c r="X52" i="95"/>
  <c r="Z52" i="95" s="1"/>
  <c r="Z67" i="95"/>
  <c r="V28" i="96"/>
  <c r="V22" i="96"/>
  <c r="Z12" i="96"/>
  <c r="T16" i="96"/>
  <c r="V31" i="96"/>
  <c r="V26" i="96"/>
  <c r="V24" i="96"/>
  <c r="V18" i="96"/>
  <c r="V21" i="96"/>
  <c r="V20" i="96"/>
  <c r="X12" i="96"/>
  <c r="V16" i="96"/>
  <c r="R21" i="93"/>
  <c r="R24" i="93"/>
  <c r="R80" i="94"/>
  <c r="R71" i="94"/>
  <c r="R70" i="94"/>
  <c r="R67" i="94"/>
  <c r="R79" i="94"/>
  <c r="R75" i="94"/>
  <c r="R18" i="94"/>
  <c r="R30" i="94"/>
  <c r="R43" i="94"/>
  <c r="R46" i="94"/>
  <c r="R51" i="94"/>
  <c r="R54" i="94"/>
  <c r="R59" i="94"/>
  <c r="R66" i="94"/>
  <c r="R74" i="94"/>
  <c r="Z83" i="94"/>
  <c r="X83" i="94"/>
  <c r="R28" i="93"/>
  <c r="T12" i="94"/>
  <c r="R19" i="94"/>
  <c r="R24" i="94"/>
  <c r="R31" i="94"/>
  <c r="R35" i="94"/>
  <c r="R63" i="94"/>
  <c r="R65" i="94"/>
  <c r="R73" i="94"/>
  <c r="X78" i="94"/>
  <c r="Z78" i="94" s="1"/>
  <c r="N23" i="95"/>
  <c r="Z34" i="95"/>
  <c r="X16" i="93"/>
  <c r="P18" i="93"/>
  <c r="R20" i="93"/>
  <c r="R22" i="93"/>
  <c r="X12" i="94"/>
  <c r="R32" i="94"/>
  <c r="R36" i="94"/>
  <c r="R41" i="94"/>
  <c r="R44" i="94"/>
  <c r="R49" i="94"/>
  <c r="R52" i="94"/>
  <c r="R57" i="94"/>
  <c r="R60" i="94"/>
  <c r="R64" i="94"/>
  <c r="R72" i="94"/>
  <c r="D12" i="95"/>
  <c r="L63" i="95"/>
  <c r="N63" i="95" s="1"/>
  <c r="P28" i="96"/>
  <c r="V62" i="97"/>
  <c r="V56" i="97"/>
  <c r="V58" i="97"/>
  <c r="V42" i="97"/>
  <c r="V48" i="97"/>
  <c r="V45" i="97"/>
  <c r="V44" i="97"/>
  <c r="V40" i="97"/>
  <c r="V39" i="97"/>
  <c r="V24" i="97"/>
  <c r="V59" i="97"/>
  <c r="V36" i="97"/>
  <c r="V23" i="97"/>
  <c r="V19" i="97"/>
  <c r="V57" i="97"/>
  <c r="V35" i="97"/>
  <c r="V34" i="97"/>
  <c r="V22" i="97"/>
  <c r="V53" i="97"/>
  <c r="V41" i="97"/>
  <c r="V33" i="97"/>
  <c r="V29" i="97"/>
  <c r="V21" i="97"/>
  <c r="V55" i="97"/>
  <c r="V54" i="97"/>
  <c r="V47" i="97"/>
  <c r="V46" i="97"/>
  <c r="V43" i="97"/>
  <c r="V32" i="97"/>
  <c r="V28" i="97"/>
  <c r="V20" i="97"/>
  <c r="V66" i="97"/>
  <c r="V38" i="97"/>
  <c r="V37" i="97"/>
  <c r="V31" i="97"/>
  <c r="V27" i="97"/>
  <c r="V30" i="97"/>
  <c r="V26" i="97"/>
  <c r="V51" i="97"/>
  <c r="V61" i="97"/>
  <c r="V15" i="97"/>
  <c r="V52" i="97"/>
  <c r="V49" i="97"/>
  <c r="V25" i="97"/>
  <c r="V50" i="97"/>
  <c r="T17" i="97"/>
  <c r="R18" i="93"/>
  <c r="P21" i="94"/>
  <c r="R23" i="94"/>
  <c r="R25" i="94"/>
  <c r="R33" i="94"/>
  <c r="R37" i="94"/>
  <c r="R61" i="94"/>
  <c r="R68" i="94"/>
  <c r="R87" i="94"/>
  <c r="H12" i="95"/>
  <c r="N13" i="95"/>
  <c r="N67" i="95"/>
  <c r="Z14" i="96"/>
  <c r="X14" i="96"/>
  <c r="X12" i="93"/>
  <c r="R21" i="94"/>
  <c r="R26" i="94"/>
  <c r="R38" i="94"/>
  <c r="R42" i="94"/>
  <c r="R47" i="94"/>
  <c r="R50" i="94"/>
  <c r="R55" i="94"/>
  <c r="R58" i="94"/>
  <c r="L67" i="94"/>
  <c r="N78" i="94"/>
  <c r="L13" i="95"/>
  <c r="X17" i="95"/>
  <c r="Z63" i="95"/>
  <c r="L67" i="95"/>
  <c r="V14" i="96"/>
  <c r="Z33" i="99"/>
  <c r="X33" i="99"/>
  <c r="N13" i="97"/>
  <c r="H12" i="97"/>
  <c r="Z30" i="97"/>
  <c r="N61" i="97"/>
  <c r="L18" i="96"/>
  <c r="X13" i="97"/>
  <c r="Z13" i="97" s="1"/>
  <c r="P12" i="97"/>
  <c r="L39" i="97"/>
  <c r="N39" i="97" s="1"/>
  <c r="N56" i="97"/>
  <c r="L56" i="97"/>
  <c r="D18" i="98"/>
  <c r="L15" i="98"/>
  <c r="X21" i="98"/>
  <c r="F62" i="97"/>
  <c r="F56" i="97"/>
  <c r="F58" i="97"/>
  <c r="F55" i="97"/>
  <c r="F51" i="97"/>
  <c r="F47" i="97"/>
  <c r="F35" i="97"/>
  <c r="F43" i="97"/>
  <c r="F42" i="97"/>
  <c r="F39" i="97"/>
  <c r="F33" i="97"/>
  <c r="F29" i="97"/>
  <c r="F21" i="97"/>
  <c r="F66" i="97"/>
  <c r="F38" i="97"/>
  <c r="F32" i="97"/>
  <c r="F28" i="97"/>
  <c r="F31" i="97"/>
  <c r="F27" i="97"/>
  <c r="F53" i="97"/>
  <c r="F52" i="97"/>
  <c r="F50" i="97"/>
  <c r="F46" i="97"/>
  <c r="F41" i="97"/>
  <c r="F26" i="97"/>
  <c r="F49" i="97"/>
  <c r="F40" i="97"/>
  <c r="F25" i="97"/>
  <c r="F20" i="97"/>
  <c r="F19" i="97"/>
  <c r="F61" i="97"/>
  <c r="F59" i="97"/>
  <c r="F45" i="97"/>
  <c r="F37" i="97"/>
  <c r="F24" i="97"/>
  <c r="F57" i="97"/>
  <c r="F36" i="97"/>
  <c r="F30" i="97"/>
  <c r="F23" i="97"/>
  <c r="L19" i="97"/>
  <c r="N19" i="97" s="1"/>
  <c r="F48" i="97"/>
  <c r="H24" i="96"/>
  <c r="F22" i="97"/>
  <c r="X61" i="97"/>
  <c r="Z61" i="97" s="1"/>
  <c r="X79" i="95"/>
  <c r="F28" i="96"/>
  <c r="F22" i="96"/>
  <c r="D16" i="96"/>
  <c r="F31" i="96"/>
  <c r="F24" i="96"/>
  <c r="F18" i="96"/>
  <c r="N21" i="99"/>
  <c r="L21" i="99"/>
  <c r="Z25" i="99"/>
  <c r="X25" i="99"/>
  <c r="X48" i="95"/>
  <c r="L50" i="95"/>
  <c r="X56" i="95"/>
  <c r="Z56" i="95" s="1"/>
  <c r="L58" i="95"/>
  <c r="L74" i="95"/>
  <c r="J26" i="96"/>
  <c r="J20" i="96"/>
  <c r="J16" i="96"/>
  <c r="J21" i="96"/>
  <c r="J18" i="96"/>
  <c r="J14" i="96"/>
  <c r="N12" i="96"/>
  <c r="J28" i="96"/>
  <c r="J22" i="96"/>
  <c r="N16" i="96"/>
  <c r="Z21" i="96"/>
  <c r="F15" i="97"/>
  <c r="D17" i="97"/>
  <c r="F17" i="97" s="1"/>
  <c r="F44" i="97"/>
  <c r="L12" i="96"/>
  <c r="D20" i="96"/>
  <c r="L20" i="96" s="1"/>
  <c r="X22" i="96"/>
  <c r="Z22" i="96" s="1"/>
  <c r="F26" i="96"/>
  <c r="F54" i="97"/>
  <c r="V34" i="99"/>
  <c r="V31" i="99"/>
  <c r="V27" i="99"/>
  <c r="X12" i="99"/>
  <c r="V21" i="99"/>
  <c r="V36" i="99"/>
  <c r="V33" i="99"/>
  <c r="V29" i="99"/>
  <c r="V25" i="99"/>
  <c r="T18" i="99"/>
  <c r="V15" i="99"/>
  <c r="V22" i="99"/>
  <c r="V20" i="99"/>
  <c r="V16" i="99"/>
  <c r="V24" i="99"/>
  <c r="V18" i="99"/>
  <c r="Z12" i="99"/>
  <c r="R31" i="96"/>
  <c r="L61" i="97"/>
  <c r="F34" i="98"/>
  <c r="F31" i="98"/>
  <c r="F27" i="98"/>
  <c r="F21" i="98"/>
  <c r="F15" i="98"/>
  <c r="J20" i="98"/>
  <c r="F33" i="98"/>
  <c r="J22" i="99"/>
  <c r="F24" i="99"/>
  <c r="L44" i="97"/>
  <c r="N44" i="97" s="1"/>
  <c r="J34" i="98"/>
  <c r="J31" i="98"/>
  <c r="J27" i="98"/>
  <c r="J21" i="98"/>
  <c r="J36" i="98"/>
  <c r="J33" i="98"/>
  <c r="J29" i="98"/>
  <c r="J25" i="98"/>
  <c r="H18" i="98"/>
  <c r="J15" i="98"/>
  <c r="F29" i="98"/>
  <c r="J16" i="100"/>
  <c r="J18" i="100"/>
  <c r="R16" i="96"/>
  <c r="R20" i="96"/>
  <c r="X15" i="97"/>
  <c r="X37" i="97"/>
  <c r="L48" i="97"/>
  <c r="N48" i="97" s="1"/>
  <c r="X62" i="97"/>
  <c r="Z62" i="97" s="1"/>
  <c r="L12" i="98"/>
  <c r="F16" i="98"/>
  <c r="V16" i="98"/>
  <c r="T18" i="98"/>
  <c r="L22" i="98"/>
  <c r="V22" i="98"/>
  <c r="F25" i="98"/>
  <c r="T20" i="96"/>
  <c r="X20" i="96" s="1"/>
  <c r="V18" i="98"/>
  <c r="F22" i="98"/>
  <c r="F34" i="99"/>
  <c r="F31" i="99"/>
  <c r="F27" i="99"/>
  <c r="F21" i="99"/>
  <c r="F36" i="99"/>
  <c r="F33" i="99"/>
  <c r="F29" i="99"/>
  <c r="F25" i="99"/>
  <c r="D18" i="99"/>
  <c r="F15" i="99"/>
  <c r="L12" i="99"/>
  <c r="L15" i="99"/>
  <c r="F20" i="99"/>
  <c r="X21" i="99"/>
  <c r="J21" i="100"/>
  <c r="J36" i="100"/>
  <c r="J33" i="100"/>
  <c r="J29" i="100"/>
  <c r="J25" i="100"/>
  <c r="H18" i="100"/>
  <c r="J15" i="100"/>
  <c r="J34" i="100"/>
  <c r="J31" i="100"/>
  <c r="J27" i="100"/>
  <c r="J22" i="100"/>
  <c r="N46" i="97"/>
  <c r="J34" i="99"/>
  <c r="J31" i="99"/>
  <c r="J27" i="99"/>
  <c r="J21" i="99"/>
  <c r="J36" i="99"/>
  <c r="J33" i="99"/>
  <c r="J29" i="99"/>
  <c r="J25" i="99"/>
  <c r="H18" i="99"/>
  <c r="J15" i="99"/>
  <c r="J16" i="99"/>
  <c r="J24" i="100"/>
  <c r="Z44" i="97"/>
  <c r="X56" i="97"/>
  <c r="Z56" i="97" s="1"/>
  <c r="V34" i="98"/>
  <c r="V31" i="98"/>
  <c r="V27" i="98"/>
  <c r="X12" i="98"/>
  <c r="V21" i="98"/>
  <c r="V33" i="98"/>
  <c r="R14" i="96"/>
  <c r="Z12" i="98"/>
  <c r="V15" i="98"/>
  <c r="F18" i="98"/>
  <c r="F20" i="98"/>
  <c r="V20" i="98"/>
  <c r="F24" i="98"/>
  <c r="V24" i="98"/>
  <c r="V29" i="98"/>
  <c r="F22" i="99"/>
  <c r="V34" i="100"/>
  <c r="V31" i="100"/>
  <c r="V27" i="100"/>
  <c r="X12" i="100"/>
  <c r="V24" i="100"/>
  <c r="V21" i="100"/>
  <c r="V36" i="100"/>
  <c r="V33" i="100"/>
  <c r="V29" i="100"/>
  <c r="V25" i="100"/>
  <c r="T18" i="100"/>
  <c r="V15" i="100"/>
  <c r="V16" i="100"/>
  <c r="V20" i="100"/>
  <c r="R27" i="98"/>
  <c r="R31" i="98"/>
  <c r="R34" i="98"/>
  <c r="R21" i="99"/>
  <c r="R15" i="100"/>
  <c r="P18" i="100"/>
  <c r="R25" i="100"/>
  <c r="R29" i="100"/>
  <c r="R33" i="100"/>
  <c r="R36" i="100"/>
  <c r="R27" i="99"/>
  <c r="R31" i="99"/>
  <c r="R34" i="99"/>
  <c r="L12" i="100"/>
  <c r="F15" i="100"/>
  <c r="D18" i="100"/>
  <c r="R21" i="100"/>
  <c r="F25" i="100"/>
  <c r="F29" i="100"/>
  <c r="F33" i="100"/>
  <c r="F36" i="100"/>
  <c r="R24" i="100"/>
  <c r="R25" i="98"/>
  <c r="R29" i="98"/>
  <c r="R33" i="98"/>
  <c r="F21" i="100"/>
  <c r="R27" i="100"/>
  <c r="R31" i="100"/>
  <c r="F24" i="100"/>
  <c r="R25" i="99"/>
  <c r="R29" i="99"/>
  <c r="R33" i="99"/>
  <c r="F27" i="100"/>
  <c r="F31" i="100"/>
  <c r="N31" i="49" l="1"/>
  <c r="N27" i="49"/>
  <c r="H27" i="35"/>
  <c r="T27" i="23"/>
  <c r="N18" i="49"/>
  <c r="X18" i="98"/>
  <c r="X18" i="4"/>
  <c r="T27" i="7"/>
  <c r="T31" i="7" s="1"/>
  <c r="L18" i="23"/>
  <c r="X18" i="37"/>
  <c r="Z18" i="37"/>
  <c r="X18" i="17"/>
  <c r="L18" i="22"/>
  <c r="N18" i="23"/>
  <c r="H27" i="23"/>
  <c r="H31" i="23" s="1"/>
  <c r="N18" i="32"/>
  <c r="Z27" i="41"/>
  <c r="X18" i="30"/>
  <c r="X18" i="41"/>
  <c r="N18" i="53"/>
  <c r="Z18" i="49"/>
  <c r="Z18" i="41"/>
  <c r="Z31" i="41"/>
  <c r="T27" i="47"/>
  <c r="X18" i="47"/>
  <c r="N18" i="10"/>
  <c r="X18" i="44"/>
  <c r="T31" i="13"/>
  <c r="T36" i="13" s="1"/>
  <c r="Z36" i="13" s="1"/>
  <c r="L18" i="49"/>
  <c r="N18" i="26"/>
  <c r="N18" i="44"/>
  <c r="H27" i="7"/>
  <c r="N18" i="7"/>
  <c r="Z18" i="44"/>
  <c r="Z18" i="13"/>
  <c r="L18" i="37"/>
  <c r="L18" i="33"/>
  <c r="D27" i="49"/>
  <c r="D31" i="49" s="1"/>
  <c r="L18" i="7"/>
  <c r="P103" i="62"/>
  <c r="H27" i="100"/>
  <c r="N18" i="100"/>
  <c r="R57" i="97"/>
  <c r="R62" i="97"/>
  <c r="R59" i="97"/>
  <c r="R56" i="97"/>
  <c r="R48" i="97"/>
  <c r="R43" i="97"/>
  <c r="R52" i="97"/>
  <c r="R51" i="97"/>
  <c r="R50" i="97"/>
  <c r="R49" i="97"/>
  <c r="R30" i="97"/>
  <c r="R25" i="97"/>
  <c r="R61" i="97"/>
  <c r="R58" i="97"/>
  <c r="R45" i="97"/>
  <c r="R40" i="97"/>
  <c r="R24" i="97"/>
  <c r="R44" i="97"/>
  <c r="R39" i="97"/>
  <c r="R36" i="97"/>
  <c r="R23" i="97"/>
  <c r="R35" i="97"/>
  <c r="R34" i="97"/>
  <c r="R22" i="97"/>
  <c r="R42" i="97"/>
  <c r="R33" i="97"/>
  <c r="R29" i="97"/>
  <c r="R21" i="97"/>
  <c r="R19" i="97"/>
  <c r="P17" i="97"/>
  <c r="R17" i="97" s="1"/>
  <c r="R55" i="97"/>
  <c r="R54" i="97"/>
  <c r="R53" i="97"/>
  <c r="R47" i="97"/>
  <c r="R41" i="97"/>
  <c r="R32" i="97"/>
  <c r="R28" i="97"/>
  <c r="R66" i="97"/>
  <c r="R46" i="97"/>
  <c r="R38" i="97"/>
  <c r="R31" i="97"/>
  <c r="R27" i="97"/>
  <c r="R20" i="97"/>
  <c r="R26" i="97"/>
  <c r="X12" i="97"/>
  <c r="Z12" i="97" s="1"/>
  <c r="R15" i="97"/>
  <c r="R37" i="97"/>
  <c r="N18" i="93"/>
  <c r="H30" i="93"/>
  <c r="P30" i="89"/>
  <c r="X16" i="89"/>
  <c r="D80" i="92"/>
  <c r="H36" i="88"/>
  <c r="Z16" i="91"/>
  <c r="T48" i="91"/>
  <c r="T31" i="87"/>
  <c r="X16" i="82"/>
  <c r="P33" i="82"/>
  <c r="P32" i="80"/>
  <c r="X16" i="80"/>
  <c r="V25" i="78"/>
  <c r="V17" i="78"/>
  <c r="V16" i="78"/>
  <c r="V28" i="78"/>
  <c r="V22" i="78"/>
  <c r="T20" i="78"/>
  <c r="V24" i="78"/>
  <c r="V26" i="78"/>
  <c r="V32" i="78"/>
  <c r="V23" i="78"/>
  <c r="V18" i="78"/>
  <c r="D36" i="80"/>
  <c r="L32" i="80"/>
  <c r="N32" i="80" s="1"/>
  <c r="D84" i="79"/>
  <c r="R29" i="87"/>
  <c r="R23" i="87"/>
  <c r="R20" i="87"/>
  <c r="R34" i="87"/>
  <c r="R22" i="87"/>
  <c r="X12" i="87"/>
  <c r="Z12" i="87" s="1"/>
  <c r="R21" i="87"/>
  <c r="R19" i="87"/>
  <c r="P17" i="87"/>
  <c r="R17" i="87"/>
  <c r="R31" i="87"/>
  <c r="R27" i="87"/>
  <c r="R15" i="87"/>
  <c r="R25" i="87"/>
  <c r="R25" i="75"/>
  <c r="R20" i="75"/>
  <c r="X12" i="75"/>
  <c r="R19" i="75"/>
  <c r="R18" i="75"/>
  <c r="R27" i="75"/>
  <c r="R23" i="75"/>
  <c r="P23" i="75"/>
  <c r="R21" i="75"/>
  <c r="R31" i="75"/>
  <c r="F79" i="73"/>
  <c r="F73" i="73"/>
  <c r="F68" i="73"/>
  <c r="F56" i="73"/>
  <c r="F41" i="73"/>
  <c r="F36" i="73"/>
  <c r="F29" i="73"/>
  <c r="F52" i="73"/>
  <c r="F47" i="73"/>
  <c r="F44" i="73"/>
  <c r="F40" i="73"/>
  <c r="F28" i="73"/>
  <c r="F70" i="73"/>
  <c r="F67" i="73"/>
  <c r="F62" i="73"/>
  <c r="F58" i="73"/>
  <c r="F55" i="73"/>
  <c r="F39" i="73"/>
  <c r="F35" i="73"/>
  <c r="F27" i="73"/>
  <c r="F18" i="73"/>
  <c r="F66" i="73"/>
  <c r="F54" i="73"/>
  <c r="F49" i="73"/>
  <c r="F46" i="73"/>
  <c r="F38" i="73"/>
  <c r="F34" i="73"/>
  <c r="F72" i="73"/>
  <c r="F69" i="73"/>
  <c r="F65" i="73"/>
  <c r="F61" i="73"/>
  <c r="F57" i="73"/>
  <c r="F37" i="73"/>
  <c r="F33" i="73"/>
  <c r="D23" i="73"/>
  <c r="F21" i="73"/>
  <c r="F64" i="73"/>
  <c r="F60" i="73"/>
  <c r="F51" i="73"/>
  <c r="F48" i="73"/>
  <c r="F43" i="73"/>
  <c r="F32" i="73"/>
  <c r="F20" i="73"/>
  <c r="L12" i="73"/>
  <c r="F71" i="73"/>
  <c r="F31" i="73"/>
  <c r="F45" i="73"/>
  <c r="F63" i="73"/>
  <c r="F53" i="73"/>
  <c r="F50" i="73"/>
  <c r="F25" i="73"/>
  <c r="F59" i="73"/>
  <c r="F26" i="73"/>
  <c r="F19" i="73"/>
  <c r="F30" i="73"/>
  <c r="F75" i="73"/>
  <c r="F42" i="73"/>
  <c r="F91" i="71"/>
  <c r="F87" i="71"/>
  <c r="F75" i="71"/>
  <c r="F70" i="71"/>
  <c r="F59" i="71"/>
  <c r="F54" i="71"/>
  <c r="F53" i="71"/>
  <c r="F47" i="71"/>
  <c r="F39" i="71"/>
  <c r="F95" i="71"/>
  <c r="F86" i="71"/>
  <c r="F81" i="71"/>
  <c r="F78" i="71"/>
  <c r="F58" i="71"/>
  <c r="F46" i="71"/>
  <c r="F38" i="71"/>
  <c r="F98" i="71"/>
  <c r="F93" i="71"/>
  <c r="F77" i="71"/>
  <c r="F72" i="71"/>
  <c r="F69" i="71"/>
  <c r="F64" i="71"/>
  <c r="F57" i="71"/>
  <c r="F45" i="71"/>
  <c r="F37" i="71"/>
  <c r="F102" i="71"/>
  <c r="F83" i="71"/>
  <c r="F80" i="71"/>
  <c r="F68" i="71"/>
  <c r="F56" i="71"/>
  <c r="F44" i="71"/>
  <c r="F36" i="71"/>
  <c r="L12" i="71"/>
  <c r="N12" i="71" s="1"/>
  <c r="F96" i="71"/>
  <c r="F90" i="71"/>
  <c r="F74" i="71"/>
  <c r="F71" i="71"/>
  <c r="F67" i="71"/>
  <c r="F63" i="71"/>
  <c r="F55" i="71"/>
  <c r="F43" i="71"/>
  <c r="F85" i="71"/>
  <c r="F82" i="71"/>
  <c r="F66" i="71"/>
  <c r="F62" i="71"/>
  <c r="F51" i="71"/>
  <c r="F42" i="71"/>
  <c r="F92" i="71"/>
  <c r="F89" i="71"/>
  <c r="F76" i="71"/>
  <c r="F73" i="71"/>
  <c r="F65" i="71"/>
  <c r="F61" i="71"/>
  <c r="D51" i="71"/>
  <c r="F49" i="71"/>
  <c r="F41" i="71"/>
  <c r="F79" i="71"/>
  <c r="F60" i="71"/>
  <c r="F97" i="71"/>
  <c r="F84" i="71"/>
  <c r="F35" i="71"/>
  <c r="F48" i="71"/>
  <c r="F40" i="71"/>
  <c r="F88" i="71"/>
  <c r="J71" i="70"/>
  <c r="J57" i="70"/>
  <c r="J51" i="70"/>
  <c r="J35" i="70"/>
  <c r="J78" i="70"/>
  <c r="J74" i="70"/>
  <c r="J70" i="70"/>
  <c r="J66" i="70"/>
  <c r="J48" i="70"/>
  <c r="J34" i="70"/>
  <c r="J30" i="70"/>
  <c r="J69" i="70"/>
  <c r="J63" i="70"/>
  <c r="J59" i="70"/>
  <c r="J53" i="70"/>
  <c r="J45" i="70"/>
  <c r="J41" i="70"/>
  <c r="H30" i="70"/>
  <c r="J76" i="70"/>
  <c r="J68" i="70"/>
  <c r="J56" i="70"/>
  <c r="J50" i="70"/>
  <c r="J44" i="70"/>
  <c r="J40" i="70"/>
  <c r="J32" i="70"/>
  <c r="J28" i="70"/>
  <c r="J79" i="70"/>
  <c r="J73" i="70"/>
  <c r="J65" i="70"/>
  <c r="J55" i="70"/>
  <c r="J47" i="70"/>
  <c r="J43" i="70"/>
  <c r="J39" i="70"/>
  <c r="J33" i="70"/>
  <c r="J62" i="70"/>
  <c r="J58" i="70"/>
  <c r="J83" i="70"/>
  <c r="J75" i="70"/>
  <c r="J67" i="70"/>
  <c r="J61" i="70"/>
  <c r="J49" i="70"/>
  <c r="J37" i="70"/>
  <c r="J27" i="70"/>
  <c r="J60" i="70"/>
  <c r="J54" i="70"/>
  <c r="J42" i="70"/>
  <c r="J36" i="70"/>
  <c r="J46" i="70"/>
  <c r="J72" i="70"/>
  <c r="J64" i="70"/>
  <c r="J52" i="70"/>
  <c r="J38" i="70"/>
  <c r="H50" i="67"/>
  <c r="N21" i="67"/>
  <c r="Z112" i="66"/>
  <c r="X112" i="66"/>
  <c r="T50" i="67"/>
  <c r="L21" i="67"/>
  <c r="D50" i="67"/>
  <c r="J76" i="64"/>
  <c r="J68" i="64"/>
  <c r="J62" i="64"/>
  <c r="J56" i="64"/>
  <c r="J46" i="64"/>
  <c r="J42" i="64"/>
  <c r="J36" i="64"/>
  <c r="J28" i="64"/>
  <c r="N12" i="64"/>
  <c r="J75" i="64"/>
  <c r="J71" i="64"/>
  <c r="J59" i="64"/>
  <c r="J53" i="64"/>
  <c r="J35" i="64"/>
  <c r="J88" i="64"/>
  <c r="J82" i="64"/>
  <c r="J78" i="64"/>
  <c r="J74" i="64"/>
  <c r="J64" i="64"/>
  <c r="J50" i="64"/>
  <c r="J34" i="64"/>
  <c r="J73" i="64"/>
  <c r="J67" i="64"/>
  <c r="J61" i="64"/>
  <c r="J55" i="64"/>
  <c r="J49" i="64"/>
  <c r="J45" i="64"/>
  <c r="J33" i="64"/>
  <c r="J27" i="64"/>
  <c r="J86" i="64"/>
  <c r="J80" i="64"/>
  <c r="J70" i="64"/>
  <c r="J58" i="64"/>
  <c r="J52" i="64"/>
  <c r="J48" i="64"/>
  <c r="J44" i="64"/>
  <c r="J32" i="64"/>
  <c r="J77" i="64"/>
  <c r="J63" i="64"/>
  <c r="J47" i="64"/>
  <c r="J43" i="64"/>
  <c r="J39" i="64"/>
  <c r="J31" i="64"/>
  <c r="J91" i="64"/>
  <c r="J84" i="64"/>
  <c r="J72" i="64"/>
  <c r="J66" i="64"/>
  <c r="J60" i="64"/>
  <c r="J54" i="64"/>
  <c r="H39" i="64"/>
  <c r="J30" i="64"/>
  <c r="J65" i="64"/>
  <c r="J29" i="64"/>
  <c r="J69" i="64"/>
  <c r="J79" i="64"/>
  <c r="J57" i="64"/>
  <c r="J41" i="64"/>
  <c r="J51" i="64"/>
  <c r="J37" i="64"/>
  <c r="P59" i="65"/>
  <c r="N16" i="59"/>
  <c r="H56" i="59"/>
  <c r="R149" i="69"/>
  <c r="R144" i="69"/>
  <c r="R141" i="69"/>
  <c r="R138" i="69"/>
  <c r="R130" i="69"/>
  <c r="R117" i="69"/>
  <c r="R114" i="69"/>
  <c r="R105" i="69"/>
  <c r="R102" i="69"/>
  <c r="R97" i="69"/>
  <c r="R93" i="69"/>
  <c r="R86" i="69"/>
  <c r="R81" i="69"/>
  <c r="R73" i="69"/>
  <c r="R65" i="69"/>
  <c r="R57" i="69"/>
  <c r="R120" i="69"/>
  <c r="R108" i="69"/>
  <c r="R96" i="69"/>
  <c r="R92" i="69"/>
  <c r="R80" i="69"/>
  <c r="R72" i="69"/>
  <c r="R64" i="69"/>
  <c r="R140" i="69"/>
  <c r="R135" i="69"/>
  <c r="R123" i="69"/>
  <c r="R116" i="69"/>
  <c r="R104" i="69"/>
  <c r="R91" i="69"/>
  <c r="R79" i="69"/>
  <c r="R71" i="69"/>
  <c r="R63" i="69"/>
  <c r="R56" i="69"/>
  <c r="R145" i="69"/>
  <c r="R134" i="69"/>
  <c r="R126" i="69"/>
  <c r="R122" i="69"/>
  <c r="R119" i="69"/>
  <c r="R110" i="69"/>
  <c r="R107" i="69"/>
  <c r="R95" i="69"/>
  <c r="R90" i="69"/>
  <c r="R78" i="69"/>
  <c r="R70" i="69"/>
  <c r="R62" i="69"/>
  <c r="R137" i="69"/>
  <c r="R133" i="69"/>
  <c r="R129" i="69"/>
  <c r="R125" i="69"/>
  <c r="R113" i="69"/>
  <c r="R101" i="69"/>
  <c r="R89" i="69"/>
  <c r="R77" i="69"/>
  <c r="R69" i="69"/>
  <c r="R61" i="69"/>
  <c r="R143" i="69"/>
  <c r="R132" i="69"/>
  <c r="R128" i="69"/>
  <c r="R121" i="69"/>
  <c r="R112" i="69"/>
  <c r="R109" i="69"/>
  <c r="R100" i="69"/>
  <c r="R88" i="69"/>
  <c r="R83" i="69"/>
  <c r="R76" i="69"/>
  <c r="R68" i="69"/>
  <c r="R60" i="69"/>
  <c r="X12" i="69"/>
  <c r="R139" i="69"/>
  <c r="R136" i="69"/>
  <c r="R131" i="69"/>
  <c r="R124" i="69"/>
  <c r="R115" i="69"/>
  <c r="R103" i="69"/>
  <c r="R99" i="69"/>
  <c r="R87" i="69"/>
  <c r="R85" i="69"/>
  <c r="P83" i="69"/>
  <c r="R75" i="69"/>
  <c r="R67" i="69"/>
  <c r="R59" i="69"/>
  <c r="R127" i="69"/>
  <c r="R94" i="69"/>
  <c r="R58" i="69"/>
  <c r="R106" i="69"/>
  <c r="R98" i="69"/>
  <c r="R66" i="69"/>
  <c r="R118" i="69"/>
  <c r="R74" i="69"/>
  <c r="R111" i="69"/>
  <c r="Z16" i="56"/>
  <c r="T67" i="56"/>
  <c r="L16" i="59"/>
  <c r="H46" i="61"/>
  <c r="N16" i="61"/>
  <c r="D66" i="57"/>
  <c r="T27" i="33"/>
  <c r="Z18" i="33"/>
  <c r="L18" i="35"/>
  <c r="D27" i="35"/>
  <c r="R100" i="42"/>
  <c r="R93" i="42"/>
  <c r="R90" i="42"/>
  <c r="R85" i="42"/>
  <c r="R77" i="42"/>
  <c r="R69" i="42"/>
  <c r="R65" i="42"/>
  <c r="R62" i="42"/>
  <c r="R57" i="42"/>
  <c r="R54" i="42"/>
  <c r="R37" i="42"/>
  <c r="R33" i="42"/>
  <c r="R26" i="42"/>
  <c r="R21" i="42"/>
  <c r="R103" i="42"/>
  <c r="R96" i="42"/>
  <c r="R84" i="42"/>
  <c r="R76" i="42"/>
  <c r="R72" i="42"/>
  <c r="R68" i="42"/>
  <c r="R48" i="42"/>
  <c r="R45" i="42"/>
  <c r="R32" i="42"/>
  <c r="R20" i="42"/>
  <c r="X12" i="42"/>
  <c r="Z12" i="42" s="1"/>
  <c r="R95" i="42"/>
  <c r="R92" i="42"/>
  <c r="R83" i="42"/>
  <c r="R79" i="42"/>
  <c r="R75" i="42"/>
  <c r="R67" i="42"/>
  <c r="R64" i="42"/>
  <c r="R59" i="42"/>
  <c r="R56" i="42"/>
  <c r="R51" i="42"/>
  <c r="R36" i="42"/>
  <c r="R31" i="42"/>
  <c r="R101" i="42"/>
  <c r="R98" i="42"/>
  <c r="R82" i="42"/>
  <c r="R74" i="42"/>
  <c r="R71" i="42"/>
  <c r="R50" i="42"/>
  <c r="R47" i="42"/>
  <c r="R42" i="42"/>
  <c r="R30" i="42"/>
  <c r="R19" i="42"/>
  <c r="R107" i="42"/>
  <c r="R94" i="42"/>
  <c r="R89" i="42"/>
  <c r="R81" i="42"/>
  <c r="R78" i="42"/>
  <c r="R66" i="42"/>
  <c r="R61" i="42"/>
  <c r="R58" i="42"/>
  <c r="R53" i="42"/>
  <c r="R41" i="42"/>
  <c r="R29" i="42"/>
  <c r="R97" i="42"/>
  <c r="R88" i="42"/>
  <c r="R73" i="42"/>
  <c r="R49" i="42"/>
  <c r="R44" i="42"/>
  <c r="R40" i="42"/>
  <c r="R28" i="42"/>
  <c r="R102" i="42"/>
  <c r="R91" i="42"/>
  <c r="R87" i="42"/>
  <c r="R80" i="42"/>
  <c r="R63" i="42"/>
  <c r="R60" i="42"/>
  <c r="R55" i="42"/>
  <c r="R52" i="42"/>
  <c r="R39" i="42"/>
  <c r="R35" i="42"/>
  <c r="R27" i="42"/>
  <c r="R25" i="42"/>
  <c r="P23" i="42"/>
  <c r="R86" i="42"/>
  <c r="R34" i="42"/>
  <c r="R46" i="42"/>
  <c r="R43" i="42"/>
  <c r="R70" i="42"/>
  <c r="R38" i="42"/>
  <c r="Z27" i="44"/>
  <c r="T31" i="44"/>
  <c r="P116" i="39"/>
  <c r="R32" i="39"/>
  <c r="V110" i="36"/>
  <c r="V104" i="36"/>
  <c r="V92" i="36"/>
  <c r="V88" i="36"/>
  <c r="V84" i="36"/>
  <c r="V116" i="36"/>
  <c r="V106" i="36"/>
  <c r="V98" i="36"/>
  <c r="V90" i="36"/>
  <c r="V86" i="36"/>
  <c r="V82" i="36"/>
  <c r="V112" i="36"/>
  <c r="V102" i="36"/>
  <c r="V94" i="36"/>
  <c r="V107" i="36"/>
  <c r="V93" i="36"/>
  <c r="V87" i="36"/>
  <c r="V83" i="36"/>
  <c r="V68" i="36"/>
  <c r="V60" i="36"/>
  <c r="V52" i="36"/>
  <c r="V40" i="36"/>
  <c r="V36" i="36"/>
  <c r="V24" i="36"/>
  <c r="V109" i="36"/>
  <c r="V99" i="36"/>
  <c r="V85" i="36"/>
  <c r="V71" i="36"/>
  <c r="V63" i="36"/>
  <c r="V55" i="36"/>
  <c r="V51" i="36"/>
  <c r="V39" i="36"/>
  <c r="V35" i="36"/>
  <c r="V23" i="36"/>
  <c r="V100" i="36"/>
  <c r="V78" i="36"/>
  <c r="V70" i="36"/>
  <c r="V62" i="36"/>
  <c r="V54" i="36"/>
  <c r="V46" i="36"/>
  <c r="V34" i="36"/>
  <c r="V22" i="36"/>
  <c r="V103" i="36"/>
  <c r="V97" i="36"/>
  <c r="V96" i="36"/>
  <c r="V95" i="36"/>
  <c r="V77" i="36"/>
  <c r="V73" i="36"/>
  <c r="V65" i="36"/>
  <c r="V57" i="36"/>
  <c r="V53" i="36"/>
  <c r="V45" i="36"/>
  <c r="V33" i="36"/>
  <c r="V80" i="36"/>
  <c r="V76" i="36"/>
  <c r="V72" i="36"/>
  <c r="V64" i="36"/>
  <c r="V56" i="36"/>
  <c r="V48" i="36"/>
  <c r="V44" i="36"/>
  <c r="V32" i="36"/>
  <c r="V28" i="36"/>
  <c r="V89" i="36"/>
  <c r="V79" i="36"/>
  <c r="V75" i="36"/>
  <c r="V67" i="36"/>
  <c r="V59" i="36"/>
  <c r="V47" i="36"/>
  <c r="V43" i="36"/>
  <c r="V31" i="36"/>
  <c r="T26" i="36"/>
  <c r="V105" i="36"/>
  <c r="V101" i="36"/>
  <c r="V74" i="36"/>
  <c r="V66" i="36"/>
  <c r="V58" i="36"/>
  <c r="V50" i="36"/>
  <c r="V42" i="36"/>
  <c r="V38" i="36"/>
  <c r="V30" i="36"/>
  <c r="V49" i="36"/>
  <c r="V37" i="36"/>
  <c r="V81" i="36"/>
  <c r="V69" i="36"/>
  <c r="V41" i="36"/>
  <c r="V29" i="36"/>
  <c r="V111" i="36"/>
  <c r="V91" i="36"/>
  <c r="V61" i="36"/>
  <c r="T105" i="42"/>
  <c r="R80" i="31"/>
  <c r="R73" i="31"/>
  <c r="R53" i="31"/>
  <c r="R50" i="31"/>
  <c r="R37" i="31"/>
  <c r="R86" i="31"/>
  <c r="R76" i="31"/>
  <c r="R72" i="31"/>
  <c r="R68" i="31"/>
  <c r="R65" i="31"/>
  <c r="R61" i="31"/>
  <c r="R36" i="31"/>
  <c r="R34" i="31"/>
  <c r="P32" i="31"/>
  <c r="R71" i="31"/>
  <c r="R55" i="31"/>
  <c r="R52" i="31"/>
  <c r="R47" i="31"/>
  <c r="R43" i="31"/>
  <c r="R81" i="31"/>
  <c r="R78" i="31"/>
  <c r="R75" i="31"/>
  <c r="R70" i="31"/>
  <c r="R67" i="31"/>
  <c r="R58" i="31"/>
  <c r="R46" i="31"/>
  <c r="R42" i="31"/>
  <c r="R35" i="31"/>
  <c r="R30" i="31"/>
  <c r="R57" i="31"/>
  <c r="R54" i="31"/>
  <c r="R49" i="31"/>
  <c r="R45" i="31"/>
  <c r="R41" i="31"/>
  <c r="R29" i="31"/>
  <c r="R77" i="31"/>
  <c r="R69" i="31"/>
  <c r="R64" i="31"/>
  <c r="R60" i="31"/>
  <c r="R82" i="31"/>
  <c r="R63" i="31"/>
  <c r="R56" i="31"/>
  <c r="R51" i="31"/>
  <c r="R48" i="31"/>
  <c r="R44" i="31"/>
  <c r="R39" i="31"/>
  <c r="R28" i="31"/>
  <c r="R27" i="31"/>
  <c r="X12" i="31"/>
  <c r="R62" i="31"/>
  <c r="R66" i="31"/>
  <c r="R40" i="31"/>
  <c r="R59" i="31"/>
  <c r="R74" i="31"/>
  <c r="R38" i="31"/>
  <c r="R32" i="31"/>
  <c r="N18" i="29"/>
  <c r="H27" i="29"/>
  <c r="X18" i="22"/>
  <c r="P27" i="22"/>
  <c r="P27" i="32"/>
  <c r="X18" i="32"/>
  <c r="P27" i="23"/>
  <c r="X18" i="23"/>
  <c r="H27" i="19"/>
  <c r="N18" i="19"/>
  <c r="N27" i="26"/>
  <c r="H31" i="26"/>
  <c r="D27" i="17"/>
  <c r="L18" i="17"/>
  <c r="R113" i="25"/>
  <c r="R110" i="25"/>
  <c r="R103" i="25"/>
  <c r="R90" i="25"/>
  <c r="R87" i="25"/>
  <c r="R78" i="25"/>
  <c r="R66" i="25"/>
  <c r="R54" i="25"/>
  <c r="R46" i="25"/>
  <c r="R119" i="25"/>
  <c r="R106" i="25"/>
  <c r="R93" i="25"/>
  <c r="R81" i="25"/>
  <c r="R77" i="25"/>
  <c r="R65" i="25"/>
  <c r="R53" i="25"/>
  <c r="R45" i="25"/>
  <c r="R109" i="25"/>
  <c r="R89" i="25"/>
  <c r="R84" i="25"/>
  <c r="R76" i="25"/>
  <c r="R64" i="25"/>
  <c r="R59" i="25"/>
  <c r="R52" i="25"/>
  <c r="R44" i="25"/>
  <c r="X12" i="25"/>
  <c r="Z12" i="25" s="1"/>
  <c r="R114" i="25"/>
  <c r="R99" i="25"/>
  <c r="R95" i="25"/>
  <c r="R92" i="25"/>
  <c r="R83" i="25"/>
  <c r="R80" i="25"/>
  <c r="R75" i="25"/>
  <c r="R71" i="25"/>
  <c r="R63" i="25"/>
  <c r="R61" i="25"/>
  <c r="P59" i="25"/>
  <c r="R51" i="25"/>
  <c r="R43" i="25"/>
  <c r="R102" i="25"/>
  <c r="R98" i="25"/>
  <c r="R86" i="25"/>
  <c r="R74" i="25"/>
  <c r="R70" i="25"/>
  <c r="R50" i="25"/>
  <c r="R42" i="25"/>
  <c r="R112" i="25"/>
  <c r="R105" i="25"/>
  <c r="R101" i="25"/>
  <c r="R97" i="25"/>
  <c r="R94" i="25"/>
  <c r="R82" i="25"/>
  <c r="R73" i="25"/>
  <c r="R69" i="25"/>
  <c r="R62" i="25"/>
  <c r="R57" i="25"/>
  <c r="R49" i="25"/>
  <c r="R41" i="25"/>
  <c r="R115" i="25"/>
  <c r="R108" i="25"/>
  <c r="R104" i="25"/>
  <c r="R88" i="25"/>
  <c r="R85" i="25"/>
  <c r="R68" i="25"/>
  <c r="R56" i="25"/>
  <c r="R48" i="25"/>
  <c r="R47" i="25"/>
  <c r="R91" i="25"/>
  <c r="R67" i="25"/>
  <c r="R55" i="25"/>
  <c r="R96" i="25"/>
  <c r="R79" i="25"/>
  <c r="R72" i="25"/>
  <c r="R40" i="25"/>
  <c r="R100" i="25"/>
  <c r="R107" i="25"/>
  <c r="X240" i="18"/>
  <c r="Z240" i="18" s="1"/>
  <c r="X18" i="11"/>
  <c r="P27" i="11"/>
  <c r="L240" i="18"/>
  <c r="X18" i="13"/>
  <c r="P27" i="13"/>
  <c r="D36" i="22"/>
  <c r="V229" i="12"/>
  <c r="V207" i="12"/>
  <c r="V199" i="12"/>
  <c r="V195" i="12"/>
  <c r="V191" i="12"/>
  <c r="V187" i="12"/>
  <c r="V179" i="12"/>
  <c r="V167" i="12"/>
  <c r="V155" i="12"/>
  <c r="V151" i="12"/>
  <c r="V139" i="12"/>
  <c r="V127" i="12"/>
  <c r="V119" i="12"/>
  <c r="V111" i="12"/>
  <c r="V103" i="12"/>
  <c r="V95" i="12"/>
  <c r="V87" i="12"/>
  <c r="V214" i="12"/>
  <c r="V198" i="12"/>
  <c r="V194" i="12"/>
  <c r="V190" i="12"/>
  <c r="V178" i="12"/>
  <c r="V170" i="12"/>
  <c r="V158" i="12"/>
  <c r="V154" i="12"/>
  <c r="V150" i="12"/>
  <c r="V138" i="12"/>
  <c r="V134" i="12"/>
  <c r="V132" i="12"/>
  <c r="V126" i="12"/>
  <c r="V118" i="12"/>
  <c r="V110" i="12"/>
  <c r="V102" i="12"/>
  <c r="V94" i="12"/>
  <c r="V235" i="12"/>
  <c r="V227" i="12"/>
  <c r="V217" i="12"/>
  <c r="V213" i="12"/>
  <c r="V189" i="12"/>
  <c r="V181" i="12"/>
  <c r="V169" i="12"/>
  <c r="V157" i="12"/>
  <c r="V149" i="12"/>
  <c r="V145" i="12"/>
  <c r="V137" i="12"/>
  <c r="T132" i="12"/>
  <c r="V125" i="12"/>
  <c r="V117" i="12"/>
  <c r="V109" i="12"/>
  <c r="V101" i="12"/>
  <c r="V93" i="12"/>
  <c r="V230" i="12"/>
  <c r="V216" i="12"/>
  <c r="V212" i="12"/>
  <c r="V184" i="12"/>
  <c r="V180" i="12"/>
  <c r="V172" i="12"/>
  <c r="V160" i="12"/>
  <c r="V156" i="12"/>
  <c r="V148" i="12"/>
  <c r="V144" i="12"/>
  <c r="V136" i="12"/>
  <c r="V124" i="12"/>
  <c r="V116" i="12"/>
  <c r="V108" i="12"/>
  <c r="V100" i="12"/>
  <c r="V92" i="12"/>
  <c r="V223" i="12"/>
  <c r="V219" i="12"/>
  <c r="V215" i="12"/>
  <c r="V211" i="12"/>
  <c r="V203" i="12"/>
  <c r="V183" i="12"/>
  <c r="V175" i="12"/>
  <c r="V171" i="12"/>
  <c r="V163" i="12"/>
  <c r="V159" i="12"/>
  <c r="V147" i="12"/>
  <c r="V143" i="12"/>
  <c r="V135" i="12"/>
  <c r="V123" i="12"/>
  <c r="V115" i="12"/>
  <c r="V107" i="12"/>
  <c r="V99" i="12"/>
  <c r="V91" i="12"/>
  <c r="V228" i="12"/>
  <c r="V222" i="12"/>
  <c r="V218" i="12"/>
  <c r="V210" i="12"/>
  <c r="V206" i="12"/>
  <c r="V202" i="12"/>
  <c r="V186" i="12"/>
  <c r="V182" i="12"/>
  <c r="V174" i="12"/>
  <c r="V166" i="12"/>
  <c r="V162" i="12"/>
  <c r="V146" i="12"/>
  <c r="V142" i="12"/>
  <c r="V130" i="12"/>
  <c r="V122" i="12"/>
  <c r="V114" i="12"/>
  <c r="V106" i="12"/>
  <c r="V98" i="12"/>
  <c r="V90" i="12"/>
  <c r="V231" i="12"/>
  <c r="V225" i="12"/>
  <c r="V221" i="12"/>
  <c r="V209" i="12"/>
  <c r="V205" i="12"/>
  <c r="V201" i="12"/>
  <c r="V197" i="12"/>
  <c r="V193" i="12"/>
  <c r="V185" i="12"/>
  <c r="V177" i="12"/>
  <c r="V173" i="12"/>
  <c r="V165" i="12"/>
  <c r="V161" i="12"/>
  <c r="V153" i="12"/>
  <c r="V141" i="12"/>
  <c r="V129" i="12"/>
  <c r="V121" i="12"/>
  <c r="V113" i="12"/>
  <c r="V105" i="12"/>
  <c r="V97" i="12"/>
  <c r="V89" i="12"/>
  <c r="V200" i="12"/>
  <c r="V128" i="12"/>
  <c r="V192" i="12"/>
  <c r="V176" i="12"/>
  <c r="V152" i="12"/>
  <c r="V104" i="12"/>
  <c r="V204" i="12"/>
  <c r="V88" i="12"/>
  <c r="V220" i="12"/>
  <c r="V196" i="12"/>
  <c r="V188" i="12"/>
  <c r="V168" i="12"/>
  <c r="V164" i="12"/>
  <c r="V140" i="12"/>
  <c r="V112" i="12"/>
  <c r="V96" i="12"/>
  <c r="V208" i="12"/>
  <c r="V224" i="12"/>
  <c r="V120" i="12"/>
  <c r="D31" i="13"/>
  <c r="L18" i="4"/>
  <c r="D27" i="4"/>
  <c r="V263" i="3"/>
  <c r="V245" i="3"/>
  <c r="V237" i="3"/>
  <c r="V233" i="3"/>
  <c r="V229" i="3"/>
  <c r="V225" i="3"/>
  <c r="V221" i="3"/>
  <c r="V217" i="3"/>
  <c r="V205" i="3"/>
  <c r="V197" i="3"/>
  <c r="V185" i="3"/>
  <c r="V181" i="3"/>
  <c r="V177" i="3"/>
  <c r="V165" i="3"/>
  <c r="V161" i="3"/>
  <c r="V159" i="3"/>
  <c r="V153" i="3"/>
  <c r="V145" i="3"/>
  <c r="V137" i="3"/>
  <c r="V129" i="3"/>
  <c r="V121" i="3"/>
  <c r="V113" i="3"/>
  <c r="V105" i="3"/>
  <c r="V275" i="3"/>
  <c r="V266" i="3"/>
  <c r="V258" i="3"/>
  <c r="V248" i="3"/>
  <c r="V244" i="3"/>
  <c r="V236" i="3"/>
  <c r="V228" i="3"/>
  <c r="V224" i="3"/>
  <c r="V220" i="3"/>
  <c r="V216" i="3"/>
  <c r="V208" i="3"/>
  <c r="V196" i="3"/>
  <c r="V184" i="3"/>
  <c r="V176" i="3"/>
  <c r="V172" i="3"/>
  <c r="V164" i="3"/>
  <c r="T159" i="3"/>
  <c r="V152" i="3"/>
  <c r="V144" i="3"/>
  <c r="V136" i="3"/>
  <c r="V128" i="3"/>
  <c r="V120" i="3"/>
  <c r="V112" i="3"/>
  <c r="V261" i="3"/>
  <c r="V247" i="3"/>
  <c r="V243" i="3"/>
  <c r="V227" i="3"/>
  <c r="V223" i="3"/>
  <c r="V219" i="3"/>
  <c r="V211" i="3"/>
  <c r="V207" i="3"/>
  <c r="V199" i="3"/>
  <c r="V187" i="3"/>
  <c r="V183" i="3"/>
  <c r="V175" i="3"/>
  <c r="V171" i="3"/>
  <c r="V163" i="3"/>
  <c r="V151" i="3"/>
  <c r="V143" i="3"/>
  <c r="V135" i="3"/>
  <c r="V127" i="3"/>
  <c r="V119" i="3"/>
  <c r="V111" i="3"/>
  <c r="V264" i="3"/>
  <c r="V254" i="3"/>
  <c r="V250" i="3"/>
  <c r="V246" i="3"/>
  <c r="V242" i="3"/>
  <c r="V218" i="3"/>
  <c r="V210" i="3"/>
  <c r="V202" i="3"/>
  <c r="V198" i="3"/>
  <c r="V190" i="3"/>
  <c r="V186" i="3"/>
  <c r="V174" i="3"/>
  <c r="V170" i="3"/>
  <c r="V162" i="3"/>
  <c r="V150" i="3"/>
  <c r="V142" i="3"/>
  <c r="V134" i="3"/>
  <c r="V126" i="3"/>
  <c r="V118" i="3"/>
  <c r="V110" i="3"/>
  <c r="V259" i="3"/>
  <c r="V253" i="3"/>
  <c r="V249" i="3"/>
  <c r="V241" i="3"/>
  <c r="V213" i="3"/>
  <c r="V209" i="3"/>
  <c r="V201" i="3"/>
  <c r="V193" i="3"/>
  <c r="V189" i="3"/>
  <c r="V173" i="3"/>
  <c r="V169" i="3"/>
  <c r="V157" i="3"/>
  <c r="V149" i="3"/>
  <c r="V141" i="3"/>
  <c r="V133" i="3"/>
  <c r="V125" i="3"/>
  <c r="V117" i="3"/>
  <c r="V109" i="3"/>
  <c r="V274" i="3"/>
  <c r="V270" i="3"/>
  <c r="V262" i="3"/>
  <c r="V256" i="3"/>
  <c r="V252" i="3"/>
  <c r="V240" i="3"/>
  <c r="V232" i="3"/>
  <c r="V212" i="3"/>
  <c r="V204" i="3"/>
  <c r="V200" i="3"/>
  <c r="V192" i="3"/>
  <c r="V188" i="3"/>
  <c r="V180" i="3"/>
  <c r="V168" i="3"/>
  <c r="V156" i="3"/>
  <c r="V148" i="3"/>
  <c r="V140" i="3"/>
  <c r="V132" i="3"/>
  <c r="V124" i="3"/>
  <c r="V116" i="3"/>
  <c r="V108" i="3"/>
  <c r="V265" i="3"/>
  <c r="V255" i="3"/>
  <c r="V251" i="3"/>
  <c r="V239" i="3"/>
  <c r="V235" i="3"/>
  <c r="V231" i="3"/>
  <c r="V215" i="3"/>
  <c r="V203" i="3"/>
  <c r="V195" i="3"/>
  <c r="V191" i="3"/>
  <c r="V179" i="3"/>
  <c r="V167" i="3"/>
  <c r="V155" i="3"/>
  <c r="V147" i="3"/>
  <c r="V139" i="3"/>
  <c r="V131" i="3"/>
  <c r="V123" i="3"/>
  <c r="V115" i="3"/>
  <c r="V107" i="3"/>
  <c r="V222" i="3"/>
  <c r="V146" i="3"/>
  <c r="V138" i="3"/>
  <c r="V230" i="3"/>
  <c r="V114" i="3"/>
  <c r="V238" i="3"/>
  <c r="V194" i="3"/>
  <c r="V154" i="3"/>
  <c r="V182" i="3"/>
  <c r="V166" i="3"/>
  <c r="V122" i="3"/>
  <c r="V226" i="3"/>
  <c r="V214" i="3"/>
  <c r="V206" i="3"/>
  <c r="V260" i="3"/>
  <c r="V234" i="3"/>
  <c r="V178" i="3"/>
  <c r="V130" i="3"/>
  <c r="V106" i="3"/>
  <c r="N18" i="99"/>
  <c r="H27" i="99"/>
  <c r="H27" i="98"/>
  <c r="N18" i="98"/>
  <c r="T64" i="97"/>
  <c r="L16" i="91"/>
  <c r="D48" i="91"/>
  <c r="T80" i="92"/>
  <c r="H37" i="84"/>
  <c r="N18" i="84"/>
  <c r="P47" i="90"/>
  <c r="T32" i="88"/>
  <c r="Z16" i="88"/>
  <c r="F82" i="85"/>
  <c r="F69" i="85"/>
  <c r="F56" i="85"/>
  <c r="F53" i="85"/>
  <c r="F48" i="85"/>
  <c r="F29" i="85"/>
  <c r="F17" i="85"/>
  <c r="F80" i="85"/>
  <c r="F75" i="85"/>
  <c r="F44" i="85"/>
  <c r="F39" i="85"/>
  <c r="F28" i="85"/>
  <c r="F23" i="85"/>
  <c r="F22" i="85"/>
  <c r="F66" i="85"/>
  <c r="F58" i="85"/>
  <c r="F55" i="85"/>
  <c r="F50" i="85"/>
  <c r="F47" i="85"/>
  <c r="F27" i="85"/>
  <c r="F83" i="85"/>
  <c r="F77" i="85"/>
  <c r="F74" i="85"/>
  <c r="F61" i="85"/>
  <c r="F46" i="85"/>
  <c r="F41" i="85"/>
  <c r="F38" i="85"/>
  <c r="F33" i="85"/>
  <c r="F26" i="85"/>
  <c r="F71" i="85"/>
  <c r="F67" i="85"/>
  <c r="F63" i="85"/>
  <c r="F59" i="85"/>
  <c r="F54" i="85"/>
  <c r="F51" i="85"/>
  <c r="F35" i="85"/>
  <c r="F31" i="85"/>
  <c r="F78" i="85"/>
  <c r="F70" i="85"/>
  <c r="F62" i="85"/>
  <c r="F45" i="85"/>
  <c r="F42" i="85"/>
  <c r="F34" i="85"/>
  <c r="F30" i="85"/>
  <c r="D20" i="85"/>
  <c r="F18" i="85"/>
  <c r="F49" i="85"/>
  <c r="F36" i="85"/>
  <c r="F25" i="85"/>
  <c r="F16" i="85"/>
  <c r="L12" i="85"/>
  <c r="F68" i="85"/>
  <c r="F37" i="85"/>
  <c r="F87" i="85"/>
  <c r="F79" i="85"/>
  <c r="F64" i="85"/>
  <c r="F65" i="85"/>
  <c r="F76" i="85"/>
  <c r="F72" i="85"/>
  <c r="F73" i="85"/>
  <c r="F43" i="85"/>
  <c r="F32" i="85"/>
  <c r="F24" i="85"/>
  <c r="F40" i="85"/>
  <c r="F52" i="85"/>
  <c r="F57" i="85"/>
  <c r="F60" i="85"/>
  <c r="J27" i="75"/>
  <c r="H23" i="75"/>
  <c r="J31" i="75"/>
  <c r="J21" i="75"/>
  <c r="J20" i="75"/>
  <c r="J25" i="75"/>
  <c r="J19" i="75"/>
  <c r="J18" i="75"/>
  <c r="J84" i="76"/>
  <c r="J77" i="76"/>
  <c r="J67" i="76"/>
  <c r="J61" i="76"/>
  <c r="J53" i="76"/>
  <c r="J45" i="76"/>
  <c r="J39" i="76"/>
  <c r="J72" i="76"/>
  <c r="J66" i="76"/>
  <c r="J56" i="76"/>
  <c r="J50" i="76"/>
  <c r="J69" i="76"/>
  <c r="J65" i="76"/>
  <c r="J47" i="76"/>
  <c r="J41" i="76"/>
  <c r="J64" i="76"/>
  <c r="J60" i="76"/>
  <c r="J52" i="76"/>
  <c r="J81" i="76"/>
  <c r="J75" i="76"/>
  <c r="J71" i="76"/>
  <c r="J63" i="76"/>
  <c r="J59" i="76"/>
  <c r="J55" i="76"/>
  <c r="J49" i="76"/>
  <c r="J43" i="76"/>
  <c r="J73" i="76"/>
  <c r="J58" i="76"/>
  <c r="J54" i="76"/>
  <c r="J30" i="76"/>
  <c r="J22" i="76"/>
  <c r="J18" i="76"/>
  <c r="J42" i="76"/>
  <c r="J35" i="76"/>
  <c r="J34" i="76"/>
  <c r="J33" i="76"/>
  <c r="J29" i="76"/>
  <c r="J23" i="76"/>
  <c r="J17" i="76"/>
  <c r="J79" i="76"/>
  <c r="J44" i="76"/>
  <c r="J38" i="76"/>
  <c r="J28" i="76"/>
  <c r="J46" i="76"/>
  <c r="J27" i="76"/>
  <c r="J37" i="76"/>
  <c r="J32" i="76"/>
  <c r="J26" i="76"/>
  <c r="J16" i="76"/>
  <c r="J68" i="76"/>
  <c r="J57" i="76"/>
  <c r="J51" i="76"/>
  <c r="J25" i="76"/>
  <c r="J40" i="76"/>
  <c r="J24" i="76"/>
  <c r="J62" i="76"/>
  <c r="J36" i="76"/>
  <c r="J31" i="76"/>
  <c r="J48" i="76"/>
  <c r="N12" i="76"/>
  <c r="J20" i="76"/>
  <c r="H20" i="76"/>
  <c r="J70" i="76"/>
  <c r="X95" i="71"/>
  <c r="V113" i="66"/>
  <c r="V107" i="66"/>
  <c r="V103" i="66"/>
  <c r="V110" i="66"/>
  <c r="V106" i="66"/>
  <c r="V119" i="66"/>
  <c r="V109" i="66"/>
  <c r="V114" i="66"/>
  <c r="V115" i="66"/>
  <c r="V105" i="66"/>
  <c r="V101" i="66"/>
  <c r="V97" i="66"/>
  <c r="V104" i="66"/>
  <c r="V93" i="66"/>
  <c r="V89" i="66"/>
  <c r="V81" i="66"/>
  <c r="V77" i="66"/>
  <c r="V65" i="66"/>
  <c r="V61" i="66"/>
  <c r="V59" i="66"/>
  <c r="V53" i="66"/>
  <c r="V45" i="66"/>
  <c r="V108" i="66"/>
  <c r="V92" i="66"/>
  <c r="V84" i="66"/>
  <c r="V80" i="66"/>
  <c r="V76" i="66"/>
  <c r="V64" i="66"/>
  <c r="T59" i="66"/>
  <c r="V52" i="66"/>
  <c r="V44" i="66"/>
  <c r="V95" i="66"/>
  <c r="V83" i="66"/>
  <c r="V75" i="66"/>
  <c r="V71" i="66"/>
  <c r="V63" i="66"/>
  <c r="V51" i="66"/>
  <c r="V43" i="66"/>
  <c r="V102" i="66"/>
  <c r="V94" i="66"/>
  <c r="V86" i="66"/>
  <c r="V82" i="66"/>
  <c r="V74" i="66"/>
  <c r="V70" i="66"/>
  <c r="V62" i="66"/>
  <c r="V50" i="66"/>
  <c r="V42" i="66"/>
  <c r="V100" i="66"/>
  <c r="V85" i="66"/>
  <c r="V73" i="66"/>
  <c r="V69" i="66"/>
  <c r="V57" i="66"/>
  <c r="V49" i="66"/>
  <c r="V41" i="66"/>
  <c r="V98" i="66"/>
  <c r="V96" i="66"/>
  <c r="V88" i="66"/>
  <c r="V72" i="66"/>
  <c r="V68" i="66"/>
  <c r="V56" i="66"/>
  <c r="V48" i="66"/>
  <c r="V40" i="66"/>
  <c r="V91" i="66"/>
  <c r="V87" i="66"/>
  <c r="V79" i="66"/>
  <c r="V67" i="66"/>
  <c r="V55" i="66"/>
  <c r="V47" i="66"/>
  <c r="V90" i="66"/>
  <c r="V46" i="66"/>
  <c r="V78" i="66"/>
  <c r="V66" i="66"/>
  <c r="V112" i="66"/>
  <c r="V54" i="66"/>
  <c r="V99" i="66"/>
  <c r="V48" i="65"/>
  <c r="V44" i="65"/>
  <c r="V36" i="65"/>
  <c r="V24" i="65"/>
  <c r="V22" i="65"/>
  <c r="V63" i="65"/>
  <c r="V57" i="65"/>
  <c r="V51" i="65"/>
  <c r="V47" i="65"/>
  <c r="V43" i="65"/>
  <c r="V35" i="65"/>
  <c r="V27" i="65"/>
  <c r="T22" i="65"/>
  <c r="X22" i="65" s="1"/>
  <c r="V50" i="65"/>
  <c r="V46" i="65"/>
  <c r="V38" i="65"/>
  <c r="V30" i="65"/>
  <c r="V26" i="65"/>
  <c r="V53" i="65"/>
  <c r="V49" i="65"/>
  <c r="V37" i="65"/>
  <c r="V29" i="65"/>
  <c r="V25" i="65"/>
  <c r="V52" i="65"/>
  <c r="V40" i="65"/>
  <c r="V32" i="65"/>
  <c r="V28" i="65"/>
  <c r="V20" i="65"/>
  <c r="Z12" i="65"/>
  <c r="V66" i="65"/>
  <c r="V61" i="65"/>
  <c r="V59" i="65"/>
  <c r="V55" i="65"/>
  <c r="V39" i="65"/>
  <c r="V31" i="65"/>
  <c r="V19" i="65"/>
  <c r="V54" i="65"/>
  <c r="V42" i="65"/>
  <c r="V34" i="65"/>
  <c r="V18" i="65"/>
  <c r="V41" i="65"/>
  <c r="V33" i="65"/>
  <c r="V45" i="65"/>
  <c r="F113" i="66"/>
  <c r="F103" i="66"/>
  <c r="F106" i="66"/>
  <c r="F99" i="66"/>
  <c r="F109" i="66"/>
  <c r="F102" i="66"/>
  <c r="F114" i="66"/>
  <c r="F105" i="66"/>
  <c r="F101" i="66"/>
  <c r="F108" i="66"/>
  <c r="F104" i="66"/>
  <c r="F115" i="66"/>
  <c r="F110" i="66"/>
  <c r="F119" i="66"/>
  <c r="F89" i="66"/>
  <c r="F86" i="66"/>
  <c r="F74" i="66"/>
  <c r="F70" i="66"/>
  <c r="F50" i="66"/>
  <c r="F42" i="66"/>
  <c r="F98" i="66"/>
  <c r="F97" i="66"/>
  <c r="F92" i="66"/>
  <c r="F80" i="66"/>
  <c r="F73" i="66"/>
  <c r="F69" i="66"/>
  <c r="D59" i="66"/>
  <c r="F57" i="66"/>
  <c r="F49" i="66"/>
  <c r="F41" i="66"/>
  <c r="F112" i="66"/>
  <c r="F100" i="66"/>
  <c r="F88" i="66"/>
  <c r="F68" i="66"/>
  <c r="F56" i="66"/>
  <c r="F48" i="66"/>
  <c r="F94" i="66"/>
  <c r="F91" i="66"/>
  <c r="F82" i="66"/>
  <c r="F79" i="66"/>
  <c r="F67" i="66"/>
  <c r="F62" i="66"/>
  <c r="F61" i="66"/>
  <c r="F55" i="66"/>
  <c r="F47" i="66"/>
  <c r="F90" i="66"/>
  <c r="F85" i="66"/>
  <c r="F78" i="66"/>
  <c r="F66" i="66"/>
  <c r="F54" i="66"/>
  <c r="F46" i="66"/>
  <c r="F96" i="66"/>
  <c r="F93" i="66"/>
  <c r="F81" i="66"/>
  <c r="F77" i="66"/>
  <c r="F72" i="66"/>
  <c r="F65" i="66"/>
  <c r="F53" i="66"/>
  <c r="F45" i="66"/>
  <c r="F40" i="66"/>
  <c r="F87" i="66"/>
  <c r="F84" i="66"/>
  <c r="F76" i="66"/>
  <c r="F64" i="66"/>
  <c r="F52" i="66"/>
  <c r="F44" i="66"/>
  <c r="L12" i="66"/>
  <c r="F107" i="66"/>
  <c r="F63" i="66"/>
  <c r="F95" i="66"/>
  <c r="F71" i="66"/>
  <c r="F51" i="66"/>
  <c r="F83" i="66"/>
  <c r="F43" i="66"/>
  <c r="F75" i="66"/>
  <c r="P46" i="61"/>
  <c r="X16" i="61"/>
  <c r="X18" i="49"/>
  <c r="P27" i="49"/>
  <c r="H147" i="69"/>
  <c r="D31" i="54"/>
  <c r="H27" i="41"/>
  <c r="N18" i="41"/>
  <c r="T94" i="45"/>
  <c r="X109" i="36"/>
  <c r="Z109" i="36" s="1"/>
  <c r="H27" i="40"/>
  <c r="N18" i="40"/>
  <c r="V23" i="42"/>
  <c r="F110" i="36"/>
  <c r="F97" i="36"/>
  <c r="F106" i="36"/>
  <c r="F95" i="36"/>
  <c r="F86" i="36"/>
  <c r="F105" i="36"/>
  <c r="F112" i="36"/>
  <c r="F107" i="36"/>
  <c r="F104" i="36"/>
  <c r="F99" i="36"/>
  <c r="F77" i="36"/>
  <c r="F73" i="36"/>
  <c r="F68" i="36"/>
  <c r="F65" i="36"/>
  <c r="F60" i="36"/>
  <c r="F57" i="36"/>
  <c r="F45" i="36"/>
  <c r="F33" i="36"/>
  <c r="F80" i="36"/>
  <c r="F76" i="36"/>
  <c r="F51" i="36"/>
  <c r="F48" i="36"/>
  <c r="F44" i="36"/>
  <c r="F39" i="36"/>
  <c r="F32" i="36"/>
  <c r="L12" i="36"/>
  <c r="F116" i="36"/>
  <c r="F102" i="36"/>
  <c r="F90" i="36"/>
  <c r="F75" i="36"/>
  <c r="F70" i="36"/>
  <c r="F67" i="36"/>
  <c r="F62" i="36"/>
  <c r="F59" i="36"/>
  <c r="F43" i="36"/>
  <c r="F31" i="36"/>
  <c r="F22" i="36"/>
  <c r="F103" i="36"/>
  <c r="F92" i="36"/>
  <c r="F91" i="36"/>
  <c r="F53" i="36"/>
  <c r="F50" i="36"/>
  <c r="F42" i="36"/>
  <c r="F38" i="36"/>
  <c r="F30" i="36"/>
  <c r="F94" i="36"/>
  <c r="F93" i="36"/>
  <c r="F89" i="36"/>
  <c r="F88" i="36"/>
  <c r="F87" i="36"/>
  <c r="F84" i="36"/>
  <c r="F83" i="36"/>
  <c r="F82" i="36"/>
  <c r="F72" i="36"/>
  <c r="F69" i="36"/>
  <c r="F64" i="36"/>
  <c r="F61" i="36"/>
  <c r="F56" i="36"/>
  <c r="F41" i="36"/>
  <c r="F37" i="36"/>
  <c r="F109" i="36"/>
  <c r="F100" i="36"/>
  <c r="F85" i="36"/>
  <c r="F79" i="36"/>
  <c r="F52" i="36"/>
  <c r="F47" i="36"/>
  <c r="F40" i="36"/>
  <c r="F36" i="36"/>
  <c r="D26" i="36"/>
  <c r="F26" i="36" s="1"/>
  <c r="F24" i="36"/>
  <c r="F111" i="36"/>
  <c r="F101" i="36"/>
  <c r="F74" i="36"/>
  <c r="F71" i="36"/>
  <c r="F66" i="36"/>
  <c r="F63" i="36"/>
  <c r="F58" i="36"/>
  <c r="F55" i="36"/>
  <c r="F35" i="36"/>
  <c r="F23" i="36"/>
  <c r="F29" i="36"/>
  <c r="F96" i="36"/>
  <c r="F54" i="36"/>
  <c r="F49" i="36"/>
  <c r="F46" i="36"/>
  <c r="F98" i="36"/>
  <c r="F81" i="36"/>
  <c r="F34" i="36"/>
  <c r="F28" i="36"/>
  <c r="F78" i="36"/>
  <c r="X18" i="38"/>
  <c r="P27" i="38"/>
  <c r="P27" i="35"/>
  <c r="X18" i="35"/>
  <c r="F57" i="31"/>
  <c r="F52" i="31"/>
  <c r="F49" i="31"/>
  <c r="F45" i="31"/>
  <c r="F41" i="31"/>
  <c r="F81" i="31"/>
  <c r="F75" i="31"/>
  <c r="F67" i="31"/>
  <c r="F64" i="31"/>
  <c r="F60" i="31"/>
  <c r="F40" i="31"/>
  <c r="F35" i="31"/>
  <c r="F34" i="31"/>
  <c r="F28" i="31"/>
  <c r="L12" i="31"/>
  <c r="F63" i="31"/>
  <c r="F54" i="31"/>
  <c r="F51" i="31"/>
  <c r="F39" i="31"/>
  <c r="F77" i="31"/>
  <c r="F74" i="31"/>
  <c r="F69" i="31"/>
  <c r="F66" i="31"/>
  <c r="F62" i="31"/>
  <c r="F38" i="31"/>
  <c r="F82" i="31"/>
  <c r="F73" i="31"/>
  <c r="F56" i="31"/>
  <c r="F53" i="31"/>
  <c r="F48" i="31"/>
  <c r="F44" i="31"/>
  <c r="F37" i="31"/>
  <c r="F86" i="31"/>
  <c r="F76" i="31"/>
  <c r="F72" i="31"/>
  <c r="F68" i="31"/>
  <c r="F80" i="31"/>
  <c r="F71" i="31"/>
  <c r="F55" i="31"/>
  <c r="F50" i="31"/>
  <c r="F47" i="31"/>
  <c r="F43" i="31"/>
  <c r="F32" i="31"/>
  <c r="F59" i="31"/>
  <c r="F36" i="31"/>
  <c r="D32" i="31"/>
  <c r="F61" i="31"/>
  <c r="F70" i="31"/>
  <c r="F65" i="31"/>
  <c r="F42" i="31"/>
  <c r="F29" i="31"/>
  <c r="F27" i="31"/>
  <c r="F30" i="31"/>
  <c r="F58" i="31"/>
  <c r="F46" i="31"/>
  <c r="F78" i="31"/>
  <c r="H27" i="24"/>
  <c r="N18" i="24"/>
  <c r="T27" i="22"/>
  <c r="Z18" i="22"/>
  <c r="J64" i="31"/>
  <c r="J60" i="31"/>
  <c r="J54" i="31"/>
  <c r="J40" i="31"/>
  <c r="J77" i="31"/>
  <c r="J69" i="31"/>
  <c r="J63" i="31"/>
  <c r="J51" i="31"/>
  <c r="J39" i="31"/>
  <c r="J82" i="31"/>
  <c r="J74" i="31"/>
  <c r="J66" i="31"/>
  <c r="J62" i="31"/>
  <c r="J56" i="31"/>
  <c r="J48" i="31"/>
  <c r="J44" i="31"/>
  <c r="J38" i="31"/>
  <c r="J73" i="31"/>
  <c r="J59" i="31"/>
  <c r="J53" i="31"/>
  <c r="J37" i="31"/>
  <c r="J27" i="31"/>
  <c r="J86" i="31"/>
  <c r="J80" i="31"/>
  <c r="J76" i="31"/>
  <c r="J72" i="31"/>
  <c r="J68" i="31"/>
  <c r="J50" i="31"/>
  <c r="J36" i="31"/>
  <c r="J32" i="31"/>
  <c r="J71" i="31"/>
  <c r="J65" i="31"/>
  <c r="J61" i="31"/>
  <c r="J78" i="31"/>
  <c r="J70" i="31"/>
  <c r="J58" i="31"/>
  <c r="J52" i="31"/>
  <c r="J46" i="31"/>
  <c r="J42" i="31"/>
  <c r="J34" i="31"/>
  <c r="J30" i="31"/>
  <c r="J75" i="31"/>
  <c r="J47" i="31"/>
  <c r="J41" i="31"/>
  <c r="N12" i="31"/>
  <c r="J57" i="31"/>
  <c r="J45" i="31"/>
  <c r="J29" i="31"/>
  <c r="J28" i="31"/>
  <c r="J81" i="31"/>
  <c r="J49" i="31"/>
  <c r="J67" i="31"/>
  <c r="J55" i="31"/>
  <c r="J43" i="31"/>
  <c r="J35" i="31"/>
  <c r="H32" i="31"/>
  <c r="F109" i="25"/>
  <c r="F102" i="25"/>
  <c r="F98" i="25"/>
  <c r="F89" i="25"/>
  <c r="F86" i="25"/>
  <c r="F74" i="25"/>
  <c r="F70" i="25"/>
  <c r="F50" i="25"/>
  <c r="F42" i="25"/>
  <c r="F114" i="25"/>
  <c r="F105" i="25"/>
  <c r="F101" i="25"/>
  <c r="F97" i="25"/>
  <c r="F92" i="25"/>
  <c r="F80" i="25"/>
  <c r="F73" i="25"/>
  <c r="F69" i="25"/>
  <c r="D59" i="25"/>
  <c r="F59" i="25" s="1"/>
  <c r="F57" i="25"/>
  <c r="F49" i="25"/>
  <c r="F41" i="25"/>
  <c r="F108" i="25"/>
  <c r="F104" i="25"/>
  <c r="F88" i="25"/>
  <c r="F68" i="25"/>
  <c r="F56" i="25"/>
  <c r="F48" i="25"/>
  <c r="F112" i="25"/>
  <c r="F107" i="25"/>
  <c r="F94" i="25"/>
  <c r="F91" i="25"/>
  <c r="F82" i="25"/>
  <c r="F79" i="25"/>
  <c r="F67" i="25"/>
  <c r="F62" i="25"/>
  <c r="F61" i="25"/>
  <c r="F55" i="25"/>
  <c r="F47" i="25"/>
  <c r="F115" i="25"/>
  <c r="F110" i="25"/>
  <c r="F90" i="25"/>
  <c r="F85" i="25"/>
  <c r="F78" i="25"/>
  <c r="F66" i="25"/>
  <c r="F54" i="25"/>
  <c r="F46" i="25"/>
  <c r="F119" i="25"/>
  <c r="F100" i="25"/>
  <c r="F96" i="25"/>
  <c r="F93" i="25"/>
  <c r="F81" i="25"/>
  <c r="F77" i="25"/>
  <c r="F72" i="25"/>
  <c r="F65" i="25"/>
  <c r="F53" i="25"/>
  <c r="F45" i="25"/>
  <c r="F40" i="25"/>
  <c r="F113" i="25"/>
  <c r="F103" i="25"/>
  <c r="F87" i="25"/>
  <c r="F84" i="25"/>
  <c r="F76" i="25"/>
  <c r="F64" i="25"/>
  <c r="F52" i="25"/>
  <c r="F44" i="25"/>
  <c r="L12" i="25"/>
  <c r="F99" i="25"/>
  <c r="F83" i="25"/>
  <c r="F75" i="25"/>
  <c r="F51" i="25"/>
  <c r="F95" i="25"/>
  <c r="F71" i="25"/>
  <c r="F43" i="25"/>
  <c r="F63" i="25"/>
  <c r="F106" i="25"/>
  <c r="T27" i="11"/>
  <c r="Z18" i="11"/>
  <c r="V244" i="18"/>
  <c r="V238" i="18"/>
  <c r="V234" i="18"/>
  <c r="V222" i="18"/>
  <c r="V218" i="18"/>
  <c r="V214" i="18"/>
  <c r="V210" i="18"/>
  <c r="V206" i="18"/>
  <c r="V202" i="18"/>
  <c r="V190" i="18"/>
  <c r="V182" i="18"/>
  <c r="V178" i="18"/>
  <c r="V162" i="18"/>
  <c r="V158" i="18"/>
  <c r="V146" i="18"/>
  <c r="V138" i="18"/>
  <c r="V130" i="18"/>
  <c r="V122" i="18"/>
  <c r="V114" i="18"/>
  <c r="V106" i="18"/>
  <c r="V98" i="18"/>
  <c r="V237" i="18"/>
  <c r="V233" i="18"/>
  <c r="V221" i="18"/>
  <c r="V217" i="18"/>
  <c r="V213" i="18"/>
  <c r="V209" i="18"/>
  <c r="V205" i="18"/>
  <c r="V201" i="18"/>
  <c r="V193" i="18"/>
  <c r="V189" i="18"/>
  <c r="V181" i="18"/>
  <c r="V177" i="18"/>
  <c r="V169" i="18"/>
  <c r="V157" i="18"/>
  <c r="V145" i="18"/>
  <c r="V137" i="18"/>
  <c r="V129" i="18"/>
  <c r="V121" i="18"/>
  <c r="V113" i="18"/>
  <c r="V105" i="18"/>
  <c r="V97" i="18"/>
  <c r="V250" i="18"/>
  <c r="V242" i="18"/>
  <c r="V220" i="18"/>
  <c r="V212" i="18"/>
  <c r="V208" i="18"/>
  <c r="V204" i="18"/>
  <c r="V192" i="18"/>
  <c r="V184" i="18"/>
  <c r="V180" i="18"/>
  <c r="V168" i="18"/>
  <c r="V156" i="18"/>
  <c r="V144" i="18"/>
  <c r="V136" i="18"/>
  <c r="V128" i="18"/>
  <c r="V120" i="18"/>
  <c r="V112" i="18"/>
  <c r="V104" i="18"/>
  <c r="V96" i="18"/>
  <c r="V245" i="18"/>
  <c r="V227" i="18"/>
  <c r="V203" i="18"/>
  <c r="V195" i="18"/>
  <c r="V183" i="18"/>
  <c r="V171" i="18"/>
  <c r="V167" i="18"/>
  <c r="V155" i="18"/>
  <c r="V143" i="18"/>
  <c r="V135" i="18"/>
  <c r="V127" i="18"/>
  <c r="V119" i="18"/>
  <c r="V111" i="18"/>
  <c r="V103" i="18"/>
  <c r="V240" i="18"/>
  <c r="V230" i="18"/>
  <c r="V226" i="18"/>
  <c r="V198" i="18"/>
  <c r="V194" i="18"/>
  <c r="V186" i="18"/>
  <c r="V174" i="18"/>
  <c r="V170" i="18"/>
  <c r="V166" i="18"/>
  <c r="V154" i="18"/>
  <c r="V150" i="18"/>
  <c r="V142" i="18"/>
  <c r="V134" i="18"/>
  <c r="V126" i="18"/>
  <c r="V118" i="18"/>
  <c r="V110" i="18"/>
  <c r="V102" i="18"/>
  <c r="V243" i="18"/>
  <c r="V229" i="18"/>
  <c r="V225" i="18"/>
  <c r="V197" i="18"/>
  <c r="V185" i="18"/>
  <c r="V173" i="18"/>
  <c r="V165" i="18"/>
  <c r="V161" i="18"/>
  <c r="V153" i="18"/>
  <c r="T148" i="18"/>
  <c r="V141" i="18"/>
  <c r="V133" i="18"/>
  <c r="V125" i="18"/>
  <c r="V117" i="18"/>
  <c r="V109" i="18"/>
  <c r="V101" i="18"/>
  <c r="V246" i="18"/>
  <c r="V236" i="18"/>
  <c r="V232" i="18"/>
  <c r="V228" i="18"/>
  <c r="V224" i="18"/>
  <c r="V216" i="18"/>
  <c r="V200" i="18"/>
  <c r="V196" i="18"/>
  <c r="V188" i="18"/>
  <c r="V176" i="18"/>
  <c r="V172" i="18"/>
  <c r="V164" i="18"/>
  <c r="V160" i="18"/>
  <c r="V152" i="18"/>
  <c r="V140" i="18"/>
  <c r="V132" i="18"/>
  <c r="V124" i="18"/>
  <c r="V116" i="18"/>
  <c r="V108" i="18"/>
  <c r="V100" i="18"/>
  <c r="Z12" i="18"/>
  <c r="V231" i="18"/>
  <c r="V199" i="18"/>
  <c r="V99" i="18"/>
  <c r="V215" i="18"/>
  <c r="V179" i="18"/>
  <c r="V123" i="18"/>
  <c r="V241" i="18"/>
  <c r="V223" i="18"/>
  <c r="V207" i="18"/>
  <c r="V175" i="18"/>
  <c r="V107" i="18"/>
  <c r="V163" i="18"/>
  <c r="V131" i="18"/>
  <c r="V235" i="18"/>
  <c r="V211" i="18"/>
  <c r="V151" i="18"/>
  <c r="V115" i="18"/>
  <c r="V219" i="18"/>
  <c r="V191" i="18"/>
  <c r="V159" i="18"/>
  <c r="V187" i="18"/>
  <c r="V139" i="18"/>
  <c r="T117" i="25"/>
  <c r="X18" i="8"/>
  <c r="P27" i="8"/>
  <c r="H27" i="5"/>
  <c r="N18" i="5"/>
  <c r="T27" i="14"/>
  <c r="Z18" i="14"/>
  <c r="L16" i="96"/>
  <c r="D24" i="96"/>
  <c r="T30" i="93"/>
  <c r="Z18" i="93"/>
  <c r="J87" i="92"/>
  <c r="J80" i="92"/>
  <c r="J74" i="92"/>
  <c r="J54" i="92"/>
  <c r="J46" i="92"/>
  <c r="J30" i="92"/>
  <c r="J24" i="92"/>
  <c r="J18" i="92"/>
  <c r="J73" i="92"/>
  <c r="J59" i="92"/>
  <c r="J51" i="92"/>
  <c r="J43" i="92"/>
  <c r="J29" i="92"/>
  <c r="J72" i="92"/>
  <c r="J66" i="92"/>
  <c r="J62" i="92"/>
  <c r="J56" i="92"/>
  <c r="J48" i="92"/>
  <c r="J40" i="92"/>
  <c r="J34" i="92"/>
  <c r="J28" i="92"/>
  <c r="J78" i="92"/>
  <c r="J71" i="92"/>
  <c r="J53" i="92"/>
  <c r="J45" i="92"/>
  <c r="J39" i="92"/>
  <c r="J27" i="92"/>
  <c r="J17" i="92"/>
  <c r="J68" i="92"/>
  <c r="J64" i="92"/>
  <c r="J60" i="92"/>
  <c r="J52" i="92"/>
  <c r="J44" i="92"/>
  <c r="J36" i="92"/>
  <c r="J32" i="92"/>
  <c r="H21" i="92"/>
  <c r="N12" i="92"/>
  <c r="J67" i="92"/>
  <c r="J63" i="92"/>
  <c r="J57" i="92"/>
  <c r="J49" i="92"/>
  <c r="J41" i="92"/>
  <c r="J35" i="92"/>
  <c r="J31" i="92"/>
  <c r="J23" i="92"/>
  <c r="J19" i="92"/>
  <c r="J82" i="92"/>
  <c r="J37" i="92"/>
  <c r="J21" i="92"/>
  <c r="J69" i="92"/>
  <c r="J55" i="92"/>
  <c r="J42" i="92"/>
  <c r="J38" i="92"/>
  <c r="J70" i="92"/>
  <c r="J50" i="92"/>
  <c r="J75" i="92"/>
  <c r="J61" i="92"/>
  <c r="J65" i="92"/>
  <c r="J47" i="92"/>
  <c r="J26" i="92"/>
  <c r="J84" i="92"/>
  <c r="J76" i="92"/>
  <c r="J58" i="92"/>
  <c r="J33" i="92"/>
  <c r="J25" i="92"/>
  <c r="H34" i="89"/>
  <c r="D27" i="87"/>
  <c r="D30" i="78"/>
  <c r="R32" i="78"/>
  <c r="R26" i="78"/>
  <c r="R23" i="78"/>
  <c r="R18" i="78"/>
  <c r="R17" i="78"/>
  <c r="R25" i="78"/>
  <c r="R16" i="78"/>
  <c r="R28" i="78"/>
  <c r="X12" i="78"/>
  <c r="Z12" i="78" s="1"/>
  <c r="P20" i="78"/>
  <c r="R22" i="78"/>
  <c r="R24" i="78"/>
  <c r="H77" i="73"/>
  <c r="N23" i="73"/>
  <c r="V82" i="71"/>
  <c r="V70" i="71"/>
  <c r="V66" i="71"/>
  <c r="V62" i="71"/>
  <c r="V54" i="71"/>
  <c r="V42" i="71"/>
  <c r="V95" i="71"/>
  <c r="V89" i="71"/>
  <c r="V81" i="71"/>
  <c r="V73" i="71"/>
  <c r="V65" i="71"/>
  <c r="V61" i="71"/>
  <c r="V49" i="71"/>
  <c r="V41" i="71"/>
  <c r="V98" i="71"/>
  <c r="V88" i="71"/>
  <c r="V84" i="71"/>
  <c r="V72" i="71"/>
  <c r="V64" i="71"/>
  <c r="V60" i="71"/>
  <c r="V48" i="71"/>
  <c r="V40" i="71"/>
  <c r="V91" i="71"/>
  <c r="V87" i="71"/>
  <c r="V83" i="71"/>
  <c r="V75" i="71"/>
  <c r="V59" i="71"/>
  <c r="V47" i="71"/>
  <c r="V39" i="71"/>
  <c r="V96" i="71"/>
  <c r="V90" i="71"/>
  <c r="V86" i="71"/>
  <c r="V78" i="71"/>
  <c r="V74" i="71"/>
  <c r="V58" i="71"/>
  <c r="V46" i="71"/>
  <c r="V38" i="71"/>
  <c r="V93" i="71"/>
  <c r="V85" i="71"/>
  <c r="V77" i="71"/>
  <c r="V69" i="71"/>
  <c r="V57" i="71"/>
  <c r="V53" i="71"/>
  <c r="V51" i="71"/>
  <c r="V45" i="71"/>
  <c r="V37" i="71"/>
  <c r="V102" i="71"/>
  <c r="V92" i="71"/>
  <c r="V80" i="71"/>
  <c r="V76" i="71"/>
  <c r="V68" i="71"/>
  <c r="V56" i="71"/>
  <c r="T51" i="71"/>
  <c r="V44" i="71"/>
  <c r="V36" i="71"/>
  <c r="V71" i="71"/>
  <c r="V63" i="71"/>
  <c r="V97" i="71"/>
  <c r="V79" i="71"/>
  <c r="V67" i="71"/>
  <c r="V55" i="71"/>
  <c r="V43" i="71"/>
  <c r="V35" i="71"/>
  <c r="F149" i="69"/>
  <c r="F140" i="69"/>
  <c r="F137" i="69"/>
  <c r="F133" i="69"/>
  <c r="F129" i="69"/>
  <c r="F125" i="69"/>
  <c r="F116" i="69"/>
  <c r="F113" i="69"/>
  <c r="F104" i="69"/>
  <c r="F101" i="69"/>
  <c r="F89" i="69"/>
  <c r="F77" i="69"/>
  <c r="F69" i="69"/>
  <c r="F61" i="69"/>
  <c r="F56" i="69"/>
  <c r="F145" i="69"/>
  <c r="F132" i="69"/>
  <c r="F128" i="69"/>
  <c r="F119" i="69"/>
  <c r="F112" i="69"/>
  <c r="F107" i="69"/>
  <c r="F100" i="69"/>
  <c r="F95" i="69"/>
  <c r="F88" i="69"/>
  <c r="F76" i="69"/>
  <c r="F68" i="69"/>
  <c r="F60" i="69"/>
  <c r="L12" i="69"/>
  <c r="N12" i="69" s="1"/>
  <c r="F139" i="69"/>
  <c r="F131" i="69"/>
  <c r="F115" i="69"/>
  <c r="F103" i="69"/>
  <c r="F99" i="69"/>
  <c r="F87" i="69"/>
  <c r="F75" i="69"/>
  <c r="F67" i="69"/>
  <c r="F59" i="69"/>
  <c r="F143" i="69"/>
  <c r="F121" i="69"/>
  <c r="F118" i="69"/>
  <c r="F109" i="69"/>
  <c r="F106" i="69"/>
  <c r="F98" i="69"/>
  <c r="F94" i="69"/>
  <c r="F74" i="69"/>
  <c r="F66" i="69"/>
  <c r="F58" i="69"/>
  <c r="F141" i="69"/>
  <c r="F136" i="69"/>
  <c r="F124" i="69"/>
  <c r="F117" i="69"/>
  <c r="F105" i="69"/>
  <c r="F97" i="69"/>
  <c r="F93" i="69"/>
  <c r="D83" i="69"/>
  <c r="F83" i="69" s="1"/>
  <c r="F81" i="69"/>
  <c r="F73" i="69"/>
  <c r="F65" i="69"/>
  <c r="F57" i="69"/>
  <c r="F127" i="69"/>
  <c r="F120" i="69"/>
  <c r="F111" i="69"/>
  <c r="F108" i="69"/>
  <c r="F96" i="69"/>
  <c r="F92" i="69"/>
  <c r="F80" i="69"/>
  <c r="F72" i="69"/>
  <c r="F64" i="69"/>
  <c r="F144" i="69"/>
  <c r="F138" i="69"/>
  <c r="F135" i="69"/>
  <c r="F130" i="69"/>
  <c r="F123" i="69"/>
  <c r="F114" i="69"/>
  <c r="F102" i="69"/>
  <c r="F91" i="69"/>
  <c r="F86" i="69"/>
  <c r="F85" i="69"/>
  <c r="F79" i="69"/>
  <c r="F71" i="69"/>
  <c r="F63" i="69"/>
  <c r="F110" i="69"/>
  <c r="F134" i="69"/>
  <c r="F62" i="69"/>
  <c r="F122" i="69"/>
  <c r="F70" i="69"/>
  <c r="F126" i="69"/>
  <c r="F78" i="69"/>
  <c r="F90" i="69"/>
  <c r="R31" i="67"/>
  <c r="R24" i="67"/>
  <c r="R19" i="67"/>
  <c r="R42" i="67"/>
  <c r="R39" i="67"/>
  <c r="R34" i="67"/>
  <c r="R30" i="67"/>
  <c r="R54" i="67"/>
  <c r="R48" i="67"/>
  <c r="R29" i="67"/>
  <c r="R18" i="67"/>
  <c r="R44" i="67"/>
  <c r="R41" i="67"/>
  <c r="R36" i="67"/>
  <c r="R33" i="67"/>
  <c r="R28" i="67"/>
  <c r="R27" i="67"/>
  <c r="R52" i="67"/>
  <c r="R46" i="67"/>
  <c r="R43" i="67"/>
  <c r="R38" i="67"/>
  <c r="R35" i="67"/>
  <c r="R57" i="67"/>
  <c r="R50" i="67"/>
  <c r="R25" i="67"/>
  <c r="R23" i="67"/>
  <c r="P21" i="67"/>
  <c r="R37" i="67"/>
  <c r="R21" i="67"/>
  <c r="R32" i="67"/>
  <c r="X12" i="67"/>
  <c r="R26" i="67"/>
  <c r="R45" i="67"/>
  <c r="R40" i="67"/>
  <c r="N16" i="57"/>
  <c r="H62" i="57"/>
  <c r="R22" i="65"/>
  <c r="D46" i="61"/>
  <c r="L16" i="61"/>
  <c r="D60" i="59"/>
  <c r="L56" i="59"/>
  <c r="P60" i="59"/>
  <c r="F17" i="48"/>
  <c r="D64" i="48"/>
  <c r="P69" i="58"/>
  <c r="X16" i="58"/>
  <c r="X18" i="52"/>
  <c r="P27" i="52"/>
  <c r="D74" i="56"/>
  <c r="N16" i="55"/>
  <c r="H30" i="55"/>
  <c r="N18" i="43"/>
  <c r="H27" i="43"/>
  <c r="T27" i="43"/>
  <c r="Z18" i="43"/>
  <c r="X27" i="44"/>
  <c r="P31" i="44"/>
  <c r="T31" i="37"/>
  <c r="Z27" i="37"/>
  <c r="H31" i="37"/>
  <c r="N27" i="37"/>
  <c r="R82" i="45"/>
  <c r="R75" i="45"/>
  <c r="R42" i="45"/>
  <c r="R30" i="45"/>
  <c r="R19" i="45"/>
  <c r="R92" i="45"/>
  <c r="R85" i="45"/>
  <c r="R81" i="45"/>
  <c r="R61" i="45"/>
  <c r="R58" i="45"/>
  <c r="R53" i="45"/>
  <c r="R50" i="45"/>
  <c r="R45" i="45"/>
  <c r="R41" i="45"/>
  <c r="R29" i="45"/>
  <c r="R80" i="45"/>
  <c r="R72" i="45"/>
  <c r="R40" i="45"/>
  <c r="R28" i="45"/>
  <c r="R87" i="45"/>
  <c r="R84" i="45"/>
  <c r="R79" i="45"/>
  <c r="R71" i="45"/>
  <c r="R67" i="45"/>
  <c r="R63" i="45"/>
  <c r="R60" i="45"/>
  <c r="R55" i="45"/>
  <c r="R52" i="45"/>
  <c r="R47" i="45"/>
  <c r="R44" i="45"/>
  <c r="R39" i="45"/>
  <c r="R35" i="45"/>
  <c r="R27" i="45"/>
  <c r="R25" i="45"/>
  <c r="P23" i="45"/>
  <c r="R96" i="45"/>
  <c r="R90" i="45"/>
  <c r="R78" i="45"/>
  <c r="R74" i="45"/>
  <c r="R70" i="45"/>
  <c r="R66" i="45"/>
  <c r="R38" i="45"/>
  <c r="R34" i="45"/>
  <c r="R89" i="45"/>
  <c r="R86" i="45"/>
  <c r="R76" i="45"/>
  <c r="R73" i="45"/>
  <c r="R77" i="45"/>
  <c r="R64" i="45"/>
  <c r="R54" i="45"/>
  <c r="R31" i="45"/>
  <c r="R83" i="45"/>
  <c r="R68" i="45"/>
  <c r="R43" i="45"/>
  <c r="R36" i="45"/>
  <c r="R56" i="45"/>
  <c r="R49" i="45"/>
  <c r="R32" i="45"/>
  <c r="R65" i="45"/>
  <c r="R62" i="45"/>
  <c r="R46" i="45"/>
  <c r="R37" i="45"/>
  <c r="R33" i="45"/>
  <c r="R26" i="45"/>
  <c r="R88" i="45"/>
  <c r="R69" i="45"/>
  <c r="R51" i="45"/>
  <c r="R57" i="45"/>
  <c r="R21" i="45"/>
  <c r="R20" i="45"/>
  <c r="X12" i="45"/>
  <c r="Z12" i="45" s="1"/>
  <c r="R59" i="45"/>
  <c r="R48" i="45"/>
  <c r="T27" i="27"/>
  <c r="Z18" i="27"/>
  <c r="F152" i="34"/>
  <c r="F147" i="34"/>
  <c r="F139" i="34"/>
  <c r="F123" i="34"/>
  <c r="F120" i="34"/>
  <c r="F111" i="34"/>
  <c r="F108" i="34"/>
  <c r="F100" i="34"/>
  <c r="F96" i="34"/>
  <c r="D86" i="34"/>
  <c r="F84" i="34"/>
  <c r="F76" i="34"/>
  <c r="F68" i="34"/>
  <c r="F60" i="34"/>
  <c r="L12" i="34"/>
  <c r="F164" i="34"/>
  <c r="F158" i="34"/>
  <c r="F155" i="34"/>
  <c r="F151" i="34"/>
  <c r="F143" i="34"/>
  <c r="F135" i="34"/>
  <c r="F131" i="34"/>
  <c r="F119" i="34"/>
  <c r="F114" i="34"/>
  <c r="F99" i="34"/>
  <c r="F95" i="34"/>
  <c r="F83" i="34"/>
  <c r="F75" i="34"/>
  <c r="F67" i="34"/>
  <c r="F59" i="34"/>
  <c r="F150" i="34"/>
  <c r="F146" i="34"/>
  <c r="F142" i="34"/>
  <c r="F138" i="34"/>
  <c r="F134" i="34"/>
  <c r="F125" i="34"/>
  <c r="F122" i="34"/>
  <c r="F110" i="34"/>
  <c r="F105" i="34"/>
  <c r="F94" i="34"/>
  <c r="F89" i="34"/>
  <c r="F88" i="34"/>
  <c r="F82" i="34"/>
  <c r="F74" i="34"/>
  <c r="F66" i="34"/>
  <c r="F160" i="34"/>
  <c r="F157" i="34"/>
  <c r="F149" i="34"/>
  <c r="F145" i="34"/>
  <c r="F141" i="34"/>
  <c r="F137" i="34"/>
  <c r="F133" i="34"/>
  <c r="F128" i="34"/>
  <c r="F116" i="34"/>
  <c r="F113" i="34"/>
  <c r="F93" i="34"/>
  <c r="F81" i="34"/>
  <c r="F73" i="34"/>
  <c r="F65" i="34"/>
  <c r="F165" i="34"/>
  <c r="F148" i="34"/>
  <c r="F140" i="34"/>
  <c r="F124" i="34"/>
  <c r="F112" i="34"/>
  <c r="F107" i="34"/>
  <c r="F104" i="34"/>
  <c r="F92" i="34"/>
  <c r="F80" i="34"/>
  <c r="F72" i="34"/>
  <c r="F64" i="34"/>
  <c r="F169" i="34"/>
  <c r="F159" i="34"/>
  <c r="F154" i="34"/>
  <c r="F130" i="34"/>
  <c r="F127" i="34"/>
  <c r="F118" i="34"/>
  <c r="F115" i="34"/>
  <c r="F103" i="34"/>
  <c r="F98" i="34"/>
  <c r="F91" i="34"/>
  <c r="F79" i="34"/>
  <c r="F71" i="34"/>
  <c r="F63" i="34"/>
  <c r="F58" i="34"/>
  <c r="F163" i="34"/>
  <c r="F126" i="34"/>
  <c r="F121" i="34"/>
  <c r="F109" i="34"/>
  <c r="F106" i="34"/>
  <c r="F102" i="34"/>
  <c r="F90" i="34"/>
  <c r="F78" i="34"/>
  <c r="F70" i="34"/>
  <c r="F62" i="34"/>
  <c r="F132" i="34"/>
  <c r="F129" i="34"/>
  <c r="F86" i="34"/>
  <c r="F144" i="34"/>
  <c r="F156" i="34"/>
  <c r="F153" i="34"/>
  <c r="F61" i="34"/>
  <c r="F97" i="34"/>
  <c r="F136" i="34"/>
  <c r="F161" i="34"/>
  <c r="F77" i="34"/>
  <c r="F69" i="34"/>
  <c r="F117" i="34"/>
  <c r="F101" i="34"/>
  <c r="N27" i="32"/>
  <c r="H31" i="32"/>
  <c r="X18" i="29"/>
  <c r="P27" i="29"/>
  <c r="H27" i="17"/>
  <c r="N18" i="17"/>
  <c r="L112" i="25"/>
  <c r="N112" i="25" s="1"/>
  <c r="F166" i="28"/>
  <c r="F156" i="28"/>
  <c r="F151" i="28"/>
  <c r="F124" i="28"/>
  <c r="F119" i="28"/>
  <c r="F107" i="28"/>
  <c r="F104" i="28"/>
  <c r="F100" i="28"/>
  <c r="F88" i="28"/>
  <c r="F76" i="28"/>
  <c r="F68" i="28"/>
  <c r="F60" i="28"/>
  <c r="L12" i="28"/>
  <c r="N12" i="28" s="1"/>
  <c r="F160" i="28"/>
  <c r="F134" i="28"/>
  <c r="F130" i="28"/>
  <c r="F127" i="28"/>
  <c r="F115" i="28"/>
  <c r="F99" i="28"/>
  <c r="F95" i="28"/>
  <c r="F84" i="28"/>
  <c r="F75" i="28"/>
  <c r="F67" i="28"/>
  <c r="F59" i="28"/>
  <c r="F158" i="28"/>
  <c r="F153" i="28"/>
  <c r="F150" i="28"/>
  <c r="F141" i="28"/>
  <c r="F137" i="28"/>
  <c r="F121" i="28"/>
  <c r="F118" i="28"/>
  <c r="F109" i="28"/>
  <c r="F106" i="28"/>
  <c r="F98" i="28"/>
  <c r="F94" i="28"/>
  <c r="D84" i="28"/>
  <c r="F82" i="28"/>
  <c r="F74" i="28"/>
  <c r="F66" i="28"/>
  <c r="F58" i="28"/>
  <c r="F149" i="28"/>
  <c r="F144" i="28"/>
  <c r="F133" i="28"/>
  <c r="F129" i="28"/>
  <c r="F117" i="28"/>
  <c r="F112" i="28"/>
  <c r="F97" i="28"/>
  <c r="F93" i="28"/>
  <c r="F81" i="28"/>
  <c r="F73" i="28"/>
  <c r="F65" i="28"/>
  <c r="F57" i="28"/>
  <c r="F161" i="28"/>
  <c r="F155" i="28"/>
  <c r="F152" i="28"/>
  <c r="F148" i="28"/>
  <c r="F140" i="28"/>
  <c r="F136" i="28"/>
  <c r="F132" i="28"/>
  <c r="F123" i="28"/>
  <c r="F120" i="28"/>
  <c r="F108" i="28"/>
  <c r="F103" i="28"/>
  <c r="F92" i="28"/>
  <c r="F87" i="28"/>
  <c r="F86" i="28"/>
  <c r="F80" i="28"/>
  <c r="F72" i="28"/>
  <c r="F64" i="28"/>
  <c r="F147" i="28"/>
  <c r="F143" i="28"/>
  <c r="F139" i="28"/>
  <c r="F135" i="28"/>
  <c r="F131" i="28"/>
  <c r="F126" i="28"/>
  <c r="F114" i="28"/>
  <c r="F111" i="28"/>
  <c r="F91" i="28"/>
  <c r="F79" i="28"/>
  <c r="F71" i="28"/>
  <c r="F63" i="28"/>
  <c r="F157" i="28"/>
  <c r="F154" i="28"/>
  <c r="F146" i="28"/>
  <c r="F142" i="28"/>
  <c r="F138" i="28"/>
  <c r="F122" i="28"/>
  <c r="F110" i="28"/>
  <c r="F105" i="28"/>
  <c r="F102" i="28"/>
  <c r="F90" i="28"/>
  <c r="F78" i="28"/>
  <c r="F70" i="28"/>
  <c r="F62" i="28"/>
  <c r="F113" i="28"/>
  <c r="F101" i="28"/>
  <c r="F96" i="28"/>
  <c r="F128" i="28"/>
  <c r="F69" i="28"/>
  <c r="F145" i="28"/>
  <c r="F125" i="28"/>
  <c r="F116" i="28"/>
  <c r="F89" i="28"/>
  <c r="F77" i="28"/>
  <c r="F56" i="28"/>
  <c r="F61" i="28"/>
  <c r="F162" i="28"/>
  <c r="L217" i="15"/>
  <c r="N217" i="15" s="1"/>
  <c r="L18" i="11"/>
  <c r="D27" i="11"/>
  <c r="N27" i="23"/>
  <c r="V59" i="25"/>
  <c r="R79" i="21"/>
  <c r="R66" i="21"/>
  <c r="R63" i="21"/>
  <c r="R58" i="21"/>
  <c r="R43" i="21"/>
  <c r="R38" i="21"/>
  <c r="R26" i="21"/>
  <c r="R90" i="21"/>
  <c r="R85" i="21"/>
  <c r="R74" i="21"/>
  <c r="R57" i="21"/>
  <c r="R54" i="21"/>
  <c r="R49" i="21"/>
  <c r="R37" i="21"/>
  <c r="R84" i="21"/>
  <c r="R68" i="21"/>
  <c r="R65" i="21"/>
  <c r="R60" i="21"/>
  <c r="R48" i="21"/>
  <c r="R36" i="21"/>
  <c r="R25" i="21"/>
  <c r="R87" i="21"/>
  <c r="R83" i="21"/>
  <c r="R71" i="21"/>
  <c r="R56" i="21"/>
  <c r="R51" i="21"/>
  <c r="R47" i="21"/>
  <c r="R35" i="21"/>
  <c r="R97" i="21"/>
  <c r="R93" i="21"/>
  <c r="R82" i="21"/>
  <c r="R78" i="21"/>
  <c r="R70" i="21"/>
  <c r="R67" i="21"/>
  <c r="R62" i="21"/>
  <c r="R59" i="21"/>
  <c r="R46" i="21"/>
  <c r="R42" i="21"/>
  <c r="R34" i="21"/>
  <c r="R32" i="21"/>
  <c r="P30" i="21"/>
  <c r="R30" i="21" s="1"/>
  <c r="R89" i="21"/>
  <c r="R86" i="21"/>
  <c r="R81" i="21"/>
  <c r="R77" i="21"/>
  <c r="R73" i="21"/>
  <c r="R53" i="21"/>
  <c r="R50" i="21"/>
  <c r="R45" i="21"/>
  <c r="R41" i="21"/>
  <c r="R80" i="21"/>
  <c r="R76" i="21"/>
  <c r="R69" i="21"/>
  <c r="R64" i="21"/>
  <c r="R61" i="21"/>
  <c r="R44" i="21"/>
  <c r="R40" i="21"/>
  <c r="R33" i="21"/>
  <c r="R28" i="21"/>
  <c r="X12" i="21"/>
  <c r="R72" i="21"/>
  <c r="R91" i="21"/>
  <c r="R55" i="21"/>
  <c r="R39" i="21"/>
  <c r="R75" i="21"/>
  <c r="R88" i="21"/>
  <c r="R27" i="21"/>
  <c r="R52" i="21"/>
  <c r="Z217" i="15"/>
  <c r="J242" i="18"/>
  <c r="J230" i="18"/>
  <c r="J226" i="18"/>
  <c r="J220" i="18"/>
  <c r="J212" i="18"/>
  <c r="J208" i="18"/>
  <c r="J198" i="18"/>
  <c r="J192" i="18"/>
  <c r="J186" i="18"/>
  <c r="J180" i="18"/>
  <c r="J174" i="18"/>
  <c r="J166" i="18"/>
  <c r="J154" i="18"/>
  <c r="J142" i="18"/>
  <c r="J134" i="18"/>
  <c r="J126" i="18"/>
  <c r="J118" i="18"/>
  <c r="J110" i="18"/>
  <c r="J102" i="18"/>
  <c r="J96" i="18"/>
  <c r="J245" i="18"/>
  <c r="J229" i="18"/>
  <c r="J225" i="18"/>
  <c r="J203" i="18"/>
  <c r="J197" i="18"/>
  <c r="J183" i="18"/>
  <c r="J173" i="18"/>
  <c r="J165" i="18"/>
  <c r="J161" i="18"/>
  <c r="J153" i="18"/>
  <c r="J141" i="18"/>
  <c r="J133" i="18"/>
  <c r="J125" i="18"/>
  <c r="J117" i="18"/>
  <c r="J109" i="18"/>
  <c r="J101" i="18"/>
  <c r="J240" i="18"/>
  <c r="J236" i="18"/>
  <c r="J232" i="18"/>
  <c r="J224" i="18"/>
  <c r="J216" i="18"/>
  <c r="J200" i="18"/>
  <c r="J194" i="18"/>
  <c r="J188" i="18"/>
  <c r="J176" i="18"/>
  <c r="J170" i="18"/>
  <c r="J164" i="18"/>
  <c r="J160" i="18"/>
  <c r="J152" i="18"/>
  <c r="J140" i="18"/>
  <c r="J132" i="18"/>
  <c r="J124" i="18"/>
  <c r="J116" i="18"/>
  <c r="J108" i="18"/>
  <c r="J100" i="18"/>
  <c r="J243" i="18"/>
  <c r="J235" i="18"/>
  <c r="J223" i="18"/>
  <c r="J219" i="18"/>
  <c r="J215" i="18"/>
  <c r="J211" i="18"/>
  <c r="J207" i="18"/>
  <c r="J191" i="18"/>
  <c r="J185" i="18"/>
  <c r="J179" i="18"/>
  <c r="J163" i="18"/>
  <c r="J159" i="18"/>
  <c r="H148" i="18"/>
  <c r="J139" i="18"/>
  <c r="J131" i="18"/>
  <c r="J123" i="18"/>
  <c r="J115" i="18"/>
  <c r="J107" i="18"/>
  <c r="J99" i="18"/>
  <c r="J246" i="18"/>
  <c r="J238" i="18"/>
  <c r="J234" i="18"/>
  <c r="J228" i="18"/>
  <c r="J222" i="18"/>
  <c r="J218" i="18"/>
  <c r="J214" i="18"/>
  <c r="J210" i="18"/>
  <c r="J206" i="18"/>
  <c r="J202" i="18"/>
  <c r="J196" i="18"/>
  <c r="J190" i="18"/>
  <c r="J182" i="18"/>
  <c r="J178" i="18"/>
  <c r="J172" i="18"/>
  <c r="J158" i="18"/>
  <c r="J150" i="18"/>
  <c r="J146" i="18"/>
  <c r="J138" i="18"/>
  <c r="J130" i="18"/>
  <c r="J122" i="18"/>
  <c r="J114" i="18"/>
  <c r="J106" i="18"/>
  <c r="J98" i="18"/>
  <c r="J241" i="18"/>
  <c r="J231" i="18"/>
  <c r="J221" i="18"/>
  <c r="J213" i="18"/>
  <c r="J209" i="18"/>
  <c r="J205" i="18"/>
  <c r="J199" i="18"/>
  <c r="J193" i="18"/>
  <c r="J187" i="18"/>
  <c r="J181" i="18"/>
  <c r="J175" i="18"/>
  <c r="J169" i="18"/>
  <c r="J157" i="18"/>
  <c r="J151" i="18"/>
  <c r="J145" i="18"/>
  <c r="J137" i="18"/>
  <c r="J129" i="18"/>
  <c r="J121" i="18"/>
  <c r="J113" i="18"/>
  <c r="J105" i="18"/>
  <c r="J97" i="18"/>
  <c r="J250" i="18"/>
  <c r="J244" i="18"/>
  <c r="J204" i="18"/>
  <c r="J184" i="18"/>
  <c r="J168" i="18"/>
  <c r="J162" i="18"/>
  <c r="J156" i="18"/>
  <c r="J144" i="18"/>
  <c r="J136" i="18"/>
  <c r="J128" i="18"/>
  <c r="J120" i="18"/>
  <c r="J112" i="18"/>
  <c r="J104" i="18"/>
  <c r="J155" i="18"/>
  <c r="J227" i="18"/>
  <c r="J127" i="18"/>
  <c r="J111" i="18"/>
  <c r="J237" i="18"/>
  <c r="J195" i="18"/>
  <c r="J177" i="18"/>
  <c r="J171" i="18"/>
  <c r="J135" i="18"/>
  <c r="J167" i="18"/>
  <c r="J201" i="18"/>
  <c r="J119" i="18"/>
  <c r="J103" i="18"/>
  <c r="J217" i="18"/>
  <c r="J233" i="18"/>
  <c r="J189" i="18"/>
  <c r="J143" i="18"/>
  <c r="Z16" i="6"/>
  <c r="T22" i="6"/>
  <c r="H90" i="9"/>
  <c r="L90" i="9" s="1"/>
  <c r="N16" i="9"/>
  <c r="T27" i="8"/>
  <c r="Z18" i="8"/>
  <c r="R265" i="3"/>
  <c r="R255" i="3"/>
  <c r="R251" i="3"/>
  <c r="R238" i="3"/>
  <c r="R234" i="3"/>
  <c r="R230" i="3"/>
  <c r="R226" i="3"/>
  <c r="R222" i="3"/>
  <c r="R206" i="3"/>
  <c r="R203" i="3"/>
  <c r="R191" i="3"/>
  <c r="R182" i="3"/>
  <c r="R178" i="3"/>
  <c r="R166" i="3"/>
  <c r="R154" i="3"/>
  <c r="R146" i="3"/>
  <c r="R138" i="3"/>
  <c r="R130" i="3"/>
  <c r="R122" i="3"/>
  <c r="R114" i="3"/>
  <c r="R106" i="3"/>
  <c r="R260" i="3"/>
  <c r="R245" i="3"/>
  <c r="R237" i="3"/>
  <c r="R229" i="3"/>
  <c r="R225" i="3"/>
  <c r="R221" i="3"/>
  <c r="R217" i="3"/>
  <c r="R214" i="3"/>
  <c r="R197" i="3"/>
  <c r="R194" i="3"/>
  <c r="R185" i="3"/>
  <c r="R177" i="3"/>
  <c r="R165" i="3"/>
  <c r="R153" i="3"/>
  <c r="R145" i="3"/>
  <c r="R137" i="3"/>
  <c r="R129" i="3"/>
  <c r="R121" i="3"/>
  <c r="R113" i="3"/>
  <c r="R263" i="3"/>
  <c r="R248" i="3"/>
  <c r="R244" i="3"/>
  <c r="R233" i="3"/>
  <c r="R228" i="3"/>
  <c r="R224" i="3"/>
  <c r="R220" i="3"/>
  <c r="R208" i="3"/>
  <c r="R205" i="3"/>
  <c r="R184" i="3"/>
  <c r="R181" i="3"/>
  <c r="R176" i="3"/>
  <c r="R172" i="3"/>
  <c r="R164" i="3"/>
  <c r="R152" i="3"/>
  <c r="R144" i="3"/>
  <c r="R136" i="3"/>
  <c r="R128" i="3"/>
  <c r="R120" i="3"/>
  <c r="R112" i="3"/>
  <c r="R105" i="3"/>
  <c r="R275" i="3"/>
  <c r="R266" i="3"/>
  <c r="R258" i="3"/>
  <c r="R247" i="3"/>
  <c r="R243" i="3"/>
  <c r="R236" i="3"/>
  <c r="R219" i="3"/>
  <c r="R216" i="3"/>
  <c r="R211" i="3"/>
  <c r="R199" i="3"/>
  <c r="R196" i="3"/>
  <c r="R187" i="3"/>
  <c r="R175" i="3"/>
  <c r="R171" i="3"/>
  <c r="R163" i="3"/>
  <c r="R161" i="3"/>
  <c r="P159" i="3"/>
  <c r="R151" i="3"/>
  <c r="R143" i="3"/>
  <c r="R135" i="3"/>
  <c r="R127" i="3"/>
  <c r="R119" i="3"/>
  <c r="R111" i="3"/>
  <c r="R261" i="3"/>
  <c r="R254" i="3"/>
  <c r="R250" i="3"/>
  <c r="R242" i="3"/>
  <c r="R227" i="3"/>
  <c r="R223" i="3"/>
  <c r="R210" i="3"/>
  <c r="R207" i="3"/>
  <c r="R202" i="3"/>
  <c r="R190" i="3"/>
  <c r="R183" i="3"/>
  <c r="R174" i="3"/>
  <c r="R170" i="3"/>
  <c r="R150" i="3"/>
  <c r="R142" i="3"/>
  <c r="R134" i="3"/>
  <c r="R126" i="3"/>
  <c r="R118" i="3"/>
  <c r="R110" i="3"/>
  <c r="R264" i="3"/>
  <c r="R253" i="3"/>
  <c r="R246" i="3"/>
  <c r="R241" i="3"/>
  <c r="R218" i="3"/>
  <c r="R213" i="3"/>
  <c r="R201" i="3"/>
  <c r="R198" i="3"/>
  <c r="R193" i="3"/>
  <c r="R189" i="3"/>
  <c r="R186" i="3"/>
  <c r="R169" i="3"/>
  <c r="R162" i="3"/>
  <c r="R157" i="3"/>
  <c r="R149" i="3"/>
  <c r="R141" i="3"/>
  <c r="R133" i="3"/>
  <c r="R125" i="3"/>
  <c r="R117" i="3"/>
  <c r="R109" i="3"/>
  <c r="R270" i="3"/>
  <c r="R259" i="3"/>
  <c r="R256" i="3"/>
  <c r="R252" i="3"/>
  <c r="R249" i="3"/>
  <c r="R240" i="3"/>
  <c r="R232" i="3"/>
  <c r="R209" i="3"/>
  <c r="R204" i="3"/>
  <c r="R192" i="3"/>
  <c r="R180" i="3"/>
  <c r="R173" i="3"/>
  <c r="R168" i="3"/>
  <c r="R156" i="3"/>
  <c r="R148" i="3"/>
  <c r="R140" i="3"/>
  <c r="R132" i="3"/>
  <c r="R124" i="3"/>
  <c r="R116" i="3"/>
  <c r="R108" i="3"/>
  <c r="X12" i="3"/>
  <c r="Z12" i="3" s="1"/>
  <c r="R262" i="3"/>
  <c r="R235" i="3"/>
  <c r="R200" i="3"/>
  <c r="R179" i="3"/>
  <c r="R131" i="3"/>
  <c r="R215" i="3"/>
  <c r="R212" i="3"/>
  <c r="R188" i="3"/>
  <c r="R139" i="3"/>
  <c r="R107" i="3"/>
  <c r="R274" i="3"/>
  <c r="R147" i="3"/>
  <c r="R115" i="3"/>
  <c r="R231" i="3"/>
  <c r="R239" i="3"/>
  <c r="R155" i="3"/>
  <c r="R123" i="3"/>
  <c r="R167" i="3"/>
  <c r="R195" i="3"/>
  <c r="N24" i="96"/>
  <c r="H28" i="96"/>
  <c r="L18" i="98"/>
  <c r="D27" i="98"/>
  <c r="V17" i="97"/>
  <c r="V70" i="94"/>
  <c r="V83" i="94"/>
  <c r="V77" i="94"/>
  <c r="V69" i="94"/>
  <c r="V78" i="94"/>
  <c r="V74" i="94"/>
  <c r="V66" i="94"/>
  <c r="V87" i="94"/>
  <c r="V68" i="94"/>
  <c r="V61" i="94"/>
  <c r="V57" i="94"/>
  <c r="V49" i="94"/>
  <c r="V41" i="94"/>
  <c r="V37" i="94"/>
  <c r="V33" i="94"/>
  <c r="V25" i="94"/>
  <c r="V72" i="94"/>
  <c r="V67" i="94"/>
  <c r="V64" i="94"/>
  <c r="V60" i="94"/>
  <c r="V52" i="94"/>
  <c r="V44" i="94"/>
  <c r="V36" i="94"/>
  <c r="V32" i="94"/>
  <c r="V24" i="94"/>
  <c r="Z12" i="94"/>
  <c r="V73" i="94"/>
  <c r="V71" i="94"/>
  <c r="V65" i="94"/>
  <c r="V63" i="94"/>
  <c r="V59" i="94"/>
  <c r="V51" i="94"/>
  <c r="V43" i="94"/>
  <c r="V35" i="94"/>
  <c r="V31" i="94"/>
  <c r="V19" i="94"/>
  <c r="V62" i="94"/>
  <c r="V54" i="94"/>
  <c r="V46" i="94"/>
  <c r="V34" i="94"/>
  <c r="V30" i="94"/>
  <c r="V18" i="94"/>
  <c r="V80" i="94"/>
  <c r="V53" i="94"/>
  <c r="V45" i="94"/>
  <c r="V29" i="94"/>
  <c r="V17" i="94"/>
  <c r="V79" i="94"/>
  <c r="V55" i="94"/>
  <c r="V47" i="94"/>
  <c r="V39" i="94"/>
  <c r="V27" i="94"/>
  <c r="V23" i="94"/>
  <c r="V21" i="94"/>
  <c r="V56" i="94"/>
  <c r="V48" i="94"/>
  <c r="V40" i="94"/>
  <c r="V75" i="94"/>
  <c r="V38" i="94"/>
  <c r="V28" i="94"/>
  <c r="T21" i="94"/>
  <c r="V81" i="94"/>
  <c r="V58" i="94"/>
  <c r="V76" i="94"/>
  <c r="V42" i="94"/>
  <c r="V26" i="94"/>
  <c r="V50" i="94"/>
  <c r="Z16" i="96"/>
  <c r="T24" i="96"/>
  <c r="X16" i="96"/>
  <c r="T81" i="95"/>
  <c r="Z21" i="95"/>
  <c r="J83" i="94"/>
  <c r="J79" i="94"/>
  <c r="J74" i="94"/>
  <c r="J66" i="94"/>
  <c r="J87" i="94"/>
  <c r="J81" i="94"/>
  <c r="J73" i="94"/>
  <c r="J65" i="94"/>
  <c r="J80" i="94"/>
  <c r="J70" i="94"/>
  <c r="J77" i="94"/>
  <c r="J75" i="94"/>
  <c r="J59" i="94"/>
  <c r="J51" i="94"/>
  <c r="J43" i="94"/>
  <c r="J29" i="94"/>
  <c r="J76" i="94"/>
  <c r="J62" i="94"/>
  <c r="J56" i="94"/>
  <c r="J48" i="94"/>
  <c r="J40" i="94"/>
  <c r="J34" i="94"/>
  <c r="J28" i="94"/>
  <c r="J53" i="94"/>
  <c r="J45" i="94"/>
  <c r="J39" i="94"/>
  <c r="J27" i="94"/>
  <c r="J17" i="94"/>
  <c r="J69" i="94"/>
  <c r="J58" i="94"/>
  <c r="J50" i="94"/>
  <c r="J42" i="94"/>
  <c r="J38" i="94"/>
  <c r="J26" i="94"/>
  <c r="J68" i="94"/>
  <c r="J61" i="94"/>
  <c r="J55" i="94"/>
  <c r="J47" i="94"/>
  <c r="J37" i="94"/>
  <c r="J33" i="94"/>
  <c r="J25" i="94"/>
  <c r="J63" i="94"/>
  <c r="J57" i="94"/>
  <c r="J49" i="94"/>
  <c r="J41" i="94"/>
  <c r="J35" i="94"/>
  <c r="J31" i="94"/>
  <c r="J23" i="94"/>
  <c r="J19" i="94"/>
  <c r="J18" i="94"/>
  <c r="J78" i="94"/>
  <c r="J72" i="94"/>
  <c r="N12" i="94"/>
  <c r="J52" i="94"/>
  <c r="J44" i="94"/>
  <c r="J32" i="94"/>
  <c r="J24" i="94"/>
  <c r="J60" i="94"/>
  <c r="J71" i="94"/>
  <c r="J64" i="94"/>
  <c r="J36" i="94"/>
  <c r="J54" i="94"/>
  <c r="J46" i="94"/>
  <c r="H21" i="94"/>
  <c r="J30" i="94"/>
  <c r="J67" i="94"/>
  <c r="H47" i="90"/>
  <c r="L18" i="90"/>
  <c r="N18" i="90" s="1"/>
  <c r="D47" i="90"/>
  <c r="P69" i="86"/>
  <c r="X17" i="86"/>
  <c r="Z17" i="86" s="1"/>
  <c r="H55" i="91"/>
  <c r="L82" i="85"/>
  <c r="D38" i="83"/>
  <c r="L16" i="83"/>
  <c r="V82" i="85"/>
  <c r="L18" i="84"/>
  <c r="D37" i="84"/>
  <c r="T73" i="86"/>
  <c r="H42" i="83"/>
  <c r="V74" i="79"/>
  <c r="V70" i="79"/>
  <c r="V77" i="79"/>
  <c r="V69" i="79"/>
  <c r="V88" i="79"/>
  <c r="V82" i="79"/>
  <c r="V76" i="79"/>
  <c r="V68" i="79"/>
  <c r="V78" i="79"/>
  <c r="V66" i="79"/>
  <c r="V62" i="79"/>
  <c r="V73" i="79"/>
  <c r="V91" i="79"/>
  <c r="V86" i="79"/>
  <c r="V84" i="79"/>
  <c r="V72" i="79"/>
  <c r="V64" i="79"/>
  <c r="V51" i="79"/>
  <c r="V39" i="79"/>
  <c r="V27" i="79"/>
  <c r="V50" i="79"/>
  <c r="V42" i="79"/>
  <c r="V26" i="79"/>
  <c r="V22" i="79"/>
  <c r="V20" i="79"/>
  <c r="V79" i="79"/>
  <c r="V75" i="79"/>
  <c r="V67" i="79"/>
  <c r="V53" i="79"/>
  <c r="V45" i="79"/>
  <c r="V41" i="79"/>
  <c r="V25" i="79"/>
  <c r="T20" i="79"/>
  <c r="V71" i="79"/>
  <c r="V63" i="79"/>
  <c r="V61" i="79"/>
  <c r="V56" i="79"/>
  <c r="V52" i="79"/>
  <c r="V44" i="79"/>
  <c r="V36" i="79"/>
  <c r="V24" i="79"/>
  <c r="Z12" i="79"/>
  <c r="V60" i="79"/>
  <c r="V55" i="79"/>
  <c r="V47" i="79"/>
  <c r="V43" i="79"/>
  <c r="V35" i="79"/>
  <c r="V31" i="79"/>
  <c r="V23" i="79"/>
  <c r="V59" i="79"/>
  <c r="V58" i="79"/>
  <c r="V54" i="79"/>
  <c r="V46" i="79"/>
  <c r="V38" i="79"/>
  <c r="V34" i="79"/>
  <c r="V30" i="79"/>
  <c r="V18" i="79"/>
  <c r="V40" i="79"/>
  <c r="V65" i="79"/>
  <c r="V48" i="79"/>
  <c r="V37" i="79"/>
  <c r="V49" i="79"/>
  <c r="V32" i="79"/>
  <c r="V16" i="79"/>
  <c r="V81" i="79"/>
  <c r="V57" i="79"/>
  <c r="V33" i="79"/>
  <c r="V17" i="79"/>
  <c r="V28" i="79"/>
  <c r="V29" i="79"/>
  <c r="T44" i="74"/>
  <c r="V103" i="77"/>
  <c r="V79" i="77"/>
  <c r="V71" i="77"/>
  <c r="V55" i="77"/>
  <c r="V43" i="77"/>
  <c r="V112" i="77"/>
  <c r="V106" i="77"/>
  <c r="V82" i="77"/>
  <c r="V74" i="77"/>
  <c r="V66" i="77"/>
  <c r="V54" i="77"/>
  <c r="V50" i="77"/>
  <c r="V42" i="77"/>
  <c r="V105" i="77"/>
  <c r="V81" i="77"/>
  <c r="V73" i="77"/>
  <c r="V65" i="77"/>
  <c r="V53" i="77"/>
  <c r="T48" i="77"/>
  <c r="X48" i="77" s="1"/>
  <c r="V41" i="77"/>
  <c r="V100" i="77"/>
  <c r="V92" i="77"/>
  <c r="V88" i="77"/>
  <c r="V84" i="77"/>
  <c r="V76" i="77"/>
  <c r="V68" i="77"/>
  <c r="V64" i="77"/>
  <c r="V52" i="77"/>
  <c r="V40" i="77"/>
  <c r="V99" i="77"/>
  <c r="V95" i="77"/>
  <c r="V91" i="77"/>
  <c r="V87" i="77"/>
  <c r="V83" i="77"/>
  <c r="V75" i="77"/>
  <c r="V67" i="77"/>
  <c r="V63" i="77"/>
  <c r="V59" i="77"/>
  <c r="V51" i="77"/>
  <c r="V39" i="77"/>
  <c r="V108" i="77"/>
  <c r="V102" i="77"/>
  <c r="V98" i="77"/>
  <c r="V94" i="77"/>
  <c r="V90" i="77"/>
  <c r="V86" i="77"/>
  <c r="V78" i="77"/>
  <c r="V70" i="77"/>
  <c r="V62" i="77"/>
  <c r="V58" i="77"/>
  <c r="V46" i="77"/>
  <c r="V38" i="77"/>
  <c r="V85" i="77"/>
  <c r="V69" i="77"/>
  <c r="V60" i="77"/>
  <c r="V56" i="77"/>
  <c r="V61" i="77"/>
  <c r="V44" i="77"/>
  <c r="V89" i="77"/>
  <c r="V80" i="77"/>
  <c r="V77" i="77"/>
  <c r="V57" i="77"/>
  <c r="V45" i="77"/>
  <c r="V96" i="77"/>
  <c r="V104" i="77"/>
  <c r="V101" i="77"/>
  <c r="V93" i="77"/>
  <c r="V97" i="77"/>
  <c r="V72" i="77"/>
  <c r="H36" i="80"/>
  <c r="H48" i="74"/>
  <c r="P77" i="76"/>
  <c r="Z95" i="71"/>
  <c r="R81" i="79"/>
  <c r="H32" i="72"/>
  <c r="R69" i="73"/>
  <c r="R65" i="73"/>
  <c r="R61" i="73"/>
  <c r="R57" i="73"/>
  <c r="R37" i="73"/>
  <c r="R33" i="73"/>
  <c r="R26" i="73"/>
  <c r="R21" i="73"/>
  <c r="R75" i="73"/>
  <c r="R64" i="73"/>
  <c r="R60" i="73"/>
  <c r="R53" i="73"/>
  <c r="R48" i="73"/>
  <c r="R45" i="73"/>
  <c r="R32" i="73"/>
  <c r="R20" i="73"/>
  <c r="X12" i="73"/>
  <c r="Z12" i="73" s="1"/>
  <c r="R71" i="73"/>
  <c r="R68" i="73"/>
  <c r="R63" i="73"/>
  <c r="R59" i="73"/>
  <c r="R56" i="73"/>
  <c r="R36" i="73"/>
  <c r="R31" i="73"/>
  <c r="R19" i="73"/>
  <c r="R50" i="73"/>
  <c r="R47" i="73"/>
  <c r="R42" i="73"/>
  <c r="R30" i="73"/>
  <c r="R79" i="73"/>
  <c r="R73" i="73"/>
  <c r="R70" i="73"/>
  <c r="R62" i="73"/>
  <c r="R58" i="73"/>
  <c r="R41" i="73"/>
  <c r="R29" i="73"/>
  <c r="R18" i="73"/>
  <c r="R52" i="73"/>
  <c r="R49" i="73"/>
  <c r="R44" i="73"/>
  <c r="R40" i="73"/>
  <c r="R28" i="73"/>
  <c r="R35" i="73"/>
  <c r="R66" i="73"/>
  <c r="R25" i="73"/>
  <c r="R67" i="73"/>
  <c r="R46" i="73"/>
  <c r="R54" i="73"/>
  <c r="R51" i="73"/>
  <c r="R43" i="73"/>
  <c r="R38" i="73"/>
  <c r="R27" i="73"/>
  <c r="R55" i="73"/>
  <c r="R39" i="73"/>
  <c r="P23" i="73"/>
  <c r="R72" i="73"/>
  <c r="R34" i="73"/>
  <c r="L12" i="75"/>
  <c r="N12" i="75" s="1"/>
  <c r="V86" i="64"/>
  <c r="V80" i="64"/>
  <c r="V72" i="64"/>
  <c r="V60" i="64"/>
  <c r="V52" i="64"/>
  <c r="V48" i="64"/>
  <c r="V44" i="64"/>
  <c r="T39" i="64"/>
  <c r="V32" i="64"/>
  <c r="V79" i="64"/>
  <c r="V63" i="64"/>
  <c r="V51" i="64"/>
  <c r="V47" i="64"/>
  <c r="V43" i="64"/>
  <c r="V31" i="64"/>
  <c r="V66" i="64"/>
  <c r="V62" i="64"/>
  <c r="V54" i="64"/>
  <c r="V46" i="64"/>
  <c r="V42" i="64"/>
  <c r="V30" i="64"/>
  <c r="V69" i="64"/>
  <c r="V65" i="64"/>
  <c r="V57" i="64"/>
  <c r="V53" i="64"/>
  <c r="V37" i="64"/>
  <c r="V29" i="64"/>
  <c r="V82" i="64"/>
  <c r="V76" i="64"/>
  <c r="V68" i="64"/>
  <c r="V64" i="64"/>
  <c r="V56" i="64"/>
  <c r="V36" i="64"/>
  <c r="V28" i="64"/>
  <c r="Z12" i="64"/>
  <c r="V75" i="64"/>
  <c r="V71" i="64"/>
  <c r="V67" i="64"/>
  <c r="V59" i="64"/>
  <c r="V55" i="64"/>
  <c r="V35" i="64"/>
  <c r="V27" i="64"/>
  <c r="V78" i="64"/>
  <c r="V74" i="64"/>
  <c r="V70" i="64"/>
  <c r="V58" i="64"/>
  <c r="V50" i="64"/>
  <c r="V34" i="64"/>
  <c r="V39" i="64"/>
  <c r="V73" i="64"/>
  <c r="V33" i="64"/>
  <c r="V77" i="64"/>
  <c r="V49" i="64"/>
  <c r="V41" i="64"/>
  <c r="V61" i="64"/>
  <c r="V45" i="64"/>
  <c r="R115" i="66"/>
  <c r="R108" i="66"/>
  <c r="R104" i="66"/>
  <c r="R107" i="66"/>
  <c r="R100" i="66"/>
  <c r="R113" i="66"/>
  <c r="R110" i="66"/>
  <c r="R103" i="66"/>
  <c r="R119" i="66"/>
  <c r="R106" i="66"/>
  <c r="R109" i="66"/>
  <c r="R102" i="66"/>
  <c r="R98" i="66"/>
  <c r="R112" i="66"/>
  <c r="R101" i="66"/>
  <c r="R99" i="66"/>
  <c r="R90" i="66"/>
  <c r="R87" i="66"/>
  <c r="R78" i="66"/>
  <c r="R66" i="66"/>
  <c r="R54" i="66"/>
  <c r="R46" i="66"/>
  <c r="R93" i="66"/>
  <c r="R81" i="66"/>
  <c r="R77" i="66"/>
  <c r="R65" i="66"/>
  <c r="R53" i="66"/>
  <c r="R45" i="66"/>
  <c r="R114" i="66"/>
  <c r="R105" i="66"/>
  <c r="R89" i="66"/>
  <c r="R84" i="66"/>
  <c r="R76" i="66"/>
  <c r="R64" i="66"/>
  <c r="R52" i="66"/>
  <c r="R44" i="66"/>
  <c r="X12" i="66"/>
  <c r="Z12" i="66" s="1"/>
  <c r="R95" i="66"/>
  <c r="R92" i="66"/>
  <c r="R83" i="66"/>
  <c r="R80" i="66"/>
  <c r="R75" i="66"/>
  <c r="R71" i="66"/>
  <c r="R63" i="66"/>
  <c r="R61" i="66"/>
  <c r="P59" i="66"/>
  <c r="R59" i="66" s="1"/>
  <c r="R51" i="66"/>
  <c r="R43" i="66"/>
  <c r="R86" i="66"/>
  <c r="R74" i="66"/>
  <c r="R70" i="66"/>
  <c r="R50" i="66"/>
  <c r="R42" i="66"/>
  <c r="R97" i="66"/>
  <c r="R94" i="66"/>
  <c r="R82" i="66"/>
  <c r="R73" i="66"/>
  <c r="R69" i="66"/>
  <c r="R62" i="66"/>
  <c r="R57" i="66"/>
  <c r="R49" i="66"/>
  <c r="R41" i="66"/>
  <c r="R88" i="66"/>
  <c r="R85" i="66"/>
  <c r="R68" i="66"/>
  <c r="R56" i="66"/>
  <c r="R48" i="66"/>
  <c r="R91" i="66"/>
  <c r="R96" i="66"/>
  <c r="R79" i="66"/>
  <c r="R72" i="66"/>
  <c r="R47" i="66"/>
  <c r="R67" i="66"/>
  <c r="R40" i="66"/>
  <c r="R55" i="66"/>
  <c r="D30" i="55"/>
  <c r="L16" i="55"/>
  <c r="X18" i="50"/>
  <c r="P27" i="50"/>
  <c r="T27" i="53"/>
  <c r="Z18" i="53"/>
  <c r="J83" i="69"/>
  <c r="L18" i="52"/>
  <c r="D27" i="52"/>
  <c r="N18" i="46"/>
  <c r="H27" i="46"/>
  <c r="T66" i="57"/>
  <c r="N16" i="56"/>
  <c r="H67" i="56"/>
  <c r="J62" i="48"/>
  <c r="J56" i="48"/>
  <c r="J48" i="48"/>
  <c r="J42" i="48"/>
  <c r="J26" i="48"/>
  <c r="J20" i="48"/>
  <c r="J45" i="48"/>
  <c r="J39" i="48"/>
  <c r="J25" i="48"/>
  <c r="J15" i="48"/>
  <c r="J66" i="48"/>
  <c r="J58" i="48"/>
  <c r="J52" i="48"/>
  <c r="J36" i="48"/>
  <c r="J30" i="48"/>
  <c r="J24" i="48"/>
  <c r="N12" i="48"/>
  <c r="J55" i="48"/>
  <c r="J51" i="48"/>
  <c r="J47" i="48"/>
  <c r="J41" i="48"/>
  <c r="J35" i="48"/>
  <c r="J23" i="48"/>
  <c r="J54" i="48"/>
  <c r="J50" i="48"/>
  <c r="J44" i="48"/>
  <c r="J38" i="48"/>
  <c r="J34" i="48"/>
  <c r="J22" i="48"/>
  <c r="J61" i="48"/>
  <c r="J57" i="48"/>
  <c r="J49" i="48"/>
  <c r="J33" i="48"/>
  <c r="J29" i="48"/>
  <c r="J21" i="48"/>
  <c r="J46" i="48"/>
  <c r="J40" i="48"/>
  <c r="J32" i="48"/>
  <c r="J28" i="48"/>
  <c r="H17" i="48"/>
  <c r="J17" i="48" s="1"/>
  <c r="J59" i="48"/>
  <c r="J43" i="48"/>
  <c r="J31" i="48"/>
  <c r="J37" i="48"/>
  <c r="J19" i="48"/>
  <c r="J27" i="48"/>
  <c r="J53" i="48"/>
  <c r="T27" i="46"/>
  <c r="Z18" i="46"/>
  <c r="J109" i="66"/>
  <c r="J99" i="66"/>
  <c r="J114" i="66"/>
  <c r="J102" i="66"/>
  <c r="J105" i="66"/>
  <c r="J101" i="66"/>
  <c r="J112" i="66"/>
  <c r="J108" i="66"/>
  <c r="J104" i="66"/>
  <c r="J115" i="66"/>
  <c r="J107" i="66"/>
  <c r="J119" i="66"/>
  <c r="J113" i="66"/>
  <c r="J103" i="66"/>
  <c r="J100" i="66"/>
  <c r="J98" i="66"/>
  <c r="J97" i="66"/>
  <c r="J73" i="66"/>
  <c r="J69" i="66"/>
  <c r="J61" i="66"/>
  <c r="J57" i="66"/>
  <c r="J49" i="66"/>
  <c r="J41" i="66"/>
  <c r="J94" i="66"/>
  <c r="J88" i="66"/>
  <c r="J82" i="66"/>
  <c r="J68" i="66"/>
  <c r="J62" i="66"/>
  <c r="J56" i="66"/>
  <c r="J48" i="66"/>
  <c r="J91" i="66"/>
  <c r="J85" i="66"/>
  <c r="J79" i="66"/>
  <c r="J67" i="66"/>
  <c r="J55" i="66"/>
  <c r="J47" i="66"/>
  <c r="J96" i="66"/>
  <c r="J90" i="66"/>
  <c r="J78" i="66"/>
  <c r="J72" i="66"/>
  <c r="J66" i="66"/>
  <c r="J54" i="66"/>
  <c r="J46" i="66"/>
  <c r="J40" i="66"/>
  <c r="J93" i="66"/>
  <c r="J87" i="66"/>
  <c r="J81" i="66"/>
  <c r="J77" i="66"/>
  <c r="J65" i="66"/>
  <c r="J53" i="66"/>
  <c r="J45" i="66"/>
  <c r="J106" i="66"/>
  <c r="J84" i="66"/>
  <c r="J76" i="66"/>
  <c r="J64" i="66"/>
  <c r="J52" i="66"/>
  <c r="J44" i="66"/>
  <c r="N12" i="66"/>
  <c r="J95" i="66"/>
  <c r="J89" i="66"/>
  <c r="J83" i="66"/>
  <c r="J75" i="66"/>
  <c r="J71" i="66"/>
  <c r="J63" i="66"/>
  <c r="J59" i="66"/>
  <c r="J51" i="66"/>
  <c r="J43" i="66"/>
  <c r="J110" i="66"/>
  <c r="J70" i="66"/>
  <c r="J50" i="66"/>
  <c r="H59" i="66"/>
  <c r="J74" i="66"/>
  <c r="J42" i="66"/>
  <c r="J92" i="66"/>
  <c r="J86" i="66"/>
  <c r="J80" i="66"/>
  <c r="T22" i="54"/>
  <c r="Z16" i="54"/>
  <c r="T30" i="55"/>
  <c r="Z16" i="55"/>
  <c r="H104" i="51"/>
  <c r="L18" i="38"/>
  <c r="D27" i="38"/>
  <c r="P26" i="54"/>
  <c r="X22" i="54"/>
  <c r="D27" i="44"/>
  <c r="L18" i="44"/>
  <c r="L18" i="43"/>
  <c r="D27" i="43"/>
  <c r="L18" i="50"/>
  <c r="D27" i="50"/>
  <c r="P31" i="37"/>
  <c r="X27" i="37"/>
  <c r="X27" i="41"/>
  <c r="P31" i="41"/>
  <c r="T27" i="38"/>
  <c r="Z18" i="38"/>
  <c r="D36" i="33"/>
  <c r="L18" i="41"/>
  <c r="D27" i="41"/>
  <c r="D31" i="37"/>
  <c r="L27" i="37"/>
  <c r="T27" i="26"/>
  <c r="Z18" i="26"/>
  <c r="X18" i="27"/>
  <c r="P27" i="27"/>
  <c r="N27" i="35"/>
  <c r="H31" i="35"/>
  <c r="D36" i="27"/>
  <c r="R157" i="28"/>
  <c r="R152" i="28"/>
  <c r="R148" i="28"/>
  <c r="R140" i="28"/>
  <c r="R136" i="28"/>
  <c r="R132" i="28"/>
  <c r="R120" i="28"/>
  <c r="R108" i="28"/>
  <c r="R105" i="28"/>
  <c r="R92" i="28"/>
  <c r="R80" i="28"/>
  <c r="R72" i="28"/>
  <c r="R64" i="28"/>
  <c r="R162" i="28"/>
  <c r="R147" i="28"/>
  <c r="R143" i="28"/>
  <c r="R139" i="28"/>
  <c r="R135" i="28"/>
  <c r="R131" i="28"/>
  <c r="R128" i="28"/>
  <c r="R116" i="28"/>
  <c r="R111" i="28"/>
  <c r="R96" i="28"/>
  <c r="R91" i="28"/>
  <c r="R79" i="28"/>
  <c r="R71" i="28"/>
  <c r="R63" i="28"/>
  <c r="R56" i="28"/>
  <c r="R154" i="28"/>
  <c r="R151" i="28"/>
  <c r="R146" i="28"/>
  <c r="R142" i="28"/>
  <c r="R138" i="28"/>
  <c r="R122" i="28"/>
  <c r="R119" i="28"/>
  <c r="R110" i="28"/>
  <c r="R107" i="28"/>
  <c r="R102" i="28"/>
  <c r="R90" i="28"/>
  <c r="R78" i="28"/>
  <c r="R70" i="28"/>
  <c r="R62" i="28"/>
  <c r="R160" i="28"/>
  <c r="R145" i="28"/>
  <c r="R134" i="28"/>
  <c r="R130" i="28"/>
  <c r="R125" i="28"/>
  <c r="R113" i="28"/>
  <c r="R101" i="28"/>
  <c r="R89" i="28"/>
  <c r="R77" i="28"/>
  <c r="R69" i="28"/>
  <c r="R61" i="28"/>
  <c r="R166" i="28"/>
  <c r="R156" i="28"/>
  <c r="R153" i="28"/>
  <c r="R141" i="28"/>
  <c r="R137" i="28"/>
  <c r="R124" i="28"/>
  <c r="R121" i="28"/>
  <c r="R109" i="28"/>
  <c r="R104" i="28"/>
  <c r="R100" i="28"/>
  <c r="R88" i="28"/>
  <c r="R86" i="28"/>
  <c r="P84" i="28"/>
  <c r="R76" i="28"/>
  <c r="R68" i="28"/>
  <c r="R60" i="28"/>
  <c r="X12" i="28"/>
  <c r="R144" i="28"/>
  <c r="R127" i="28"/>
  <c r="R115" i="28"/>
  <c r="R112" i="28"/>
  <c r="R99" i="28"/>
  <c r="R95" i="28"/>
  <c r="R75" i="28"/>
  <c r="R67" i="28"/>
  <c r="R59" i="28"/>
  <c r="R161" i="28"/>
  <c r="R158" i="28"/>
  <c r="R155" i="28"/>
  <c r="R150" i="28"/>
  <c r="R123" i="28"/>
  <c r="R118" i="28"/>
  <c r="R106" i="28"/>
  <c r="R103" i="28"/>
  <c r="R98" i="28"/>
  <c r="R94" i="28"/>
  <c r="R87" i="28"/>
  <c r="R82" i="28"/>
  <c r="R74" i="28"/>
  <c r="R66" i="28"/>
  <c r="R58" i="28"/>
  <c r="R97" i="28"/>
  <c r="R133" i="28"/>
  <c r="R129" i="28"/>
  <c r="R81" i="28"/>
  <c r="R93" i="28"/>
  <c r="R65" i="28"/>
  <c r="R126" i="28"/>
  <c r="R117" i="28"/>
  <c r="R149" i="28"/>
  <c r="R73" i="28"/>
  <c r="R57" i="28"/>
  <c r="R114" i="28"/>
  <c r="Z112" i="25"/>
  <c r="H27" i="20"/>
  <c r="N18" i="20"/>
  <c r="P36" i="30"/>
  <c r="J153" i="28"/>
  <c r="J141" i="28"/>
  <c r="J137" i="28"/>
  <c r="J127" i="28"/>
  <c r="J121" i="28"/>
  <c r="J115" i="28"/>
  <c r="J109" i="28"/>
  <c r="J99" i="28"/>
  <c r="J95" i="28"/>
  <c r="H84" i="28"/>
  <c r="J75" i="28"/>
  <c r="J67" i="28"/>
  <c r="J59" i="28"/>
  <c r="J158" i="28"/>
  <c r="J150" i="28"/>
  <c r="J144" i="28"/>
  <c r="J118" i="28"/>
  <c r="J112" i="28"/>
  <c r="J106" i="28"/>
  <c r="J98" i="28"/>
  <c r="J94" i="28"/>
  <c r="J86" i="28"/>
  <c r="J82" i="28"/>
  <c r="J74" i="28"/>
  <c r="J66" i="28"/>
  <c r="J58" i="28"/>
  <c r="J161" i="28"/>
  <c r="J155" i="28"/>
  <c r="J149" i="28"/>
  <c r="J133" i="28"/>
  <c r="J129" i="28"/>
  <c r="J123" i="28"/>
  <c r="J117" i="28"/>
  <c r="J103" i="28"/>
  <c r="J97" i="28"/>
  <c r="J93" i="28"/>
  <c r="J87" i="28"/>
  <c r="J81" i="28"/>
  <c r="J73" i="28"/>
  <c r="J65" i="28"/>
  <c r="J57" i="28"/>
  <c r="J152" i="28"/>
  <c r="J148" i="28"/>
  <c r="J140" i="28"/>
  <c r="J136" i="28"/>
  <c r="J132" i="28"/>
  <c r="J126" i="28"/>
  <c r="J120" i="28"/>
  <c r="J114" i="28"/>
  <c r="J108" i="28"/>
  <c r="J92" i="28"/>
  <c r="J80" i="28"/>
  <c r="J72" i="28"/>
  <c r="J64" i="28"/>
  <c r="J157" i="28"/>
  <c r="J147" i="28"/>
  <c r="J143" i="28"/>
  <c r="J139" i="28"/>
  <c r="J135" i="28"/>
  <c r="J131" i="28"/>
  <c r="J111" i="28"/>
  <c r="J105" i="28"/>
  <c r="J91" i="28"/>
  <c r="J79" i="28"/>
  <c r="J71" i="28"/>
  <c r="J63" i="28"/>
  <c r="J162" i="28"/>
  <c r="J154" i="28"/>
  <c r="J146" i="28"/>
  <c r="J142" i="28"/>
  <c r="J138" i="28"/>
  <c r="J128" i="28"/>
  <c r="J122" i="28"/>
  <c r="J116" i="28"/>
  <c r="J110" i="28"/>
  <c r="J102" i="28"/>
  <c r="J96" i="28"/>
  <c r="J90" i="28"/>
  <c r="J78" i="28"/>
  <c r="J70" i="28"/>
  <c r="J62" i="28"/>
  <c r="J56" i="28"/>
  <c r="J151" i="28"/>
  <c r="J145" i="28"/>
  <c r="J125" i="28"/>
  <c r="J119" i="28"/>
  <c r="J113" i="28"/>
  <c r="J107" i="28"/>
  <c r="J101" i="28"/>
  <c r="J89" i="28"/>
  <c r="J77" i="28"/>
  <c r="J69" i="28"/>
  <c r="J61" i="28"/>
  <c r="J156" i="28"/>
  <c r="J68" i="28"/>
  <c r="J166" i="28"/>
  <c r="J160" i="28"/>
  <c r="J124" i="28"/>
  <c r="J104" i="28"/>
  <c r="J88" i="28"/>
  <c r="J84" i="28"/>
  <c r="J76" i="28"/>
  <c r="J134" i="28"/>
  <c r="J130" i="28"/>
  <c r="J60" i="28"/>
  <c r="J100" i="28"/>
  <c r="V151" i="28"/>
  <c r="V147" i="28"/>
  <c r="V143" i="28"/>
  <c r="V139" i="28"/>
  <c r="V135" i="28"/>
  <c r="V131" i="28"/>
  <c r="V119" i="28"/>
  <c r="V111" i="28"/>
  <c r="V107" i="28"/>
  <c r="V91" i="28"/>
  <c r="V79" i="28"/>
  <c r="V71" i="28"/>
  <c r="V63" i="28"/>
  <c r="V160" i="28"/>
  <c r="V154" i="28"/>
  <c r="V146" i="28"/>
  <c r="V142" i="28"/>
  <c r="V138" i="28"/>
  <c r="V134" i="28"/>
  <c r="V130" i="28"/>
  <c r="V122" i="28"/>
  <c r="V110" i="28"/>
  <c r="V102" i="28"/>
  <c r="V90" i="28"/>
  <c r="V86" i="28"/>
  <c r="V84" i="28"/>
  <c r="V78" i="28"/>
  <c r="V70" i="28"/>
  <c r="V62" i="28"/>
  <c r="V153" i="28"/>
  <c r="V145" i="28"/>
  <c r="V141" i="28"/>
  <c r="V137" i="28"/>
  <c r="V125" i="28"/>
  <c r="V121" i="28"/>
  <c r="V113" i="28"/>
  <c r="V109" i="28"/>
  <c r="V101" i="28"/>
  <c r="V89" i="28"/>
  <c r="T84" i="28"/>
  <c r="V77" i="28"/>
  <c r="V69" i="28"/>
  <c r="V61" i="28"/>
  <c r="V166" i="28"/>
  <c r="V156" i="28"/>
  <c r="V144" i="28"/>
  <c r="V124" i="28"/>
  <c r="V112" i="28"/>
  <c r="V104" i="28"/>
  <c r="V100" i="28"/>
  <c r="V88" i="28"/>
  <c r="V76" i="28"/>
  <c r="V68" i="28"/>
  <c r="V60" i="28"/>
  <c r="Z12" i="28"/>
  <c r="V161" i="28"/>
  <c r="V155" i="28"/>
  <c r="V127" i="28"/>
  <c r="V123" i="28"/>
  <c r="V115" i="28"/>
  <c r="V103" i="28"/>
  <c r="V99" i="28"/>
  <c r="V95" i="28"/>
  <c r="V87" i="28"/>
  <c r="V75" i="28"/>
  <c r="V67" i="28"/>
  <c r="V59" i="28"/>
  <c r="V158" i="28"/>
  <c r="V150" i="28"/>
  <c r="V126" i="28"/>
  <c r="V118" i="28"/>
  <c r="V114" i="28"/>
  <c r="V106" i="28"/>
  <c r="V98" i="28"/>
  <c r="V94" i="28"/>
  <c r="V82" i="28"/>
  <c r="V74" i="28"/>
  <c r="V66" i="28"/>
  <c r="V58" i="28"/>
  <c r="V157" i="28"/>
  <c r="V149" i="28"/>
  <c r="V133" i="28"/>
  <c r="V129" i="28"/>
  <c r="V117" i="28"/>
  <c r="V105" i="28"/>
  <c r="V97" i="28"/>
  <c r="V93" i="28"/>
  <c r="V81" i="28"/>
  <c r="V73" i="28"/>
  <c r="V65" i="28"/>
  <c r="V57" i="28"/>
  <c r="V136" i="28"/>
  <c r="V116" i="28"/>
  <c r="V80" i="28"/>
  <c r="V92" i="28"/>
  <c r="V64" i="28"/>
  <c r="V162" i="28"/>
  <c r="V56" i="28"/>
  <c r="V148" i="28"/>
  <c r="V108" i="28"/>
  <c r="V96" i="28"/>
  <c r="V72" i="28"/>
  <c r="V140" i="28"/>
  <c r="V128" i="28"/>
  <c r="V120" i="28"/>
  <c r="V152" i="28"/>
  <c r="V132" i="28"/>
  <c r="X160" i="28"/>
  <c r="Z160" i="28" s="1"/>
  <c r="X18" i="20"/>
  <c r="P27" i="20"/>
  <c r="T27" i="16"/>
  <c r="Z18" i="16"/>
  <c r="Z27" i="23"/>
  <c r="T31" i="23"/>
  <c r="X18" i="16"/>
  <c r="P27" i="16"/>
  <c r="D36" i="20"/>
  <c r="L18" i="8"/>
  <c r="D27" i="8"/>
  <c r="L18" i="99"/>
  <c r="D27" i="99"/>
  <c r="T27" i="98"/>
  <c r="Z18" i="98"/>
  <c r="L18" i="100"/>
  <c r="D27" i="100"/>
  <c r="Z16" i="89"/>
  <c r="T30" i="89"/>
  <c r="R87" i="85"/>
  <c r="R73" i="85"/>
  <c r="R65" i="85"/>
  <c r="R57" i="85"/>
  <c r="R54" i="85"/>
  <c r="R49" i="85"/>
  <c r="R37" i="85"/>
  <c r="R25" i="85"/>
  <c r="R76" i="85"/>
  <c r="R72" i="85"/>
  <c r="R64" i="85"/>
  <c r="R60" i="85"/>
  <c r="R45" i="85"/>
  <c r="R40" i="85"/>
  <c r="R36" i="85"/>
  <c r="R32" i="85"/>
  <c r="R24" i="85"/>
  <c r="R22" i="85"/>
  <c r="P20" i="85"/>
  <c r="R20" i="85" s="1"/>
  <c r="X12" i="85"/>
  <c r="Z12" i="85" s="1"/>
  <c r="R82" i="85"/>
  <c r="R71" i="85"/>
  <c r="R67" i="85"/>
  <c r="R63" i="85"/>
  <c r="R59" i="85"/>
  <c r="R56" i="85"/>
  <c r="R51" i="85"/>
  <c r="R48" i="85"/>
  <c r="R35" i="85"/>
  <c r="R31" i="85"/>
  <c r="R78" i="85"/>
  <c r="R75" i="85"/>
  <c r="R70" i="85"/>
  <c r="R62" i="85"/>
  <c r="R42" i="85"/>
  <c r="R39" i="85"/>
  <c r="R34" i="85"/>
  <c r="R30" i="85"/>
  <c r="R23" i="85"/>
  <c r="R18" i="85"/>
  <c r="R68" i="85"/>
  <c r="R55" i="85"/>
  <c r="R52" i="85"/>
  <c r="R47" i="85"/>
  <c r="R27" i="85"/>
  <c r="R16" i="85"/>
  <c r="R79" i="85"/>
  <c r="R74" i="85"/>
  <c r="R46" i="85"/>
  <c r="R43" i="85"/>
  <c r="R38" i="85"/>
  <c r="R26" i="85"/>
  <c r="R28" i="85"/>
  <c r="R17" i="85"/>
  <c r="R80" i="85"/>
  <c r="R69" i="85"/>
  <c r="R29" i="85"/>
  <c r="R77" i="85"/>
  <c r="R66" i="85"/>
  <c r="R33" i="85"/>
  <c r="R44" i="85"/>
  <c r="R61" i="85"/>
  <c r="R41" i="85"/>
  <c r="R58" i="85"/>
  <c r="R53" i="85"/>
  <c r="R50" i="85"/>
  <c r="R83" i="85"/>
  <c r="H17" i="87"/>
  <c r="J17" i="87" s="1"/>
  <c r="J29" i="87"/>
  <c r="J23" i="87"/>
  <c r="J19" i="87"/>
  <c r="J22" i="87"/>
  <c r="N12" i="87"/>
  <c r="J20" i="87"/>
  <c r="J21" i="87"/>
  <c r="J25" i="87"/>
  <c r="J15" i="87"/>
  <c r="J80" i="85"/>
  <c r="J66" i="85"/>
  <c r="J58" i="85"/>
  <c r="J50" i="85"/>
  <c r="J44" i="85"/>
  <c r="J28" i="85"/>
  <c r="J83" i="85"/>
  <c r="J77" i="85"/>
  <c r="J61" i="85"/>
  <c r="J55" i="85"/>
  <c r="J47" i="85"/>
  <c r="J41" i="85"/>
  <c r="J33" i="85"/>
  <c r="J27" i="85"/>
  <c r="J74" i="85"/>
  <c r="J68" i="85"/>
  <c r="J52" i="85"/>
  <c r="J46" i="85"/>
  <c r="J38" i="85"/>
  <c r="J26" i="85"/>
  <c r="J16" i="85"/>
  <c r="J87" i="85"/>
  <c r="J79" i="85"/>
  <c r="J73" i="85"/>
  <c r="J65" i="85"/>
  <c r="J57" i="85"/>
  <c r="J49" i="85"/>
  <c r="J43" i="85"/>
  <c r="J37" i="85"/>
  <c r="J25" i="85"/>
  <c r="J82" i="85"/>
  <c r="J78" i="85"/>
  <c r="J70" i="85"/>
  <c r="J62" i="85"/>
  <c r="J56" i="85"/>
  <c r="J48" i="85"/>
  <c r="J42" i="85"/>
  <c r="J34" i="85"/>
  <c r="J30" i="85"/>
  <c r="J22" i="85"/>
  <c r="J18" i="85"/>
  <c r="J75" i="85"/>
  <c r="J69" i="85"/>
  <c r="J53" i="85"/>
  <c r="J39" i="85"/>
  <c r="J29" i="85"/>
  <c r="J23" i="85"/>
  <c r="J17" i="85"/>
  <c r="J54" i="85"/>
  <c r="J71" i="85"/>
  <c r="J64" i="85"/>
  <c r="J31" i="85"/>
  <c r="H20" i="85"/>
  <c r="J76" i="85"/>
  <c r="J72" i="85"/>
  <c r="J59" i="85"/>
  <c r="J51" i="85"/>
  <c r="J35" i="85"/>
  <c r="J32" i="85"/>
  <c r="J24" i="85"/>
  <c r="J63" i="85"/>
  <c r="J60" i="85"/>
  <c r="J45" i="85"/>
  <c r="J40" i="85"/>
  <c r="N12" i="85"/>
  <c r="J36" i="85"/>
  <c r="J67" i="85"/>
  <c r="L71" i="81"/>
  <c r="N71" i="81" s="1"/>
  <c r="F20" i="78"/>
  <c r="P75" i="81"/>
  <c r="X16" i="81"/>
  <c r="D110" i="77"/>
  <c r="P44" i="74"/>
  <c r="X17" i="74"/>
  <c r="Z17" i="74" s="1"/>
  <c r="V71" i="76"/>
  <c r="V63" i="76"/>
  <c r="V59" i="76"/>
  <c r="V55" i="76"/>
  <c r="V51" i="76"/>
  <c r="V43" i="76"/>
  <c r="V70" i="76"/>
  <c r="V62" i="76"/>
  <c r="V58" i="76"/>
  <c r="V54" i="76"/>
  <c r="V46" i="76"/>
  <c r="V84" i="76"/>
  <c r="V79" i="76"/>
  <c r="V77" i="76"/>
  <c r="V73" i="76"/>
  <c r="V61" i="76"/>
  <c r="V57" i="76"/>
  <c r="V53" i="76"/>
  <c r="V45" i="76"/>
  <c r="V37" i="76"/>
  <c r="V33" i="76"/>
  <c r="V72" i="76"/>
  <c r="V56" i="76"/>
  <c r="V67" i="76"/>
  <c r="V47" i="76"/>
  <c r="V75" i="76"/>
  <c r="V64" i="76"/>
  <c r="V41" i="76"/>
  <c r="V40" i="76"/>
  <c r="V36" i="76"/>
  <c r="V26" i="76"/>
  <c r="V22" i="76"/>
  <c r="V20" i="76"/>
  <c r="V81" i="76"/>
  <c r="V65" i="76"/>
  <c r="V49" i="76"/>
  <c r="V25" i="76"/>
  <c r="T20" i="76"/>
  <c r="V68" i="76"/>
  <c r="V66" i="76"/>
  <c r="V60" i="76"/>
  <c r="V24" i="76"/>
  <c r="Z12" i="76"/>
  <c r="V50" i="76"/>
  <c r="V48" i="76"/>
  <c r="V42" i="76"/>
  <c r="V31" i="76"/>
  <c r="V23" i="76"/>
  <c r="V69" i="76"/>
  <c r="V52" i="76"/>
  <c r="V30" i="76"/>
  <c r="V18" i="76"/>
  <c r="V39" i="76"/>
  <c r="V38" i="76"/>
  <c r="V35" i="76"/>
  <c r="V29" i="76"/>
  <c r="V17" i="76"/>
  <c r="V44" i="76"/>
  <c r="V28" i="76"/>
  <c r="V16" i="76"/>
  <c r="V34" i="76"/>
  <c r="V27" i="76"/>
  <c r="V32" i="76"/>
  <c r="L29" i="72"/>
  <c r="X78" i="70"/>
  <c r="Z78" i="70" s="1"/>
  <c r="F75" i="70"/>
  <c r="F72" i="70"/>
  <c r="F67" i="70"/>
  <c r="F64" i="70"/>
  <c r="F60" i="70"/>
  <c r="F36" i="70"/>
  <c r="F27" i="70"/>
  <c r="F71" i="70"/>
  <c r="F54" i="70"/>
  <c r="F51" i="70"/>
  <c r="F46" i="70"/>
  <c r="F42" i="70"/>
  <c r="F35" i="70"/>
  <c r="F74" i="70"/>
  <c r="F70" i="70"/>
  <c r="F66" i="70"/>
  <c r="F57" i="70"/>
  <c r="F34" i="70"/>
  <c r="F78" i="70"/>
  <c r="F69" i="70"/>
  <c r="F53" i="70"/>
  <c r="F48" i="70"/>
  <c r="F45" i="70"/>
  <c r="F41" i="70"/>
  <c r="F76" i="70"/>
  <c r="F68" i="70"/>
  <c r="F63" i="70"/>
  <c r="F59" i="70"/>
  <c r="F56" i="70"/>
  <c r="F44" i="70"/>
  <c r="F40" i="70"/>
  <c r="D30" i="70"/>
  <c r="F28" i="70"/>
  <c r="F79" i="70"/>
  <c r="F73" i="70"/>
  <c r="F65" i="70"/>
  <c r="F62" i="70"/>
  <c r="F58" i="70"/>
  <c r="F38" i="70"/>
  <c r="F33" i="70"/>
  <c r="F32" i="70"/>
  <c r="F50" i="70"/>
  <c r="F39" i="70"/>
  <c r="L12" i="70"/>
  <c r="N12" i="70" s="1"/>
  <c r="F83" i="70"/>
  <c r="F61" i="70"/>
  <c r="F55" i="70"/>
  <c r="F43" i="70"/>
  <c r="F37" i="70"/>
  <c r="F47" i="70"/>
  <c r="F49" i="70"/>
  <c r="F52" i="70"/>
  <c r="J46" i="65"/>
  <c r="J40" i="65"/>
  <c r="J32" i="65"/>
  <c r="J24" i="65"/>
  <c r="J20" i="65"/>
  <c r="N12" i="65"/>
  <c r="J61" i="65"/>
  <c r="J55" i="65"/>
  <c r="J49" i="65"/>
  <c r="J37" i="65"/>
  <c r="J25" i="65"/>
  <c r="J19" i="65"/>
  <c r="J52" i="65"/>
  <c r="J42" i="65"/>
  <c r="J34" i="65"/>
  <c r="J28" i="65"/>
  <c r="J66" i="65"/>
  <c r="J59" i="65"/>
  <c r="J45" i="65"/>
  <c r="J39" i="65"/>
  <c r="J31" i="65"/>
  <c r="J54" i="65"/>
  <c r="J48" i="65"/>
  <c r="J44" i="65"/>
  <c r="J36" i="65"/>
  <c r="J18" i="65"/>
  <c r="J51" i="65"/>
  <c r="J47" i="65"/>
  <c r="J41" i="65"/>
  <c r="J33" i="65"/>
  <c r="J27" i="65"/>
  <c r="J50" i="65"/>
  <c r="J38" i="65"/>
  <c r="J30" i="65"/>
  <c r="J26" i="65"/>
  <c r="J22" i="65"/>
  <c r="J35" i="65"/>
  <c r="J29" i="65"/>
  <c r="J63" i="65"/>
  <c r="H22" i="65"/>
  <c r="J57" i="65"/>
  <c r="J53" i="65"/>
  <c r="J43" i="65"/>
  <c r="H100" i="71"/>
  <c r="L78" i="70"/>
  <c r="N78" i="70" s="1"/>
  <c r="Z16" i="59"/>
  <c r="T56" i="59"/>
  <c r="X56" i="59" s="1"/>
  <c r="L18" i="53"/>
  <c r="D27" i="53"/>
  <c r="J143" i="69"/>
  <c r="D99" i="62"/>
  <c r="P64" i="48"/>
  <c r="X17" i="48"/>
  <c r="L18" i="46"/>
  <c r="D27" i="46"/>
  <c r="T73" i="58"/>
  <c r="V93" i="51"/>
  <c r="V85" i="51"/>
  <c r="V77" i="51"/>
  <c r="V69" i="51"/>
  <c r="V57" i="51"/>
  <c r="V53" i="51"/>
  <c r="V51" i="51"/>
  <c r="V45" i="51"/>
  <c r="V37" i="51"/>
  <c r="V102" i="51"/>
  <c r="V92" i="51"/>
  <c r="V80" i="51"/>
  <c r="V76" i="51"/>
  <c r="V68" i="51"/>
  <c r="V56" i="51"/>
  <c r="T51" i="51"/>
  <c r="V44" i="51"/>
  <c r="V36" i="51"/>
  <c r="V97" i="51"/>
  <c r="V79" i="51"/>
  <c r="V71" i="51"/>
  <c r="V67" i="51"/>
  <c r="V63" i="51"/>
  <c r="V55" i="51"/>
  <c r="V43" i="51"/>
  <c r="V35" i="51"/>
  <c r="V82" i="51"/>
  <c r="V70" i="51"/>
  <c r="V66" i="51"/>
  <c r="V62" i="51"/>
  <c r="V54" i="51"/>
  <c r="V42" i="51"/>
  <c r="V95" i="51"/>
  <c r="V89" i="51"/>
  <c r="V81" i="51"/>
  <c r="V73" i="51"/>
  <c r="V65" i="51"/>
  <c r="V61" i="51"/>
  <c r="V49" i="51"/>
  <c r="V41" i="51"/>
  <c r="V98" i="51"/>
  <c r="V88" i="51"/>
  <c r="V84" i="51"/>
  <c r="V72" i="51"/>
  <c r="V64" i="51"/>
  <c r="V60" i="51"/>
  <c r="V48" i="51"/>
  <c r="V40" i="51"/>
  <c r="V91" i="51"/>
  <c r="V87" i="51"/>
  <c r="V83" i="51"/>
  <c r="V75" i="51"/>
  <c r="V59" i="51"/>
  <c r="V47" i="51"/>
  <c r="V39" i="51"/>
  <c r="V46" i="51"/>
  <c r="V90" i="51"/>
  <c r="V86" i="51"/>
  <c r="V58" i="51"/>
  <c r="V96" i="51"/>
  <c r="V38" i="51"/>
  <c r="V74" i="51"/>
  <c r="V78" i="51"/>
  <c r="J89" i="45"/>
  <c r="J77" i="45"/>
  <c r="J69" i="45"/>
  <c r="J65" i="45"/>
  <c r="J57" i="45"/>
  <c r="J49" i="45"/>
  <c r="J37" i="45"/>
  <c r="J33" i="45"/>
  <c r="J25" i="45"/>
  <c r="J21" i="45"/>
  <c r="J86" i="45"/>
  <c r="J76" i="45"/>
  <c r="J62" i="45"/>
  <c r="J54" i="45"/>
  <c r="J46" i="45"/>
  <c r="J32" i="45"/>
  <c r="J26" i="45"/>
  <c r="J83" i="45"/>
  <c r="J73" i="45"/>
  <c r="J59" i="45"/>
  <c r="J51" i="45"/>
  <c r="J43" i="45"/>
  <c r="J31" i="45"/>
  <c r="J88" i="45"/>
  <c r="J82" i="45"/>
  <c r="J68" i="45"/>
  <c r="J64" i="45"/>
  <c r="J56" i="45"/>
  <c r="J48" i="45"/>
  <c r="J42" i="45"/>
  <c r="J36" i="45"/>
  <c r="J30" i="45"/>
  <c r="J85" i="45"/>
  <c r="J81" i="45"/>
  <c r="J75" i="45"/>
  <c r="J61" i="45"/>
  <c r="J53" i="45"/>
  <c r="J45" i="45"/>
  <c r="J41" i="45"/>
  <c r="J29" i="45"/>
  <c r="J92" i="45"/>
  <c r="J87" i="45"/>
  <c r="J79" i="45"/>
  <c r="J71" i="45"/>
  <c r="J67" i="45"/>
  <c r="J63" i="45"/>
  <c r="J55" i="45"/>
  <c r="J47" i="45"/>
  <c r="J66" i="45"/>
  <c r="J38" i="45"/>
  <c r="J34" i="45"/>
  <c r="J23" i="45"/>
  <c r="J20" i="45"/>
  <c r="J19" i="45"/>
  <c r="J70" i="45"/>
  <c r="J39" i="45"/>
  <c r="J35" i="45"/>
  <c r="H23" i="45"/>
  <c r="J60" i="45"/>
  <c r="J28" i="45"/>
  <c r="J80" i="45"/>
  <c r="J44" i="45"/>
  <c r="J90" i="45"/>
  <c r="J84" i="45"/>
  <c r="J74" i="45"/>
  <c r="J50" i="45"/>
  <c r="J40" i="45"/>
  <c r="J78" i="45"/>
  <c r="J96" i="45"/>
  <c r="J58" i="45"/>
  <c r="J52" i="45"/>
  <c r="J72" i="45"/>
  <c r="J27" i="45"/>
  <c r="N12" i="45"/>
  <c r="V54" i="48"/>
  <c r="V50" i="48"/>
  <c r="V46" i="48"/>
  <c r="V38" i="48"/>
  <c r="V34" i="48"/>
  <c r="V22" i="48"/>
  <c r="T17" i="48"/>
  <c r="V57" i="48"/>
  <c r="V53" i="48"/>
  <c r="V49" i="48"/>
  <c r="V37" i="48"/>
  <c r="V33" i="48"/>
  <c r="V29" i="48"/>
  <c r="V21" i="48"/>
  <c r="V62" i="48"/>
  <c r="V56" i="48"/>
  <c r="V48" i="48"/>
  <c r="V40" i="48"/>
  <c r="V32" i="48"/>
  <c r="V28" i="48"/>
  <c r="V20" i="48"/>
  <c r="V59" i="48"/>
  <c r="V43" i="48"/>
  <c r="V39" i="48"/>
  <c r="V31" i="48"/>
  <c r="V27" i="48"/>
  <c r="V15" i="48"/>
  <c r="V58" i="48"/>
  <c r="V42" i="48"/>
  <c r="V30" i="48"/>
  <c r="V26" i="48"/>
  <c r="V45" i="48"/>
  <c r="V41" i="48"/>
  <c r="V25" i="48"/>
  <c r="V66" i="48"/>
  <c r="V52" i="48"/>
  <c r="V44" i="48"/>
  <c r="V36" i="48"/>
  <c r="V24" i="48"/>
  <c r="V47" i="48"/>
  <c r="V19" i="48"/>
  <c r="V61" i="48"/>
  <c r="V51" i="48"/>
  <c r="V55" i="48"/>
  <c r="V35" i="48"/>
  <c r="X12" i="48"/>
  <c r="Z12" i="48" s="1"/>
  <c r="V23" i="48"/>
  <c r="D94" i="45"/>
  <c r="L23" i="45"/>
  <c r="T27" i="52"/>
  <c r="Z18" i="52"/>
  <c r="J94" i="42"/>
  <c r="J88" i="42"/>
  <c r="J78" i="42"/>
  <c r="J66" i="42"/>
  <c r="J58" i="42"/>
  <c r="J44" i="42"/>
  <c r="J40" i="42"/>
  <c r="J28" i="42"/>
  <c r="J97" i="42"/>
  <c r="J91" i="42"/>
  <c r="J87" i="42"/>
  <c r="J73" i="42"/>
  <c r="J63" i="42"/>
  <c r="J55" i="42"/>
  <c r="J49" i="42"/>
  <c r="J39" i="42"/>
  <c r="J35" i="42"/>
  <c r="J27" i="42"/>
  <c r="J102" i="42"/>
  <c r="J86" i="42"/>
  <c r="J80" i="42"/>
  <c r="J70" i="42"/>
  <c r="J60" i="42"/>
  <c r="J52" i="42"/>
  <c r="J46" i="42"/>
  <c r="J38" i="42"/>
  <c r="J34" i="42"/>
  <c r="H23" i="42"/>
  <c r="J93" i="42"/>
  <c r="J85" i="42"/>
  <c r="J77" i="42"/>
  <c r="J69" i="42"/>
  <c r="J65" i="42"/>
  <c r="J57" i="42"/>
  <c r="J43" i="42"/>
  <c r="J37" i="42"/>
  <c r="J33" i="42"/>
  <c r="J25" i="42"/>
  <c r="J21" i="42"/>
  <c r="J100" i="42"/>
  <c r="J96" i="42"/>
  <c r="J90" i="42"/>
  <c r="J84" i="42"/>
  <c r="J76" i="42"/>
  <c r="J72" i="42"/>
  <c r="J68" i="42"/>
  <c r="J62" i="42"/>
  <c r="J54" i="42"/>
  <c r="J48" i="42"/>
  <c r="J32" i="42"/>
  <c r="J26" i="42"/>
  <c r="J20" i="42"/>
  <c r="N12" i="42"/>
  <c r="J103" i="42"/>
  <c r="J95" i="42"/>
  <c r="J83" i="42"/>
  <c r="J79" i="42"/>
  <c r="J75" i="42"/>
  <c r="J67" i="42"/>
  <c r="J59" i="42"/>
  <c r="J51" i="42"/>
  <c r="J45" i="42"/>
  <c r="J31" i="42"/>
  <c r="J98" i="42"/>
  <c r="J92" i="42"/>
  <c r="J82" i="42"/>
  <c r="J74" i="42"/>
  <c r="J64" i="42"/>
  <c r="J56" i="42"/>
  <c r="J50" i="42"/>
  <c r="J42" i="42"/>
  <c r="J36" i="42"/>
  <c r="J30" i="42"/>
  <c r="J71" i="42"/>
  <c r="J53" i="42"/>
  <c r="J19" i="42"/>
  <c r="J101" i="42"/>
  <c r="J41" i="42"/>
  <c r="J89" i="42"/>
  <c r="J81" i="42"/>
  <c r="J61" i="42"/>
  <c r="J107" i="42"/>
  <c r="J29" i="42"/>
  <c r="J47" i="42"/>
  <c r="J109" i="39"/>
  <c r="J103" i="39"/>
  <c r="J93" i="39"/>
  <c r="J85" i="39"/>
  <c r="J75" i="39"/>
  <c r="J61" i="39"/>
  <c r="J55" i="39"/>
  <c r="J41" i="39"/>
  <c r="J35" i="39"/>
  <c r="J29" i="39"/>
  <c r="J118" i="39"/>
  <c r="J112" i="39"/>
  <c r="J100" i="39"/>
  <c r="J92" i="39"/>
  <c r="J82" i="39"/>
  <c r="J72" i="39"/>
  <c r="J66" i="39"/>
  <c r="J60" i="39"/>
  <c r="J52" i="39"/>
  <c r="J40" i="39"/>
  <c r="J28" i="39"/>
  <c r="J105" i="39"/>
  <c r="J99" i="39"/>
  <c r="J89" i="39"/>
  <c r="J77" i="39"/>
  <c r="J69" i="39"/>
  <c r="J63" i="39"/>
  <c r="J57" i="39"/>
  <c r="J51" i="39"/>
  <c r="J45" i="39"/>
  <c r="J39" i="39"/>
  <c r="J108" i="39"/>
  <c r="J102" i="39"/>
  <c r="J98" i="39"/>
  <c r="J84" i="39"/>
  <c r="J74" i="39"/>
  <c r="J54" i="39"/>
  <c r="J50" i="39"/>
  <c r="J38" i="39"/>
  <c r="J113" i="39"/>
  <c r="J97" i="39"/>
  <c r="J91" i="39"/>
  <c r="J81" i="39"/>
  <c r="J71" i="39"/>
  <c r="J65" i="39"/>
  <c r="J59" i="39"/>
  <c r="J49" i="39"/>
  <c r="J37" i="39"/>
  <c r="J27" i="39"/>
  <c r="J104" i="39"/>
  <c r="J96" i="39"/>
  <c r="J88" i="39"/>
  <c r="J80" i="39"/>
  <c r="J76" i="39"/>
  <c r="J68" i="39"/>
  <c r="J62" i="39"/>
  <c r="J56" i="39"/>
  <c r="J48" i="39"/>
  <c r="J44" i="39"/>
  <c r="J111" i="39"/>
  <c r="J107" i="39"/>
  <c r="J101" i="39"/>
  <c r="J95" i="39"/>
  <c r="J87" i="39"/>
  <c r="J83" i="39"/>
  <c r="J79" i="39"/>
  <c r="J73" i="39"/>
  <c r="J67" i="39"/>
  <c r="J53" i="39"/>
  <c r="J47" i="39"/>
  <c r="J43" i="39"/>
  <c r="H32" i="39"/>
  <c r="J106" i="39"/>
  <c r="J34" i="39"/>
  <c r="J58" i="39"/>
  <c r="J90" i="39"/>
  <c r="J36" i="39"/>
  <c r="J114" i="39"/>
  <c r="J78" i="39"/>
  <c r="J46" i="39"/>
  <c r="J30" i="39"/>
  <c r="J64" i="39"/>
  <c r="J86" i="39"/>
  <c r="J42" i="39"/>
  <c r="J94" i="39"/>
  <c r="J70" i="39"/>
  <c r="L18" i="40"/>
  <c r="D27" i="40"/>
  <c r="T27" i="32"/>
  <c r="Z18" i="32"/>
  <c r="N27" i="44"/>
  <c r="H31" i="44"/>
  <c r="L23" i="42"/>
  <c r="D105" i="42"/>
  <c r="L109" i="36"/>
  <c r="N109" i="36" s="1"/>
  <c r="R163" i="34"/>
  <c r="R148" i="34"/>
  <c r="R140" i="34"/>
  <c r="R124" i="34"/>
  <c r="R121" i="34"/>
  <c r="R112" i="34"/>
  <c r="R109" i="34"/>
  <c r="R104" i="34"/>
  <c r="R92" i="34"/>
  <c r="R80" i="34"/>
  <c r="R72" i="34"/>
  <c r="R64" i="34"/>
  <c r="R169" i="34"/>
  <c r="R159" i="34"/>
  <c r="R156" i="34"/>
  <c r="R144" i="34"/>
  <c r="R136" i="34"/>
  <c r="R132" i="34"/>
  <c r="R127" i="34"/>
  <c r="R115" i="34"/>
  <c r="R103" i="34"/>
  <c r="R91" i="34"/>
  <c r="R86" i="34"/>
  <c r="R79" i="34"/>
  <c r="R71" i="34"/>
  <c r="R63" i="34"/>
  <c r="R147" i="34"/>
  <c r="R139" i="34"/>
  <c r="R126" i="34"/>
  <c r="R123" i="34"/>
  <c r="R111" i="34"/>
  <c r="R106" i="34"/>
  <c r="R102" i="34"/>
  <c r="R90" i="34"/>
  <c r="R88" i="34"/>
  <c r="P86" i="34"/>
  <c r="R78" i="34"/>
  <c r="R70" i="34"/>
  <c r="R62" i="34"/>
  <c r="R164" i="34"/>
  <c r="R161" i="34"/>
  <c r="R158" i="34"/>
  <c r="R153" i="34"/>
  <c r="R129" i="34"/>
  <c r="R117" i="34"/>
  <c r="R114" i="34"/>
  <c r="R101" i="34"/>
  <c r="R97" i="34"/>
  <c r="R77" i="34"/>
  <c r="R69" i="34"/>
  <c r="R61" i="34"/>
  <c r="R152" i="34"/>
  <c r="R125" i="34"/>
  <c r="R120" i="34"/>
  <c r="R108" i="34"/>
  <c r="R105" i="34"/>
  <c r="R100" i="34"/>
  <c r="R96" i="34"/>
  <c r="R89" i="34"/>
  <c r="R84" i="34"/>
  <c r="R76" i="34"/>
  <c r="R68" i="34"/>
  <c r="R60" i="34"/>
  <c r="X12" i="34"/>
  <c r="R160" i="34"/>
  <c r="R155" i="34"/>
  <c r="R151" i="34"/>
  <c r="R143" i="34"/>
  <c r="R135" i="34"/>
  <c r="R131" i="34"/>
  <c r="R128" i="34"/>
  <c r="R119" i="34"/>
  <c r="R116" i="34"/>
  <c r="R99" i="34"/>
  <c r="R95" i="34"/>
  <c r="R83" i="34"/>
  <c r="R75" i="34"/>
  <c r="R67" i="34"/>
  <c r="R59" i="34"/>
  <c r="R165" i="34"/>
  <c r="R150" i="34"/>
  <c r="R146" i="34"/>
  <c r="R142" i="34"/>
  <c r="R138" i="34"/>
  <c r="R134" i="34"/>
  <c r="R122" i="34"/>
  <c r="R110" i="34"/>
  <c r="R107" i="34"/>
  <c r="R94" i="34"/>
  <c r="R82" i="34"/>
  <c r="R74" i="34"/>
  <c r="R66" i="34"/>
  <c r="R133" i="34"/>
  <c r="R154" i="34"/>
  <c r="R145" i="34"/>
  <c r="R81" i="34"/>
  <c r="R157" i="34"/>
  <c r="R149" i="34"/>
  <c r="R137" i="34"/>
  <c r="R98" i="34"/>
  <c r="R93" i="34"/>
  <c r="R141" i="34"/>
  <c r="R118" i="34"/>
  <c r="R65" i="34"/>
  <c r="R113" i="34"/>
  <c r="R73" i="34"/>
  <c r="R58" i="34"/>
  <c r="R130" i="34"/>
  <c r="L18" i="26"/>
  <c r="D27" i="26"/>
  <c r="J105" i="25"/>
  <c r="J101" i="25"/>
  <c r="J97" i="25"/>
  <c r="J73" i="25"/>
  <c r="J69" i="25"/>
  <c r="J61" i="25"/>
  <c r="J57" i="25"/>
  <c r="J49" i="25"/>
  <c r="J41" i="25"/>
  <c r="J112" i="25"/>
  <c r="J108" i="25"/>
  <c r="J104" i="25"/>
  <c r="J94" i="25"/>
  <c r="J88" i="25"/>
  <c r="J82" i="25"/>
  <c r="J68" i="25"/>
  <c r="J62" i="25"/>
  <c r="J56" i="25"/>
  <c r="J48" i="25"/>
  <c r="J115" i="25"/>
  <c r="J107" i="25"/>
  <c r="J91" i="25"/>
  <c r="J85" i="25"/>
  <c r="J79" i="25"/>
  <c r="J67" i="25"/>
  <c r="J55" i="25"/>
  <c r="J47" i="25"/>
  <c r="J110" i="25"/>
  <c r="J100" i="25"/>
  <c r="J96" i="25"/>
  <c r="J90" i="25"/>
  <c r="J78" i="25"/>
  <c r="J72" i="25"/>
  <c r="J66" i="25"/>
  <c r="J54" i="25"/>
  <c r="J46" i="25"/>
  <c r="J40" i="25"/>
  <c r="J119" i="25"/>
  <c r="J113" i="25"/>
  <c r="J103" i="25"/>
  <c r="J93" i="25"/>
  <c r="J87" i="25"/>
  <c r="J81" i="25"/>
  <c r="J77" i="25"/>
  <c r="J65" i="25"/>
  <c r="J53" i="25"/>
  <c r="J45" i="25"/>
  <c r="J106" i="25"/>
  <c r="J84" i="25"/>
  <c r="J76" i="25"/>
  <c r="J64" i="25"/>
  <c r="J52" i="25"/>
  <c r="J44" i="25"/>
  <c r="N12" i="25"/>
  <c r="J109" i="25"/>
  <c r="J99" i="25"/>
  <c r="J95" i="25"/>
  <c r="J89" i="25"/>
  <c r="J83" i="25"/>
  <c r="J75" i="25"/>
  <c r="J71" i="25"/>
  <c r="J63" i="25"/>
  <c r="J51" i="25"/>
  <c r="J43" i="25"/>
  <c r="J80" i="25"/>
  <c r="J102" i="25"/>
  <c r="H59" i="25"/>
  <c r="J70" i="25"/>
  <c r="J114" i="25"/>
  <c r="J42" i="25"/>
  <c r="J98" i="25"/>
  <c r="J74" i="25"/>
  <c r="J50" i="25"/>
  <c r="J86" i="25"/>
  <c r="J92" i="25"/>
  <c r="X26" i="36"/>
  <c r="P114" i="36"/>
  <c r="L18" i="16"/>
  <c r="D27" i="16"/>
  <c r="N240" i="18"/>
  <c r="T27" i="10"/>
  <c r="Z18" i="10"/>
  <c r="X18" i="14"/>
  <c r="P27" i="14"/>
  <c r="R246" i="18"/>
  <c r="R235" i="18"/>
  <c r="R228" i="18"/>
  <c r="R223" i="18"/>
  <c r="R219" i="18"/>
  <c r="R215" i="18"/>
  <c r="R211" i="18"/>
  <c r="R207" i="18"/>
  <c r="R196" i="18"/>
  <c r="R191" i="18"/>
  <c r="R179" i="18"/>
  <c r="R172" i="18"/>
  <c r="R163" i="18"/>
  <c r="R159" i="18"/>
  <c r="R139" i="18"/>
  <c r="R131" i="18"/>
  <c r="R123" i="18"/>
  <c r="R115" i="18"/>
  <c r="R107" i="18"/>
  <c r="R99" i="18"/>
  <c r="R241" i="18"/>
  <c r="R238" i="18"/>
  <c r="R234" i="18"/>
  <c r="R231" i="18"/>
  <c r="R222" i="18"/>
  <c r="R218" i="18"/>
  <c r="R214" i="18"/>
  <c r="R210" i="18"/>
  <c r="R206" i="18"/>
  <c r="R202" i="18"/>
  <c r="R199" i="18"/>
  <c r="R190" i="18"/>
  <c r="R187" i="18"/>
  <c r="R182" i="18"/>
  <c r="R178" i="18"/>
  <c r="R175" i="18"/>
  <c r="R158" i="18"/>
  <c r="R151" i="18"/>
  <c r="R146" i="18"/>
  <c r="R138" i="18"/>
  <c r="R130" i="18"/>
  <c r="R122" i="18"/>
  <c r="R114" i="18"/>
  <c r="R106" i="18"/>
  <c r="R98" i="18"/>
  <c r="R244" i="18"/>
  <c r="R221" i="18"/>
  <c r="R213" i="18"/>
  <c r="R209" i="18"/>
  <c r="R205" i="18"/>
  <c r="R193" i="18"/>
  <c r="R181" i="18"/>
  <c r="R169" i="18"/>
  <c r="R162" i="18"/>
  <c r="R157" i="18"/>
  <c r="R145" i="18"/>
  <c r="R137" i="18"/>
  <c r="R129" i="18"/>
  <c r="R121" i="18"/>
  <c r="R113" i="18"/>
  <c r="R105" i="18"/>
  <c r="R97" i="18"/>
  <c r="R250" i="18"/>
  <c r="R237" i="18"/>
  <c r="R233" i="18"/>
  <c r="R217" i="18"/>
  <c r="R204" i="18"/>
  <c r="R201" i="18"/>
  <c r="R189" i="18"/>
  <c r="R184" i="18"/>
  <c r="R177" i="18"/>
  <c r="R168" i="18"/>
  <c r="R156" i="18"/>
  <c r="R144" i="18"/>
  <c r="R136" i="18"/>
  <c r="R128" i="18"/>
  <c r="R120" i="18"/>
  <c r="R112" i="18"/>
  <c r="R104" i="18"/>
  <c r="R242" i="18"/>
  <c r="R227" i="18"/>
  <c r="R220" i="18"/>
  <c r="R212" i="18"/>
  <c r="R208" i="18"/>
  <c r="R195" i="18"/>
  <c r="R192" i="18"/>
  <c r="R180" i="18"/>
  <c r="R171" i="18"/>
  <c r="R167" i="18"/>
  <c r="R155" i="18"/>
  <c r="R143" i="18"/>
  <c r="R135" i="18"/>
  <c r="R127" i="18"/>
  <c r="R119" i="18"/>
  <c r="R111" i="18"/>
  <c r="R103" i="18"/>
  <c r="R96" i="18"/>
  <c r="R245" i="18"/>
  <c r="R230" i="18"/>
  <c r="R226" i="18"/>
  <c r="R203" i="18"/>
  <c r="R198" i="18"/>
  <c r="R186" i="18"/>
  <c r="R183" i="18"/>
  <c r="R174" i="18"/>
  <c r="R166" i="18"/>
  <c r="R154" i="18"/>
  <c r="R142" i="18"/>
  <c r="R134" i="18"/>
  <c r="R126" i="18"/>
  <c r="R118" i="18"/>
  <c r="R110" i="18"/>
  <c r="R102" i="18"/>
  <c r="R240" i="18"/>
  <c r="R229" i="18"/>
  <c r="R225" i="18"/>
  <c r="R197" i="18"/>
  <c r="R194" i="18"/>
  <c r="R173" i="18"/>
  <c r="R170" i="18"/>
  <c r="R165" i="18"/>
  <c r="R161" i="18"/>
  <c r="R153" i="18"/>
  <c r="R148" i="18"/>
  <c r="R141" i="18"/>
  <c r="R133" i="18"/>
  <c r="R125" i="18"/>
  <c r="R117" i="18"/>
  <c r="R109" i="18"/>
  <c r="R101" i="18"/>
  <c r="R116" i="18"/>
  <c r="R160" i="18"/>
  <c r="R152" i="18"/>
  <c r="R140" i="18"/>
  <c r="R100" i="18"/>
  <c r="R200" i="18"/>
  <c r="R232" i="18"/>
  <c r="R216" i="18"/>
  <c r="R188" i="18"/>
  <c r="R124" i="18"/>
  <c r="R224" i="18"/>
  <c r="P148" i="18"/>
  <c r="R132" i="18"/>
  <c r="R108" i="18"/>
  <c r="R243" i="18"/>
  <c r="R185" i="18"/>
  <c r="R164" i="18"/>
  <c r="R150" i="18"/>
  <c r="R236" i="18"/>
  <c r="X12" i="18"/>
  <c r="R176" i="18"/>
  <c r="T27" i="5"/>
  <c r="X27" i="5" s="1"/>
  <c r="Z18" i="5"/>
  <c r="N27" i="10"/>
  <c r="H31" i="10"/>
  <c r="X258" i="3"/>
  <c r="Z258" i="3" s="1"/>
  <c r="T27" i="99"/>
  <c r="X27" i="99" s="1"/>
  <c r="Z18" i="99"/>
  <c r="J66" i="97"/>
  <c r="J58" i="97"/>
  <c r="J52" i="97"/>
  <c r="J54" i="97"/>
  <c r="J50" i="97"/>
  <c r="J44" i="97"/>
  <c r="J38" i="97"/>
  <c r="J55" i="97"/>
  <c r="J47" i="97"/>
  <c r="J32" i="97"/>
  <c r="J28" i="97"/>
  <c r="H17" i="97"/>
  <c r="J62" i="97"/>
  <c r="J53" i="97"/>
  <c r="J46" i="97"/>
  <c r="J41" i="97"/>
  <c r="J31" i="97"/>
  <c r="J27" i="97"/>
  <c r="J19" i="97"/>
  <c r="J26" i="97"/>
  <c r="J20" i="97"/>
  <c r="J61" i="97"/>
  <c r="J51" i="97"/>
  <c r="J49" i="97"/>
  <c r="J40" i="97"/>
  <c r="J37" i="97"/>
  <c r="J25" i="97"/>
  <c r="J15" i="97"/>
  <c r="J59" i="97"/>
  <c r="J45" i="97"/>
  <c r="J30" i="97"/>
  <c r="J24" i="97"/>
  <c r="J57" i="97"/>
  <c r="J48" i="97"/>
  <c r="J36" i="97"/>
  <c r="J23" i="97"/>
  <c r="J56" i="97"/>
  <c r="J39" i="97"/>
  <c r="J35" i="97"/>
  <c r="J34" i="97"/>
  <c r="J22" i="97"/>
  <c r="J43" i="97"/>
  <c r="J17" i="97"/>
  <c r="L12" i="97"/>
  <c r="N12" i="97" s="1"/>
  <c r="J33" i="97"/>
  <c r="J29" i="97"/>
  <c r="J42" i="97"/>
  <c r="J21" i="97"/>
  <c r="P31" i="96"/>
  <c r="T85" i="85"/>
  <c r="D73" i="86"/>
  <c r="N66" i="86"/>
  <c r="L66" i="86"/>
  <c r="P38" i="83"/>
  <c r="X16" i="83"/>
  <c r="D32" i="88"/>
  <c r="Z71" i="81"/>
  <c r="T75" i="81"/>
  <c r="J28" i="78"/>
  <c r="J24" i="78"/>
  <c r="J20" i="78"/>
  <c r="N12" i="78"/>
  <c r="H20" i="78"/>
  <c r="J32" i="78"/>
  <c r="J26" i="78"/>
  <c r="J22" i="78"/>
  <c r="J18" i="78"/>
  <c r="J23" i="78"/>
  <c r="J17" i="78"/>
  <c r="J16" i="78"/>
  <c r="J25" i="78"/>
  <c r="J105" i="77"/>
  <c r="J99" i="77"/>
  <c r="J95" i="77"/>
  <c r="J91" i="77"/>
  <c r="J87" i="77"/>
  <c r="J81" i="77"/>
  <c r="J73" i="77"/>
  <c r="J63" i="77"/>
  <c r="J59" i="77"/>
  <c r="H48" i="77"/>
  <c r="J39" i="77"/>
  <c r="J102" i="77"/>
  <c r="J98" i="77"/>
  <c r="J94" i="77"/>
  <c r="J90" i="77"/>
  <c r="J86" i="77"/>
  <c r="J78" i="77"/>
  <c r="J70" i="77"/>
  <c r="J62" i="77"/>
  <c r="J58" i="77"/>
  <c r="J50" i="77"/>
  <c r="J46" i="77"/>
  <c r="J97" i="77"/>
  <c r="J83" i="77"/>
  <c r="J75" i="77"/>
  <c r="J67" i="77"/>
  <c r="J61" i="77"/>
  <c r="J57" i="77"/>
  <c r="J51" i="77"/>
  <c r="J45" i="77"/>
  <c r="J108" i="77"/>
  <c r="J104" i="77"/>
  <c r="J80" i="77"/>
  <c r="J72" i="77"/>
  <c r="J56" i="77"/>
  <c r="J44" i="77"/>
  <c r="J38" i="77"/>
  <c r="N12" i="77"/>
  <c r="J101" i="77"/>
  <c r="J93" i="77"/>
  <c r="J89" i="77"/>
  <c r="J85" i="77"/>
  <c r="J77" i="77"/>
  <c r="J69" i="77"/>
  <c r="J55" i="77"/>
  <c r="J43" i="77"/>
  <c r="J112" i="77"/>
  <c r="J106" i="77"/>
  <c r="J96" i="77"/>
  <c r="J82" i="77"/>
  <c r="J74" i="77"/>
  <c r="J66" i="77"/>
  <c r="J60" i="77"/>
  <c r="J54" i="77"/>
  <c r="J42" i="77"/>
  <c r="J100" i="77"/>
  <c r="J84" i="77"/>
  <c r="J79" i="77"/>
  <c r="J68" i="77"/>
  <c r="J53" i="77"/>
  <c r="J48" i="77"/>
  <c r="J88" i="77"/>
  <c r="J64" i="77"/>
  <c r="J40" i="77"/>
  <c r="J103" i="77"/>
  <c r="J76" i="77"/>
  <c r="J41" i="77"/>
  <c r="J65" i="77"/>
  <c r="J52" i="77"/>
  <c r="J92" i="77"/>
  <c r="J71" i="77"/>
  <c r="F51" i="76"/>
  <c r="F48" i="76"/>
  <c r="F70" i="76"/>
  <c r="F67" i="76"/>
  <c r="F66" i="76"/>
  <c r="F61" i="76"/>
  <c r="F53" i="76"/>
  <c r="F50" i="76"/>
  <c r="F45" i="76"/>
  <c r="F72" i="76"/>
  <c r="F69" i="76"/>
  <c r="F65" i="76"/>
  <c r="F56" i="76"/>
  <c r="F64" i="76"/>
  <c r="F60" i="76"/>
  <c r="F52" i="76"/>
  <c r="F47" i="76"/>
  <c r="F44" i="76"/>
  <c r="F63" i="76"/>
  <c r="F43" i="76"/>
  <c r="F40" i="76"/>
  <c r="F36" i="76"/>
  <c r="F31" i="76"/>
  <c r="F73" i="76"/>
  <c r="F58" i="76"/>
  <c r="F54" i="76"/>
  <c r="F39" i="76"/>
  <c r="F30" i="76"/>
  <c r="D20" i="76"/>
  <c r="F18" i="76"/>
  <c r="F59" i="76"/>
  <c r="F55" i="76"/>
  <c r="F35" i="76"/>
  <c r="F34" i="76"/>
  <c r="F33" i="76"/>
  <c r="F29" i="76"/>
  <c r="F17" i="76"/>
  <c r="F79" i="76"/>
  <c r="F42" i="76"/>
  <c r="F28" i="76"/>
  <c r="F23" i="76"/>
  <c r="F22" i="76"/>
  <c r="F75" i="76"/>
  <c r="F46" i="76"/>
  <c r="F41" i="76"/>
  <c r="F38" i="76"/>
  <c r="F27" i="76"/>
  <c r="F37" i="76"/>
  <c r="F26" i="76"/>
  <c r="F68" i="76"/>
  <c r="F24" i="76"/>
  <c r="F62" i="76"/>
  <c r="F32" i="76"/>
  <c r="F25" i="76"/>
  <c r="F57" i="76"/>
  <c r="F49" i="76"/>
  <c r="F16" i="76"/>
  <c r="L12" i="76"/>
  <c r="F71" i="76"/>
  <c r="P32" i="72"/>
  <c r="X18" i="72"/>
  <c r="D36" i="72"/>
  <c r="L32" i="72"/>
  <c r="H46" i="60"/>
  <c r="N16" i="60"/>
  <c r="L12" i="65"/>
  <c r="T99" i="62"/>
  <c r="Z17" i="62"/>
  <c r="H73" i="58"/>
  <c r="P31" i="47"/>
  <c r="X27" i="47"/>
  <c r="D53" i="60"/>
  <c r="T50" i="61"/>
  <c r="H27" i="50"/>
  <c r="N18" i="50"/>
  <c r="T31" i="47"/>
  <c r="Z27" i="47"/>
  <c r="N27" i="53"/>
  <c r="H31" i="53"/>
  <c r="R86" i="51"/>
  <c r="R83" i="51"/>
  <c r="R78" i="51"/>
  <c r="R58" i="51"/>
  <c r="R46" i="51"/>
  <c r="R38" i="51"/>
  <c r="R96" i="51"/>
  <c r="R93" i="51"/>
  <c r="R90" i="51"/>
  <c r="R77" i="51"/>
  <c r="R74" i="51"/>
  <c r="R69" i="51"/>
  <c r="R57" i="51"/>
  <c r="R45" i="51"/>
  <c r="R37" i="51"/>
  <c r="R102" i="51"/>
  <c r="R85" i="51"/>
  <c r="R80" i="51"/>
  <c r="R68" i="51"/>
  <c r="R56" i="51"/>
  <c r="R44" i="51"/>
  <c r="R36" i="51"/>
  <c r="X12" i="51"/>
  <c r="Z12" i="51" s="1"/>
  <c r="R92" i="51"/>
  <c r="R76" i="51"/>
  <c r="R71" i="51"/>
  <c r="R67" i="51"/>
  <c r="R63" i="51"/>
  <c r="R55" i="51"/>
  <c r="R53" i="51"/>
  <c r="P51" i="51"/>
  <c r="R51" i="51" s="1"/>
  <c r="R43" i="51"/>
  <c r="R97" i="51"/>
  <c r="R82" i="51"/>
  <c r="R79" i="51"/>
  <c r="R66" i="51"/>
  <c r="R62" i="51"/>
  <c r="R42" i="51"/>
  <c r="R35" i="51"/>
  <c r="R89" i="51"/>
  <c r="R73" i="51"/>
  <c r="R70" i="51"/>
  <c r="R65" i="51"/>
  <c r="R61" i="51"/>
  <c r="R54" i="51"/>
  <c r="R49" i="51"/>
  <c r="R41" i="51"/>
  <c r="R95" i="51"/>
  <c r="R88" i="51"/>
  <c r="R84" i="51"/>
  <c r="R81" i="51"/>
  <c r="R60" i="51"/>
  <c r="R48" i="51"/>
  <c r="R40" i="51"/>
  <c r="R39" i="51"/>
  <c r="R75" i="51"/>
  <c r="R72" i="51"/>
  <c r="R47" i="51"/>
  <c r="R87" i="51"/>
  <c r="R91" i="51"/>
  <c r="R64" i="51"/>
  <c r="R59" i="51"/>
  <c r="R98" i="51"/>
  <c r="L27" i="49"/>
  <c r="X18" i="46"/>
  <c r="P27" i="46"/>
  <c r="T27" i="40"/>
  <c r="Z18" i="40"/>
  <c r="V111" i="39"/>
  <c r="V101" i="39"/>
  <c r="V97" i="39"/>
  <c r="V81" i="39"/>
  <c r="V73" i="39"/>
  <c r="V65" i="39"/>
  <c r="V53" i="39"/>
  <c r="V49" i="39"/>
  <c r="V37" i="39"/>
  <c r="T32" i="39"/>
  <c r="V114" i="39"/>
  <c r="V104" i="39"/>
  <c r="V96" i="39"/>
  <c r="V88" i="39"/>
  <c r="V80" i="39"/>
  <c r="V76" i="39"/>
  <c r="V68" i="39"/>
  <c r="V64" i="39"/>
  <c r="V56" i="39"/>
  <c r="V48" i="39"/>
  <c r="V44" i="39"/>
  <c r="V36" i="39"/>
  <c r="V107" i="39"/>
  <c r="V103" i="39"/>
  <c r="V95" i="39"/>
  <c r="V87" i="39"/>
  <c r="V83" i="39"/>
  <c r="V79" i="39"/>
  <c r="V75" i="39"/>
  <c r="V67" i="39"/>
  <c r="V55" i="39"/>
  <c r="V47" i="39"/>
  <c r="V43" i="39"/>
  <c r="V35" i="39"/>
  <c r="V112" i="39"/>
  <c r="V106" i="39"/>
  <c r="V94" i="39"/>
  <c r="V90" i="39"/>
  <c r="V86" i="39"/>
  <c r="V82" i="39"/>
  <c r="V78" i="39"/>
  <c r="V70" i="39"/>
  <c r="V66" i="39"/>
  <c r="V58" i="39"/>
  <c r="V46" i="39"/>
  <c r="V42" i="39"/>
  <c r="V30" i="39"/>
  <c r="V109" i="39"/>
  <c r="V105" i="39"/>
  <c r="V93" i="39"/>
  <c r="V89" i="39"/>
  <c r="V85" i="39"/>
  <c r="V77" i="39"/>
  <c r="V69" i="39"/>
  <c r="V61" i="39"/>
  <c r="V57" i="39"/>
  <c r="V45" i="39"/>
  <c r="V41" i="39"/>
  <c r="V29" i="39"/>
  <c r="V118" i="39"/>
  <c r="V108" i="39"/>
  <c r="V100" i="39"/>
  <c r="V92" i="39"/>
  <c r="V84" i="39"/>
  <c r="V72" i="39"/>
  <c r="V60" i="39"/>
  <c r="V52" i="39"/>
  <c r="V40" i="39"/>
  <c r="V113" i="39"/>
  <c r="V99" i="39"/>
  <c r="V91" i="39"/>
  <c r="V71" i="39"/>
  <c r="V63" i="39"/>
  <c r="V59" i="39"/>
  <c r="V51" i="39"/>
  <c r="V39" i="39"/>
  <c r="V27" i="39"/>
  <c r="V74" i="39"/>
  <c r="V62" i="39"/>
  <c r="V38" i="39"/>
  <c r="Z12" i="39"/>
  <c r="V50" i="39"/>
  <c r="V98" i="39"/>
  <c r="V34" i="39"/>
  <c r="V102" i="39"/>
  <c r="V54" i="39"/>
  <c r="V28" i="39"/>
  <c r="V32" i="39"/>
  <c r="L18" i="32"/>
  <c r="D27" i="32"/>
  <c r="X18" i="43"/>
  <c r="P27" i="43"/>
  <c r="H27" i="38"/>
  <c r="N18" i="38"/>
  <c r="J155" i="34"/>
  <c r="J151" i="34"/>
  <c r="J143" i="34"/>
  <c r="J135" i="34"/>
  <c r="J131" i="34"/>
  <c r="J125" i="34"/>
  <c r="J119" i="34"/>
  <c r="J105" i="34"/>
  <c r="J99" i="34"/>
  <c r="J95" i="34"/>
  <c r="J89" i="34"/>
  <c r="J83" i="34"/>
  <c r="J75" i="34"/>
  <c r="J67" i="34"/>
  <c r="J59" i="34"/>
  <c r="J160" i="34"/>
  <c r="J150" i="34"/>
  <c r="J146" i="34"/>
  <c r="J142" i="34"/>
  <c r="J138" i="34"/>
  <c r="J134" i="34"/>
  <c r="J128" i="34"/>
  <c r="J122" i="34"/>
  <c r="J116" i="34"/>
  <c r="J110" i="34"/>
  <c r="J94" i="34"/>
  <c r="J82" i="34"/>
  <c r="J74" i="34"/>
  <c r="J66" i="34"/>
  <c r="J165" i="34"/>
  <c r="J157" i="34"/>
  <c r="J149" i="34"/>
  <c r="J145" i="34"/>
  <c r="J141" i="34"/>
  <c r="J137" i="34"/>
  <c r="J133" i="34"/>
  <c r="J113" i="34"/>
  <c r="J107" i="34"/>
  <c r="J93" i="34"/>
  <c r="J81" i="34"/>
  <c r="J73" i="34"/>
  <c r="J65" i="34"/>
  <c r="J154" i="34"/>
  <c r="J148" i="34"/>
  <c r="J140" i="34"/>
  <c r="J130" i="34"/>
  <c r="J124" i="34"/>
  <c r="J118" i="34"/>
  <c r="J112" i="34"/>
  <c r="J104" i="34"/>
  <c r="J98" i="34"/>
  <c r="J92" i="34"/>
  <c r="J80" i="34"/>
  <c r="J72" i="34"/>
  <c r="J64" i="34"/>
  <c r="J58" i="34"/>
  <c r="J169" i="34"/>
  <c r="J163" i="34"/>
  <c r="J159" i="34"/>
  <c r="J127" i="34"/>
  <c r="J121" i="34"/>
  <c r="J115" i="34"/>
  <c r="J109" i="34"/>
  <c r="J103" i="34"/>
  <c r="J91" i="34"/>
  <c r="J79" i="34"/>
  <c r="J71" i="34"/>
  <c r="J63" i="34"/>
  <c r="J156" i="34"/>
  <c r="J144" i="34"/>
  <c r="J136" i="34"/>
  <c r="J132" i="34"/>
  <c r="J126" i="34"/>
  <c r="J106" i="34"/>
  <c r="J102" i="34"/>
  <c r="J90" i="34"/>
  <c r="J78" i="34"/>
  <c r="J70" i="34"/>
  <c r="J62" i="34"/>
  <c r="J161" i="34"/>
  <c r="J153" i="34"/>
  <c r="J147" i="34"/>
  <c r="J139" i="34"/>
  <c r="J129" i="34"/>
  <c r="J123" i="34"/>
  <c r="J117" i="34"/>
  <c r="J111" i="34"/>
  <c r="J101" i="34"/>
  <c r="J97" i="34"/>
  <c r="H86" i="34"/>
  <c r="J77" i="34"/>
  <c r="J69" i="34"/>
  <c r="J61" i="34"/>
  <c r="J152" i="34"/>
  <c r="J96" i="34"/>
  <c r="J114" i="34"/>
  <c r="J68" i="34"/>
  <c r="J164" i="34"/>
  <c r="J76" i="34"/>
  <c r="J108" i="34"/>
  <c r="J88" i="34"/>
  <c r="J84" i="34"/>
  <c r="N12" i="34"/>
  <c r="J158" i="34"/>
  <c r="J100" i="34"/>
  <c r="J60" i="34"/>
  <c r="J120" i="34"/>
  <c r="T27" i="24"/>
  <c r="Z18" i="24"/>
  <c r="P31" i="19"/>
  <c r="J97" i="21"/>
  <c r="J93" i="21"/>
  <c r="J89" i="21"/>
  <c r="J81" i="21"/>
  <c r="J77" i="21"/>
  <c r="J73" i="21"/>
  <c r="J67" i="21"/>
  <c r="J59" i="21"/>
  <c r="J53" i="21"/>
  <c r="J45" i="21"/>
  <c r="J41" i="21"/>
  <c r="H30" i="21"/>
  <c r="J86" i="21"/>
  <c r="J80" i="21"/>
  <c r="J76" i="21"/>
  <c r="J64" i="21"/>
  <c r="J50" i="21"/>
  <c r="J44" i="21"/>
  <c r="J40" i="21"/>
  <c r="J32" i="21"/>
  <c r="J28" i="21"/>
  <c r="J91" i="21"/>
  <c r="J75" i="21"/>
  <c r="J69" i="21"/>
  <c r="J61" i="21"/>
  <c r="J55" i="21"/>
  <c r="J39" i="21"/>
  <c r="J33" i="21"/>
  <c r="J27" i="21"/>
  <c r="J88" i="21"/>
  <c r="J72" i="21"/>
  <c r="J66" i="21"/>
  <c r="J58" i="21"/>
  <c r="J52" i="21"/>
  <c r="J38" i="21"/>
  <c r="J26" i="21"/>
  <c r="J85" i="21"/>
  <c r="J79" i="21"/>
  <c r="J63" i="21"/>
  <c r="J57" i="21"/>
  <c r="J49" i="21"/>
  <c r="J43" i="21"/>
  <c r="J37" i="21"/>
  <c r="J90" i="21"/>
  <c r="J84" i="21"/>
  <c r="J74" i="21"/>
  <c r="J68" i="21"/>
  <c r="J60" i="21"/>
  <c r="J54" i="21"/>
  <c r="J48" i="21"/>
  <c r="J36" i="21"/>
  <c r="J87" i="21"/>
  <c r="J83" i="21"/>
  <c r="J71" i="21"/>
  <c r="J65" i="21"/>
  <c r="J51" i="21"/>
  <c r="J47" i="21"/>
  <c r="J35" i="21"/>
  <c r="J25" i="21"/>
  <c r="J70" i="21"/>
  <c r="J82" i="21"/>
  <c r="J42" i="21"/>
  <c r="J62" i="21"/>
  <c r="J56" i="21"/>
  <c r="J30" i="21"/>
  <c r="J78" i="21"/>
  <c r="J46" i="21"/>
  <c r="J34" i="21"/>
  <c r="P27" i="26"/>
  <c r="X18" i="26"/>
  <c r="H27" i="22"/>
  <c r="N18" i="22"/>
  <c r="H27" i="13"/>
  <c r="L27" i="13" s="1"/>
  <c r="N18" i="13"/>
  <c r="L18" i="13"/>
  <c r="L18" i="10"/>
  <c r="D27" i="10"/>
  <c r="T27" i="20"/>
  <c r="Z18" i="20"/>
  <c r="Z227" i="12"/>
  <c r="V112" i="25"/>
  <c r="R231" i="12"/>
  <c r="R208" i="12"/>
  <c r="R200" i="12"/>
  <c r="R196" i="12"/>
  <c r="R192" i="12"/>
  <c r="R188" i="12"/>
  <c r="R185" i="12"/>
  <c r="R173" i="12"/>
  <c r="R168" i="12"/>
  <c r="R161" i="12"/>
  <c r="R152" i="12"/>
  <c r="R140" i="12"/>
  <c r="R128" i="12"/>
  <c r="R120" i="12"/>
  <c r="R112" i="12"/>
  <c r="R104" i="12"/>
  <c r="R96" i="12"/>
  <c r="R88" i="12"/>
  <c r="R224" i="12"/>
  <c r="R220" i="12"/>
  <c r="R204" i="12"/>
  <c r="R199" i="12"/>
  <c r="R195" i="12"/>
  <c r="R191" i="12"/>
  <c r="R179" i="12"/>
  <c r="R176" i="12"/>
  <c r="R164" i="12"/>
  <c r="R155" i="12"/>
  <c r="R151" i="12"/>
  <c r="R139" i="12"/>
  <c r="R127" i="12"/>
  <c r="R119" i="12"/>
  <c r="R111" i="12"/>
  <c r="R103" i="12"/>
  <c r="R95" i="12"/>
  <c r="R229" i="12"/>
  <c r="R214" i="12"/>
  <c r="R207" i="12"/>
  <c r="R190" i="12"/>
  <c r="R187" i="12"/>
  <c r="R170" i="12"/>
  <c r="R167" i="12"/>
  <c r="R158" i="12"/>
  <c r="R150" i="12"/>
  <c r="R138" i="12"/>
  <c r="R126" i="12"/>
  <c r="R118" i="12"/>
  <c r="R110" i="12"/>
  <c r="R102" i="12"/>
  <c r="R94" i="12"/>
  <c r="R87" i="12"/>
  <c r="R235" i="12"/>
  <c r="R217" i="12"/>
  <c r="R213" i="12"/>
  <c r="R198" i="12"/>
  <c r="R194" i="12"/>
  <c r="R181" i="12"/>
  <c r="R178" i="12"/>
  <c r="R157" i="12"/>
  <c r="R154" i="12"/>
  <c r="R149" i="12"/>
  <c r="R145" i="12"/>
  <c r="R137" i="12"/>
  <c r="R125" i="12"/>
  <c r="R117" i="12"/>
  <c r="R109" i="12"/>
  <c r="R101" i="12"/>
  <c r="R93" i="12"/>
  <c r="R227" i="12"/>
  <c r="R216" i="12"/>
  <c r="R212" i="12"/>
  <c r="R189" i="12"/>
  <c r="R184" i="12"/>
  <c r="R172" i="12"/>
  <c r="R169" i="12"/>
  <c r="R160" i="12"/>
  <c r="R148" i="12"/>
  <c r="R144" i="12"/>
  <c r="R136" i="12"/>
  <c r="R134" i="12"/>
  <c r="P132" i="12"/>
  <c r="R124" i="12"/>
  <c r="R116" i="12"/>
  <c r="R108" i="12"/>
  <c r="R100" i="12"/>
  <c r="R92" i="12"/>
  <c r="X12" i="12"/>
  <c r="Z12" i="12" s="1"/>
  <c r="R230" i="12"/>
  <c r="R223" i="12"/>
  <c r="R219" i="12"/>
  <c r="R211" i="12"/>
  <c r="R203" i="12"/>
  <c r="R183" i="12"/>
  <c r="R180" i="12"/>
  <c r="R175" i="12"/>
  <c r="R163" i="12"/>
  <c r="R156" i="12"/>
  <c r="R147" i="12"/>
  <c r="R143" i="12"/>
  <c r="R123" i="12"/>
  <c r="R115" i="12"/>
  <c r="R107" i="12"/>
  <c r="R99" i="12"/>
  <c r="R91" i="12"/>
  <c r="R222" i="12"/>
  <c r="R215" i="12"/>
  <c r="R210" i="12"/>
  <c r="R206" i="12"/>
  <c r="R202" i="12"/>
  <c r="R186" i="12"/>
  <c r="R174" i="12"/>
  <c r="R171" i="12"/>
  <c r="R166" i="12"/>
  <c r="R162" i="12"/>
  <c r="R159" i="12"/>
  <c r="R142" i="12"/>
  <c r="R135" i="12"/>
  <c r="R130" i="12"/>
  <c r="R122" i="12"/>
  <c r="R114" i="12"/>
  <c r="R106" i="12"/>
  <c r="R98" i="12"/>
  <c r="R90" i="12"/>
  <c r="R221" i="12"/>
  <c r="R141" i="12"/>
  <c r="R113" i="12"/>
  <c r="R97" i="12"/>
  <c r="R218" i="12"/>
  <c r="R197" i="12"/>
  <c r="R146" i="12"/>
  <c r="R121" i="12"/>
  <c r="R182" i="12"/>
  <c r="R225" i="12"/>
  <c r="R209" i="12"/>
  <c r="R228" i="12"/>
  <c r="R129" i="12"/>
  <c r="R105" i="12"/>
  <c r="R201" i="12"/>
  <c r="R177" i="12"/>
  <c r="R153" i="12"/>
  <c r="R193" i="12"/>
  <c r="R89" i="12"/>
  <c r="R205" i="12"/>
  <c r="R165" i="12"/>
  <c r="J261" i="3"/>
  <c r="J253" i="3"/>
  <c r="J241" i="3"/>
  <c r="J227" i="3"/>
  <c r="J223" i="3"/>
  <c r="J213" i="3"/>
  <c r="J207" i="3"/>
  <c r="J201" i="3"/>
  <c r="J193" i="3"/>
  <c r="J189" i="3"/>
  <c r="J183" i="3"/>
  <c r="J169" i="3"/>
  <c r="J161" i="3"/>
  <c r="J157" i="3"/>
  <c r="J149" i="3"/>
  <c r="J141" i="3"/>
  <c r="J133" i="3"/>
  <c r="J125" i="3"/>
  <c r="J117" i="3"/>
  <c r="J109" i="3"/>
  <c r="J270" i="3"/>
  <c r="J264" i="3"/>
  <c r="J256" i="3"/>
  <c r="J252" i="3"/>
  <c r="J246" i="3"/>
  <c r="J240" i="3"/>
  <c r="J232" i="3"/>
  <c r="J218" i="3"/>
  <c r="J204" i="3"/>
  <c r="J198" i="3"/>
  <c r="J192" i="3"/>
  <c r="J186" i="3"/>
  <c r="J180" i="3"/>
  <c r="J168" i="3"/>
  <c r="J162" i="3"/>
  <c r="J156" i="3"/>
  <c r="J148" i="3"/>
  <c r="J140" i="3"/>
  <c r="J132" i="3"/>
  <c r="J124" i="3"/>
  <c r="J116" i="3"/>
  <c r="J108" i="3"/>
  <c r="J259" i="3"/>
  <c r="J249" i="3"/>
  <c r="J239" i="3"/>
  <c r="J235" i="3"/>
  <c r="J231" i="3"/>
  <c r="J215" i="3"/>
  <c r="J209" i="3"/>
  <c r="J195" i="3"/>
  <c r="J179" i="3"/>
  <c r="J173" i="3"/>
  <c r="J167" i="3"/>
  <c r="J155" i="3"/>
  <c r="J147" i="3"/>
  <c r="J139" i="3"/>
  <c r="J131" i="3"/>
  <c r="J123" i="3"/>
  <c r="J115" i="3"/>
  <c r="J107" i="3"/>
  <c r="J274" i="3"/>
  <c r="J262" i="3"/>
  <c r="J238" i="3"/>
  <c r="J234" i="3"/>
  <c r="J230" i="3"/>
  <c r="J226" i="3"/>
  <c r="J222" i="3"/>
  <c r="J212" i="3"/>
  <c r="J206" i="3"/>
  <c r="J200" i="3"/>
  <c r="J188" i="3"/>
  <c r="J182" i="3"/>
  <c r="J178" i="3"/>
  <c r="J166" i="3"/>
  <c r="J154" i="3"/>
  <c r="J146" i="3"/>
  <c r="J138" i="3"/>
  <c r="J130" i="3"/>
  <c r="J122" i="3"/>
  <c r="J114" i="3"/>
  <c r="J106" i="3"/>
  <c r="J265" i="3"/>
  <c r="J255" i="3"/>
  <c r="J251" i="3"/>
  <c r="J245" i="3"/>
  <c r="J237" i="3"/>
  <c r="J229" i="3"/>
  <c r="J225" i="3"/>
  <c r="J221" i="3"/>
  <c r="J217" i="3"/>
  <c r="J203" i="3"/>
  <c r="J197" i="3"/>
  <c r="J191" i="3"/>
  <c r="J185" i="3"/>
  <c r="J177" i="3"/>
  <c r="J165" i="3"/>
  <c r="J153" i="3"/>
  <c r="J145" i="3"/>
  <c r="J137" i="3"/>
  <c r="J129" i="3"/>
  <c r="J121" i="3"/>
  <c r="J113" i="3"/>
  <c r="J260" i="3"/>
  <c r="J248" i="3"/>
  <c r="J244" i="3"/>
  <c r="J228" i="3"/>
  <c r="J224" i="3"/>
  <c r="J220" i="3"/>
  <c r="J214" i="3"/>
  <c r="J208" i="3"/>
  <c r="J194" i="3"/>
  <c r="J184" i="3"/>
  <c r="J176" i="3"/>
  <c r="J172" i="3"/>
  <c r="J164" i="3"/>
  <c r="J152" i="3"/>
  <c r="J144" i="3"/>
  <c r="J136" i="3"/>
  <c r="J128" i="3"/>
  <c r="J120" i="3"/>
  <c r="J112" i="3"/>
  <c r="J263" i="3"/>
  <c r="J247" i="3"/>
  <c r="J243" i="3"/>
  <c r="J233" i="3"/>
  <c r="J219" i="3"/>
  <c r="J211" i="3"/>
  <c r="J205" i="3"/>
  <c r="J199" i="3"/>
  <c r="J187" i="3"/>
  <c r="J181" i="3"/>
  <c r="J175" i="3"/>
  <c r="J171" i="3"/>
  <c r="J163" i="3"/>
  <c r="J151" i="3"/>
  <c r="J143" i="3"/>
  <c r="J135" i="3"/>
  <c r="J127" i="3"/>
  <c r="J119" i="3"/>
  <c r="J111" i="3"/>
  <c r="J105" i="3"/>
  <c r="J174" i="3"/>
  <c r="J118" i="3"/>
  <c r="J254" i="3"/>
  <c r="J266" i="3"/>
  <c r="J242" i="3"/>
  <c r="J210" i="3"/>
  <c r="J202" i="3"/>
  <c r="J196" i="3"/>
  <c r="J170" i="3"/>
  <c r="H159" i="3"/>
  <c r="J126" i="3"/>
  <c r="J250" i="3"/>
  <c r="J190" i="3"/>
  <c r="J258" i="3"/>
  <c r="J236" i="3"/>
  <c r="J216" i="3"/>
  <c r="J134" i="3"/>
  <c r="J142" i="3"/>
  <c r="J110" i="3"/>
  <c r="J275" i="3"/>
  <c r="J150" i="3"/>
  <c r="F263" i="3"/>
  <c r="F254" i="3"/>
  <c r="F250" i="3"/>
  <c r="F242" i="3"/>
  <c r="F233" i="3"/>
  <c r="F210" i="3"/>
  <c r="F205" i="3"/>
  <c r="F202" i="3"/>
  <c r="F190" i="3"/>
  <c r="F181" i="3"/>
  <c r="F174" i="3"/>
  <c r="F170" i="3"/>
  <c r="F159" i="3"/>
  <c r="F150" i="3"/>
  <c r="F142" i="3"/>
  <c r="F134" i="3"/>
  <c r="F126" i="3"/>
  <c r="F118" i="3"/>
  <c r="F110" i="3"/>
  <c r="F105" i="3"/>
  <c r="L12" i="3"/>
  <c r="N12" i="3" s="1"/>
  <c r="F275" i="3"/>
  <c r="F266" i="3"/>
  <c r="F258" i="3"/>
  <c r="F253" i="3"/>
  <c r="F241" i="3"/>
  <c r="F236" i="3"/>
  <c r="F216" i="3"/>
  <c r="F213" i="3"/>
  <c r="F201" i="3"/>
  <c r="F196" i="3"/>
  <c r="F193" i="3"/>
  <c r="F189" i="3"/>
  <c r="F169" i="3"/>
  <c r="D159" i="3"/>
  <c r="F157" i="3"/>
  <c r="F149" i="3"/>
  <c r="F141" i="3"/>
  <c r="F133" i="3"/>
  <c r="F125" i="3"/>
  <c r="F117" i="3"/>
  <c r="F109" i="3"/>
  <c r="F270" i="3"/>
  <c r="F261" i="3"/>
  <c r="F256" i="3"/>
  <c r="F252" i="3"/>
  <c r="F240" i="3"/>
  <c r="F232" i="3"/>
  <c r="F227" i="3"/>
  <c r="F223" i="3"/>
  <c r="F207" i="3"/>
  <c r="F204" i="3"/>
  <c r="F192" i="3"/>
  <c r="F183" i="3"/>
  <c r="F180" i="3"/>
  <c r="F168" i="3"/>
  <c r="F156" i="3"/>
  <c r="F148" i="3"/>
  <c r="F140" i="3"/>
  <c r="F132" i="3"/>
  <c r="F124" i="3"/>
  <c r="F116" i="3"/>
  <c r="F108" i="3"/>
  <c r="F264" i="3"/>
  <c r="F246" i="3"/>
  <c r="F239" i="3"/>
  <c r="F235" i="3"/>
  <c r="F231" i="3"/>
  <c r="F218" i="3"/>
  <c r="F215" i="3"/>
  <c r="F198" i="3"/>
  <c r="F195" i="3"/>
  <c r="F186" i="3"/>
  <c r="F179" i="3"/>
  <c r="F167" i="3"/>
  <c r="F162" i="3"/>
  <c r="F161" i="3"/>
  <c r="F155" i="3"/>
  <c r="F147" i="3"/>
  <c r="F139" i="3"/>
  <c r="F131" i="3"/>
  <c r="F123" i="3"/>
  <c r="F115" i="3"/>
  <c r="F107" i="3"/>
  <c r="F259" i="3"/>
  <c r="F249" i="3"/>
  <c r="F238" i="3"/>
  <c r="F234" i="3"/>
  <c r="F230" i="3"/>
  <c r="F226" i="3"/>
  <c r="F222" i="3"/>
  <c r="F209" i="3"/>
  <c r="F206" i="3"/>
  <c r="F182" i="3"/>
  <c r="F178" i="3"/>
  <c r="F173" i="3"/>
  <c r="F166" i="3"/>
  <c r="F154" i="3"/>
  <c r="F146" i="3"/>
  <c r="F138" i="3"/>
  <c r="F130" i="3"/>
  <c r="F122" i="3"/>
  <c r="F114" i="3"/>
  <c r="F106" i="3"/>
  <c r="F274" i="3"/>
  <c r="F262" i="3"/>
  <c r="F245" i="3"/>
  <c r="F237" i="3"/>
  <c r="F229" i="3"/>
  <c r="F225" i="3"/>
  <c r="F221" i="3"/>
  <c r="F217" i="3"/>
  <c r="F212" i="3"/>
  <c r="F200" i="3"/>
  <c r="F197" i="3"/>
  <c r="F188" i="3"/>
  <c r="F185" i="3"/>
  <c r="F177" i="3"/>
  <c r="F165" i="3"/>
  <c r="F153" i="3"/>
  <c r="F145" i="3"/>
  <c r="F137" i="3"/>
  <c r="F129" i="3"/>
  <c r="F121" i="3"/>
  <c r="F113" i="3"/>
  <c r="F265" i="3"/>
  <c r="F255" i="3"/>
  <c r="F251" i="3"/>
  <c r="F248" i="3"/>
  <c r="F244" i="3"/>
  <c r="F228" i="3"/>
  <c r="F224" i="3"/>
  <c r="F220" i="3"/>
  <c r="F208" i="3"/>
  <c r="F203" i="3"/>
  <c r="F191" i="3"/>
  <c r="F184" i="3"/>
  <c r="F176" i="3"/>
  <c r="F172" i="3"/>
  <c r="F164" i="3"/>
  <c r="F152" i="3"/>
  <c r="F144" i="3"/>
  <c r="F136" i="3"/>
  <c r="F128" i="3"/>
  <c r="F120" i="3"/>
  <c r="F112" i="3"/>
  <c r="F163" i="3"/>
  <c r="F143" i="3"/>
  <c r="F111" i="3"/>
  <c r="F214" i="3"/>
  <c r="F199" i="3"/>
  <c r="F151" i="3"/>
  <c r="F260" i="3"/>
  <c r="F247" i="3"/>
  <c r="F187" i="3"/>
  <c r="F119" i="3"/>
  <c r="F175" i="3"/>
  <c r="F127" i="3"/>
  <c r="F243" i="3"/>
  <c r="F219" i="3"/>
  <c r="F211" i="3"/>
  <c r="F171" i="3"/>
  <c r="F194" i="3"/>
  <c r="F135" i="3"/>
  <c r="P31" i="5"/>
  <c r="P31" i="6"/>
  <c r="T90" i="9"/>
  <c r="Z16" i="9"/>
  <c r="V214" i="15"/>
  <c r="V210" i="15"/>
  <c r="V198" i="15"/>
  <c r="V194" i="15"/>
  <c r="V190" i="15"/>
  <c r="V186" i="15"/>
  <c r="V182" i="15"/>
  <c r="V178" i="15"/>
  <c r="V170" i="15"/>
  <c r="V166" i="15"/>
  <c r="V158" i="15"/>
  <c r="V154" i="15"/>
  <c r="V146" i="15"/>
  <c r="V134" i="15"/>
  <c r="V219" i="15"/>
  <c r="V197" i="15"/>
  <c r="V189" i="15"/>
  <c r="V185" i="15"/>
  <c r="V181" i="15"/>
  <c r="V169" i="15"/>
  <c r="V161" i="15"/>
  <c r="V157" i="15"/>
  <c r="V204" i="15"/>
  <c r="V180" i="15"/>
  <c r="V172" i="15"/>
  <c r="V160" i="15"/>
  <c r="V225" i="15"/>
  <c r="V217" i="15"/>
  <c r="V207" i="15"/>
  <c r="V203" i="15"/>
  <c r="V175" i="15"/>
  <c r="V171" i="15"/>
  <c r="V163" i="15"/>
  <c r="V220" i="15"/>
  <c r="V206" i="15"/>
  <c r="V202" i="15"/>
  <c r="V174" i="15"/>
  <c r="V162" i="15"/>
  <c r="V213" i="15"/>
  <c r="V209" i="15"/>
  <c r="V205" i="15"/>
  <c r="V201" i="15"/>
  <c r="V218" i="15"/>
  <c r="V212" i="15"/>
  <c r="V208" i="15"/>
  <c r="V200" i="15"/>
  <c r="V196" i="15"/>
  <c r="V192" i="15"/>
  <c r="V188" i="15"/>
  <c r="V184" i="15"/>
  <c r="V176" i="15"/>
  <c r="V168" i="15"/>
  <c r="V164" i="15"/>
  <c r="V156" i="15"/>
  <c r="V152" i="15"/>
  <c r="V140" i="15"/>
  <c r="V136" i="15"/>
  <c r="V159" i="15"/>
  <c r="V144" i="15"/>
  <c r="V143" i="15"/>
  <c r="V142" i="15"/>
  <c r="V135" i="15"/>
  <c r="V133" i="15"/>
  <c r="V121" i="15"/>
  <c r="V113" i="15"/>
  <c r="V105" i="15"/>
  <c r="V97" i="15"/>
  <c r="V89" i="15"/>
  <c r="V221" i="15"/>
  <c r="V211" i="15"/>
  <c r="V195" i="15"/>
  <c r="V167" i="15"/>
  <c r="V145" i="15"/>
  <c r="V137" i="15"/>
  <c r="V132" i="15"/>
  <c r="V120" i="15"/>
  <c r="V112" i="15"/>
  <c r="V104" i="15"/>
  <c r="V96" i="15"/>
  <c r="V88" i="15"/>
  <c r="V179" i="15"/>
  <c r="V149" i="15"/>
  <c r="V138" i="15"/>
  <c r="V131" i="15"/>
  <c r="V127" i="15"/>
  <c r="V119" i="15"/>
  <c r="V111" i="15"/>
  <c r="V103" i="15"/>
  <c r="V95" i="15"/>
  <c r="V87" i="15"/>
  <c r="V173" i="15"/>
  <c r="V151" i="15"/>
  <c r="V150" i="15"/>
  <c r="V130" i="15"/>
  <c r="T125" i="15"/>
  <c r="V118" i="15"/>
  <c r="V110" i="15"/>
  <c r="V102" i="15"/>
  <c r="V94" i="15"/>
  <c r="V86" i="15"/>
  <c r="V199" i="15"/>
  <c r="V183" i="15"/>
  <c r="V165" i="15"/>
  <c r="V129" i="15"/>
  <c r="V117" i="15"/>
  <c r="V109" i="15"/>
  <c r="V101" i="15"/>
  <c r="V93" i="15"/>
  <c r="V85" i="15"/>
  <c r="V215" i="15"/>
  <c r="V193" i="15"/>
  <c r="V187" i="15"/>
  <c r="V153" i="15"/>
  <c r="V139" i="15"/>
  <c r="V128" i="15"/>
  <c r="V116" i="15"/>
  <c r="V108" i="15"/>
  <c r="V100" i="15"/>
  <c r="V92" i="15"/>
  <c r="V84" i="15"/>
  <c r="Z12" i="15"/>
  <c r="V177" i="15"/>
  <c r="V155" i="15"/>
  <c r="V148" i="15"/>
  <c r="V147" i="15"/>
  <c r="V123" i="15"/>
  <c r="V115" i="15"/>
  <c r="V107" i="15"/>
  <c r="V99" i="15"/>
  <c r="V91" i="15"/>
  <c r="V83" i="15"/>
  <c r="V114" i="15"/>
  <c r="V98" i="15"/>
  <c r="V90" i="15"/>
  <c r="V191" i="15"/>
  <c r="V122" i="15"/>
  <c r="V141" i="15"/>
  <c r="V106" i="15"/>
  <c r="V82" i="15"/>
  <c r="P31" i="99"/>
  <c r="D64" i="97"/>
  <c r="L17" i="97"/>
  <c r="P30" i="93"/>
  <c r="X18" i="93"/>
  <c r="R76" i="95"/>
  <c r="R60" i="95"/>
  <c r="R55" i="95"/>
  <c r="R52" i="95"/>
  <c r="R47" i="95"/>
  <c r="R44" i="95"/>
  <c r="R39" i="95"/>
  <c r="R27" i="95"/>
  <c r="R67" i="95"/>
  <c r="R63" i="95"/>
  <c r="R38" i="95"/>
  <c r="R26" i="95"/>
  <c r="R73" i="95"/>
  <c r="R57" i="95"/>
  <c r="R54" i="95"/>
  <c r="R49" i="95"/>
  <c r="R46" i="95"/>
  <c r="R41" i="95"/>
  <c r="R37" i="95"/>
  <c r="R33" i="95"/>
  <c r="R25" i="95"/>
  <c r="R23" i="95"/>
  <c r="P21" i="95"/>
  <c r="R21" i="95" s="1"/>
  <c r="R72" i="95"/>
  <c r="R36" i="95"/>
  <c r="R32" i="95"/>
  <c r="R70" i="95"/>
  <c r="R66" i="95"/>
  <c r="R62" i="95"/>
  <c r="R30" i="95"/>
  <c r="R18" i="95"/>
  <c r="R74" i="95"/>
  <c r="R68" i="95"/>
  <c r="R31" i="95"/>
  <c r="R75" i="95"/>
  <c r="R69" i="95"/>
  <c r="R56" i="95"/>
  <c r="R42" i="95"/>
  <c r="R28" i="95"/>
  <c r="R79" i="95"/>
  <c r="R77" i="95"/>
  <c r="R43" i="95"/>
  <c r="R29" i="95"/>
  <c r="R17" i="95"/>
  <c r="R83" i="95"/>
  <c r="R64" i="95"/>
  <c r="R45" i="95"/>
  <c r="R65" i="95"/>
  <c r="R48" i="95"/>
  <c r="R34" i="95"/>
  <c r="X12" i="95"/>
  <c r="R61" i="95"/>
  <c r="R40" i="95"/>
  <c r="R35" i="95"/>
  <c r="R24" i="95"/>
  <c r="R58" i="95"/>
  <c r="R19" i="95"/>
  <c r="R59" i="95"/>
  <c r="R53" i="95"/>
  <c r="R71" i="95"/>
  <c r="R50" i="95"/>
  <c r="R51" i="95"/>
  <c r="P32" i="88"/>
  <c r="X16" i="88"/>
  <c r="R78" i="92"/>
  <c r="R75" i="92"/>
  <c r="R71" i="92"/>
  <c r="R39" i="92"/>
  <c r="R27" i="92"/>
  <c r="R82" i="92"/>
  <c r="R76" i="92"/>
  <c r="R70" i="92"/>
  <c r="R58" i="92"/>
  <c r="R55" i="92"/>
  <c r="R50" i="92"/>
  <c r="R47" i="92"/>
  <c r="R42" i="92"/>
  <c r="R38" i="92"/>
  <c r="R26" i="92"/>
  <c r="R69" i="92"/>
  <c r="R65" i="92"/>
  <c r="R61" i="92"/>
  <c r="R37" i="92"/>
  <c r="R33" i="92"/>
  <c r="R25" i="92"/>
  <c r="R23" i="92"/>
  <c r="P21" i="92"/>
  <c r="R68" i="92"/>
  <c r="R64" i="92"/>
  <c r="R60" i="92"/>
  <c r="R57" i="92"/>
  <c r="R52" i="92"/>
  <c r="R49" i="92"/>
  <c r="R44" i="92"/>
  <c r="R41" i="92"/>
  <c r="R36" i="92"/>
  <c r="R32" i="92"/>
  <c r="X12" i="92"/>
  <c r="Z12" i="92" s="1"/>
  <c r="R73" i="92"/>
  <c r="R66" i="92"/>
  <c r="R62" i="92"/>
  <c r="R34" i="92"/>
  <c r="R29" i="92"/>
  <c r="R72" i="92"/>
  <c r="R56" i="92"/>
  <c r="R53" i="92"/>
  <c r="R48" i="92"/>
  <c r="R45" i="92"/>
  <c r="R40" i="92"/>
  <c r="R28" i="92"/>
  <c r="R17" i="92"/>
  <c r="R51" i="92"/>
  <c r="R43" i="92"/>
  <c r="R24" i="92"/>
  <c r="R67" i="92"/>
  <c r="R18" i="92"/>
  <c r="R74" i="92"/>
  <c r="R30" i="92"/>
  <c r="R19" i="92"/>
  <c r="R46" i="92"/>
  <c r="R63" i="92"/>
  <c r="R54" i="92"/>
  <c r="R35" i="92"/>
  <c r="R31" i="92"/>
  <c r="R59" i="92"/>
  <c r="V35" i="84"/>
  <c r="V25" i="84"/>
  <c r="V28" i="84"/>
  <c r="V20" i="84"/>
  <c r="Z12" i="84"/>
  <c r="V27" i="84"/>
  <c r="T18" i="84"/>
  <c r="V30" i="84"/>
  <c r="V22" i="84"/>
  <c r="V31" i="84"/>
  <c r="V23" i="84"/>
  <c r="V15" i="84"/>
  <c r="V26" i="84"/>
  <c r="V32" i="84"/>
  <c r="V29" i="84"/>
  <c r="V39" i="84"/>
  <c r="V33" i="84"/>
  <c r="V24" i="84"/>
  <c r="V21" i="84"/>
  <c r="V16" i="84"/>
  <c r="P48" i="91"/>
  <c r="X16" i="91"/>
  <c r="H33" i="82"/>
  <c r="N16" i="82"/>
  <c r="D79" i="81"/>
  <c r="D33" i="82"/>
  <c r="L16" i="82"/>
  <c r="J88" i="79"/>
  <c r="J82" i="79"/>
  <c r="J76" i="79"/>
  <c r="J66" i="79"/>
  <c r="J73" i="79"/>
  <c r="J65" i="79"/>
  <c r="J86" i="79"/>
  <c r="J78" i="79"/>
  <c r="J72" i="79"/>
  <c r="J62" i="79"/>
  <c r="J91" i="79"/>
  <c r="J84" i="79"/>
  <c r="J70" i="79"/>
  <c r="J64" i="79"/>
  <c r="J81" i="79"/>
  <c r="J77" i="79"/>
  <c r="J69" i="79"/>
  <c r="J74" i="79"/>
  <c r="J68" i="79"/>
  <c r="J60" i="79"/>
  <c r="J59" i="79"/>
  <c r="J55" i="79"/>
  <c r="J47" i="79"/>
  <c r="J41" i="79"/>
  <c r="J35" i="79"/>
  <c r="J31" i="79"/>
  <c r="H20" i="79"/>
  <c r="L20" i="79" s="1"/>
  <c r="J58" i="79"/>
  <c r="J52" i="79"/>
  <c r="J38" i="79"/>
  <c r="J34" i="79"/>
  <c r="J30" i="79"/>
  <c r="J22" i="79"/>
  <c r="J18" i="79"/>
  <c r="J49" i="79"/>
  <c r="J43" i="79"/>
  <c r="J33" i="79"/>
  <c r="J29" i="79"/>
  <c r="J23" i="79"/>
  <c r="J17" i="79"/>
  <c r="J54" i="79"/>
  <c r="J46" i="79"/>
  <c r="J40" i="79"/>
  <c r="J28" i="79"/>
  <c r="J57" i="79"/>
  <c r="J51" i="79"/>
  <c r="J37" i="79"/>
  <c r="J27" i="79"/>
  <c r="J79" i="79"/>
  <c r="J75" i="79"/>
  <c r="J67" i="79"/>
  <c r="J48" i="79"/>
  <c r="J42" i="79"/>
  <c r="J32" i="79"/>
  <c r="J26" i="79"/>
  <c r="J16" i="79"/>
  <c r="J56" i="79"/>
  <c r="J39" i="79"/>
  <c r="J24" i="79"/>
  <c r="N12" i="79"/>
  <c r="J53" i="79"/>
  <c r="J25" i="79"/>
  <c r="J71" i="79"/>
  <c r="J61" i="79"/>
  <c r="J20" i="79"/>
  <c r="J50" i="79"/>
  <c r="J44" i="79"/>
  <c r="J36" i="79"/>
  <c r="J45" i="79"/>
  <c r="J63" i="79"/>
  <c r="L12" i="79"/>
  <c r="P110" i="77"/>
  <c r="T77" i="73"/>
  <c r="T32" i="72"/>
  <c r="Z18" i="72"/>
  <c r="X12" i="79"/>
  <c r="L23" i="75"/>
  <c r="D29" i="75"/>
  <c r="R79" i="70"/>
  <c r="R76" i="70"/>
  <c r="R73" i="70"/>
  <c r="R68" i="70"/>
  <c r="R65" i="70"/>
  <c r="R56" i="70"/>
  <c r="R44" i="70"/>
  <c r="R40" i="70"/>
  <c r="R33" i="70"/>
  <c r="R28" i="70"/>
  <c r="X12" i="70"/>
  <c r="R55" i="70"/>
  <c r="R52" i="70"/>
  <c r="R47" i="70"/>
  <c r="R43" i="70"/>
  <c r="R39" i="70"/>
  <c r="R75" i="70"/>
  <c r="R67" i="70"/>
  <c r="R62" i="70"/>
  <c r="R58" i="70"/>
  <c r="R38" i="70"/>
  <c r="R27" i="70"/>
  <c r="R83" i="70"/>
  <c r="R61" i="70"/>
  <c r="R54" i="70"/>
  <c r="R49" i="70"/>
  <c r="R46" i="70"/>
  <c r="R42" i="70"/>
  <c r="R37" i="70"/>
  <c r="R72" i="70"/>
  <c r="R64" i="70"/>
  <c r="R60" i="70"/>
  <c r="R57" i="70"/>
  <c r="R36" i="70"/>
  <c r="R78" i="70"/>
  <c r="R71" i="70"/>
  <c r="R74" i="70"/>
  <c r="R70" i="70"/>
  <c r="R66" i="70"/>
  <c r="R63" i="70"/>
  <c r="R59" i="70"/>
  <c r="R34" i="70"/>
  <c r="R32" i="70"/>
  <c r="P30" i="70"/>
  <c r="R30" i="70" s="1"/>
  <c r="R69" i="70"/>
  <c r="R48" i="70"/>
  <c r="R50" i="70"/>
  <c r="R51" i="70"/>
  <c r="R35" i="70"/>
  <c r="R53" i="70"/>
  <c r="R41" i="70"/>
  <c r="R45" i="70"/>
  <c r="V75" i="70"/>
  <c r="V67" i="70"/>
  <c r="V55" i="70"/>
  <c r="V47" i="70"/>
  <c r="V43" i="70"/>
  <c r="V39" i="70"/>
  <c r="V27" i="70"/>
  <c r="V62" i="70"/>
  <c r="V58" i="70"/>
  <c r="V54" i="70"/>
  <c r="V46" i="70"/>
  <c r="V42" i="70"/>
  <c r="V38" i="70"/>
  <c r="V83" i="70"/>
  <c r="V61" i="70"/>
  <c r="V57" i="70"/>
  <c r="V49" i="70"/>
  <c r="V37" i="70"/>
  <c r="V78" i="70"/>
  <c r="V72" i="70"/>
  <c r="V64" i="70"/>
  <c r="V60" i="70"/>
  <c r="V48" i="70"/>
  <c r="V36" i="70"/>
  <c r="V32" i="70"/>
  <c r="V71" i="70"/>
  <c r="V63" i="70"/>
  <c r="V59" i="70"/>
  <c r="V51" i="70"/>
  <c r="V35" i="70"/>
  <c r="T30" i="70"/>
  <c r="V74" i="70"/>
  <c r="V70" i="70"/>
  <c r="V66" i="70"/>
  <c r="V79" i="70"/>
  <c r="V73" i="70"/>
  <c r="V69" i="70"/>
  <c r="V65" i="70"/>
  <c r="V53" i="70"/>
  <c r="V45" i="70"/>
  <c r="V41" i="70"/>
  <c r="V33" i="70"/>
  <c r="Z12" i="70"/>
  <c r="V50" i="70"/>
  <c r="V34" i="70"/>
  <c r="V52" i="70"/>
  <c r="V40" i="70"/>
  <c r="V76" i="70"/>
  <c r="V44" i="70"/>
  <c r="V68" i="70"/>
  <c r="V56" i="70"/>
  <c r="V28" i="70"/>
  <c r="R92" i="71"/>
  <c r="R76" i="71"/>
  <c r="R71" i="71"/>
  <c r="R67" i="71"/>
  <c r="R63" i="71"/>
  <c r="R55" i="71"/>
  <c r="R53" i="71"/>
  <c r="P51" i="71"/>
  <c r="R43" i="71"/>
  <c r="R97" i="71"/>
  <c r="R82" i="71"/>
  <c r="R79" i="71"/>
  <c r="R66" i="71"/>
  <c r="R62" i="71"/>
  <c r="R42" i="71"/>
  <c r="R35" i="71"/>
  <c r="R89" i="71"/>
  <c r="R73" i="71"/>
  <c r="R70" i="71"/>
  <c r="R65" i="71"/>
  <c r="R61" i="71"/>
  <c r="R54" i="71"/>
  <c r="R49" i="71"/>
  <c r="R41" i="71"/>
  <c r="R95" i="71"/>
  <c r="R88" i="71"/>
  <c r="R84" i="71"/>
  <c r="R81" i="71"/>
  <c r="R60" i="71"/>
  <c r="R48" i="71"/>
  <c r="R40" i="71"/>
  <c r="R98" i="71"/>
  <c r="R91" i="71"/>
  <c r="R87" i="71"/>
  <c r="R75" i="71"/>
  <c r="R72" i="71"/>
  <c r="R64" i="71"/>
  <c r="R59" i="71"/>
  <c r="R47" i="71"/>
  <c r="R39" i="71"/>
  <c r="R86" i="71"/>
  <c r="R83" i="71"/>
  <c r="R78" i="71"/>
  <c r="R58" i="71"/>
  <c r="R46" i="71"/>
  <c r="R38" i="71"/>
  <c r="R96" i="71"/>
  <c r="R93" i="71"/>
  <c r="R90" i="71"/>
  <c r="R77" i="71"/>
  <c r="R74" i="71"/>
  <c r="R69" i="71"/>
  <c r="R57" i="71"/>
  <c r="R45" i="71"/>
  <c r="R37" i="71"/>
  <c r="R80" i="71"/>
  <c r="R102" i="71"/>
  <c r="R68" i="71"/>
  <c r="R56" i="71"/>
  <c r="R44" i="71"/>
  <c r="R36" i="71"/>
  <c r="X12" i="71"/>
  <c r="Z12" i="71" s="1"/>
  <c r="R85" i="71"/>
  <c r="V149" i="69"/>
  <c r="V140" i="69"/>
  <c r="V120" i="69"/>
  <c r="V116" i="69"/>
  <c r="V108" i="69"/>
  <c r="V104" i="69"/>
  <c r="V96" i="69"/>
  <c r="V92" i="69"/>
  <c r="V80" i="69"/>
  <c r="V72" i="69"/>
  <c r="V64" i="69"/>
  <c r="V56" i="69"/>
  <c r="V145" i="69"/>
  <c r="V135" i="69"/>
  <c r="V123" i="69"/>
  <c r="V119" i="69"/>
  <c r="V107" i="69"/>
  <c r="V95" i="69"/>
  <c r="V91" i="69"/>
  <c r="V79" i="69"/>
  <c r="V71" i="69"/>
  <c r="V63" i="69"/>
  <c r="V134" i="69"/>
  <c r="V126" i="69"/>
  <c r="V122" i="69"/>
  <c r="V110" i="69"/>
  <c r="V90" i="69"/>
  <c r="V78" i="69"/>
  <c r="V70" i="69"/>
  <c r="V62" i="69"/>
  <c r="V143" i="69"/>
  <c r="V137" i="69"/>
  <c r="V133" i="69"/>
  <c r="V129" i="69"/>
  <c r="V125" i="69"/>
  <c r="V121" i="69"/>
  <c r="V113" i="69"/>
  <c r="V109" i="69"/>
  <c r="V101" i="69"/>
  <c r="V89" i="69"/>
  <c r="V85" i="69"/>
  <c r="V83" i="69"/>
  <c r="V77" i="69"/>
  <c r="V69" i="69"/>
  <c r="V61" i="69"/>
  <c r="V136" i="69"/>
  <c r="V132" i="69"/>
  <c r="V128" i="69"/>
  <c r="V124" i="69"/>
  <c r="V112" i="69"/>
  <c r="V100" i="69"/>
  <c r="V88" i="69"/>
  <c r="T83" i="69"/>
  <c r="V76" i="69"/>
  <c r="V68" i="69"/>
  <c r="V60" i="69"/>
  <c r="Z12" i="69"/>
  <c r="V139" i="69"/>
  <c r="V131" i="69"/>
  <c r="V127" i="69"/>
  <c r="V115" i="69"/>
  <c r="V111" i="69"/>
  <c r="V103" i="69"/>
  <c r="V99" i="69"/>
  <c r="V87" i="69"/>
  <c r="V75" i="69"/>
  <c r="V67" i="69"/>
  <c r="V59" i="69"/>
  <c r="V144" i="69"/>
  <c r="V138" i="69"/>
  <c r="V130" i="69"/>
  <c r="V118" i="69"/>
  <c r="V114" i="69"/>
  <c r="V106" i="69"/>
  <c r="V102" i="69"/>
  <c r="V98" i="69"/>
  <c r="V94" i="69"/>
  <c r="V86" i="69"/>
  <c r="V74" i="69"/>
  <c r="V66" i="69"/>
  <c r="V58" i="69"/>
  <c r="V57" i="69"/>
  <c r="V141" i="69"/>
  <c r="V105" i="69"/>
  <c r="V97" i="69"/>
  <c r="V65" i="69"/>
  <c r="V117" i="69"/>
  <c r="V73" i="69"/>
  <c r="V81" i="69"/>
  <c r="V93" i="69"/>
  <c r="N112" i="66"/>
  <c r="N17" i="62"/>
  <c r="H99" i="62"/>
  <c r="X12" i="65"/>
  <c r="P84" i="64"/>
  <c r="X39" i="64"/>
  <c r="H27" i="52"/>
  <c r="N18" i="52"/>
  <c r="X96" i="62"/>
  <c r="Z96" i="62" s="1"/>
  <c r="H27" i="47"/>
  <c r="N18" i="47"/>
  <c r="T50" i="60"/>
  <c r="P30" i="55"/>
  <c r="X16" i="55"/>
  <c r="N61" i="48"/>
  <c r="J100" i="51"/>
  <c r="X111" i="39"/>
  <c r="Z111" i="39" s="1"/>
  <c r="X18" i="33"/>
  <c r="P27" i="33"/>
  <c r="H27" i="33"/>
  <c r="N18" i="33"/>
  <c r="V86" i="31"/>
  <c r="V76" i="31"/>
  <c r="V72" i="31"/>
  <c r="V68" i="31"/>
  <c r="V52" i="31"/>
  <c r="V36" i="31"/>
  <c r="V81" i="31"/>
  <c r="V75" i="31"/>
  <c r="V71" i="31"/>
  <c r="V67" i="31"/>
  <c r="V55" i="31"/>
  <c r="V47" i="31"/>
  <c r="V43" i="31"/>
  <c r="V35" i="31"/>
  <c r="V78" i="31"/>
  <c r="V70" i="31"/>
  <c r="V58" i="31"/>
  <c r="V54" i="31"/>
  <c r="V46" i="31"/>
  <c r="V42" i="31"/>
  <c r="V30" i="31"/>
  <c r="V77" i="31"/>
  <c r="V69" i="31"/>
  <c r="V57" i="31"/>
  <c r="V49" i="31"/>
  <c r="V45" i="31"/>
  <c r="V41" i="31"/>
  <c r="V29" i="31"/>
  <c r="V82" i="31"/>
  <c r="V64" i="31"/>
  <c r="V60" i="31"/>
  <c r="V56" i="31"/>
  <c r="V48" i="31"/>
  <c r="V44" i="31"/>
  <c r="V40" i="31"/>
  <c r="V28" i="31"/>
  <c r="Z12" i="31"/>
  <c r="V63" i="31"/>
  <c r="V80" i="31"/>
  <c r="V74" i="31"/>
  <c r="V66" i="31"/>
  <c r="V62" i="31"/>
  <c r="V50" i="31"/>
  <c r="V38" i="31"/>
  <c r="V34" i="31"/>
  <c r="V32" i="31"/>
  <c r="V53" i="31"/>
  <c r="V39" i="31"/>
  <c r="V59" i="31"/>
  <c r="V73" i="31"/>
  <c r="V37" i="31"/>
  <c r="V61" i="31"/>
  <c r="T32" i="31"/>
  <c r="V51" i="31"/>
  <c r="V27" i="31"/>
  <c r="V65" i="31"/>
  <c r="H27" i="30"/>
  <c r="N18" i="30"/>
  <c r="Z18" i="30"/>
  <c r="T27" i="30"/>
  <c r="T27" i="29"/>
  <c r="Z18" i="29"/>
  <c r="L18" i="24"/>
  <c r="D27" i="24"/>
  <c r="H27" i="27"/>
  <c r="N18" i="27"/>
  <c r="L18" i="27"/>
  <c r="P31" i="17"/>
  <c r="N18" i="16"/>
  <c r="H27" i="16"/>
  <c r="T27" i="19"/>
  <c r="X27" i="19" s="1"/>
  <c r="Z18" i="19"/>
  <c r="F244" i="18"/>
  <c r="F227" i="18"/>
  <c r="F195" i="18"/>
  <c r="F171" i="18"/>
  <c r="F167" i="18"/>
  <c r="F162" i="18"/>
  <c r="F155" i="18"/>
  <c r="F143" i="18"/>
  <c r="F135" i="18"/>
  <c r="F127" i="18"/>
  <c r="F119" i="18"/>
  <c r="F111" i="18"/>
  <c r="F103" i="18"/>
  <c r="F237" i="18"/>
  <c r="F233" i="18"/>
  <c r="F230" i="18"/>
  <c r="F226" i="18"/>
  <c r="F217" i="18"/>
  <c r="F201" i="18"/>
  <c r="F198" i="18"/>
  <c r="F189" i="18"/>
  <c r="F186" i="18"/>
  <c r="F177" i="18"/>
  <c r="F174" i="18"/>
  <c r="F166" i="18"/>
  <c r="F154" i="18"/>
  <c r="F142" i="18"/>
  <c r="F134" i="18"/>
  <c r="F126" i="18"/>
  <c r="F118" i="18"/>
  <c r="F110" i="18"/>
  <c r="F102" i="18"/>
  <c r="F242" i="18"/>
  <c r="F229" i="18"/>
  <c r="F225" i="18"/>
  <c r="F220" i="18"/>
  <c r="F212" i="18"/>
  <c r="F208" i="18"/>
  <c r="F197" i="18"/>
  <c r="F192" i="18"/>
  <c r="F180" i="18"/>
  <c r="F173" i="18"/>
  <c r="F165" i="18"/>
  <c r="F161" i="18"/>
  <c r="F153" i="18"/>
  <c r="F141" i="18"/>
  <c r="F133" i="18"/>
  <c r="F125" i="18"/>
  <c r="F117" i="18"/>
  <c r="F109" i="18"/>
  <c r="F101" i="18"/>
  <c r="F96" i="18"/>
  <c r="F245" i="18"/>
  <c r="F236" i="18"/>
  <c r="F232" i="18"/>
  <c r="F224" i="18"/>
  <c r="F216" i="18"/>
  <c r="F203" i="18"/>
  <c r="F200" i="18"/>
  <c r="F188" i="18"/>
  <c r="F183" i="18"/>
  <c r="F176" i="18"/>
  <c r="F164" i="18"/>
  <c r="F160" i="18"/>
  <c r="F152" i="18"/>
  <c r="F140" i="18"/>
  <c r="F132" i="18"/>
  <c r="F124" i="18"/>
  <c r="F116" i="18"/>
  <c r="F108" i="18"/>
  <c r="F100" i="18"/>
  <c r="L12" i="18"/>
  <c r="N12" i="18" s="1"/>
  <c r="F240" i="18"/>
  <c r="F235" i="18"/>
  <c r="F223" i="18"/>
  <c r="F219" i="18"/>
  <c r="F215" i="18"/>
  <c r="F211" i="18"/>
  <c r="F207" i="18"/>
  <c r="F194" i="18"/>
  <c r="F191" i="18"/>
  <c r="F179" i="18"/>
  <c r="F170" i="18"/>
  <c r="F163" i="18"/>
  <c r="F159" i="18"/>
  <c r="F148" i="18"/>
  <c r="F139" i="18"/>
  <c r="F131" i="18"/>
  <c r="F123" i="18"/>
  <c r="F115" i="18"/>
  <c r="F107" i="18"/>
  <c r="F99" i="18"/>
  <c r="F243" i="18"/>
  <c r="F238" i="18"/>
  <c r="F234" i="18"/>
  <c r="F222" i="18"/>
  <c r="F218" i="18"/>
  <c r="F214" i="18"/>
  <c r="F210" i="18"/>
  <c r="F206" i="18"/>
  <c r="F202" i="18"/>
  <c r="F190" i="18"/>
  <c r="F185" i="18"/>
  <c r="F182" i="18"/>
  <c r="F178" i="18"/>
  <c r="F158" i="18"/>
  <c r="D148" i="18"/>
  <c r="F146" i="18"/>
  <c r="F138" i="18"/>
  <c r="F130" i="18"/>
  <c r="F122" i="18"/>
  <c r="F114" i="18"/>
  <c r="F106" i="18"/>
  <c r="F98" i="18"/>
  <c r="F246" i="18"/>
  <c r="F228" i="18"/>
  <c r="F221" i="18"/>
  <c r="F213" i="18"/>
  <c r="F209" i="18"/>
  <c r="F205" i="18"/>
  <c r="F196" i="18"/>
  <c r="F193" i="18"/>
  <c r="F181" i="18"/>
  <c r="F172" i="18"/>
  <c r="F169" i="18"/>
  <c r="F157" i="18"/>
  <c r="F145" i="18"/>
  <c r="F137" i="18"/>
  <c r="F129" i="18"/>
  <c r="F121" i="18"/>
  <c r="F113" i="18"/>
  <c r="F105" i="18"/>
  <c r="F97" i="18"/>
  <c r="F120" i="18"/>
  <c r="F104" i="18"/>
  <c r="F151" i="18"/>
  <c r="F150" i="18"/>
  <c r="F144" i="18"/>
  <c r="F156" i="18"/>
  <c r="F187" i="18"/>
  <c r="F128" i="18"/>
  <c r="F112" i="18"/>
  <c r="F136" i="18"/>
  <c r="F231" i="18"/>
  <c r="F199" i="18"/>
  <c r="F241" i="18"/>
  <c r="F184" i="18"/>
  <c r="F204" i="18"/>
  <c r="F250" i="18"/>
  <c r="F168" i="18"/>
  <c r="F175" i="18"/>
  <c r="F225" i="15"/>
  <c r="F214" i="15"/>
  <c r="F210" i="15"/>
  <c r="F207" i="15"/>
  <c r="F203" i="15"/>
  <c r="F194" i="15"/>
  <c r="F178" i="15"/>
  <c r="F175" i="15"/>
  <c r="F166" i="15"/>
  <c r="F163" i="15"/>
  <c r="F154" i="15"/>
  <c r="F151" i="15"/>
  <c r="F143" i="15"/>
  <c r="F219" i="15"/>
  <c r="F206" i="15"/>
  <c r="F202" i="15"/>
  <c r="F197" i="15"/>
  <c r="F189" i="15"/>
  <c r="F185" i="15"/>
  <c r="F174" i="15"/>
  <c r="F169" i="15"/>
  <c r="F157" i="15"/>
  <c r="F213" i="15"/>
  <c r="F209" i="15"/>
  <c r="F201" i="15"/>
  <c r="F193" i="15"/>
  <c r="F180" i="15"/>
  <c r="F177" i="15"/>
  <c r="F165" i="15"/>
  <c r="F160" i="15"/>
  <c r="F153" i="15"/>
  <c r="F217" i="15"/>
  <c r="F212" i="15"/>
  <c r="F200" i="15"/>
  <c r="F196" i="15"/>
  <c r="F192" i="15"/>
  <c r="F188" i="15"/>
  <c r="F184" i="15"/>
  <c r="F171" i="15"/>
  <c r="F168" i="15"/>
  <c r="F220" i="15"/>
  <c r="F215" i="15"/>
  <c r="F211" i="15"/>
  <c r="F199" i="15"/>
  <c r="F195" i="15"/>
  <c r="F191" i="15"/>
  <c r="F187" i="15"/>
  <c r="F183" i="15"/>
  <c r="F179" i="15"/>
  <c r="F167" i="15"/>
  <c r="F205" i="15"/>
  <c r="F198" i="15"/>
  <c r="F218" i="15"/>
  <c r="F208" i="15"/>
  <c r="F181" i="15"/>
  <c r="F176" i="15"/>
  <c r="F164" i="15"/>
  <c r="F161" i="15"/>
  <c r="F152" i="15"/>
  <c r="F145" i="15"/>
  <c r="F173" i="15"/>
  <c r="F130" i="15"/>
  <c r="F118" i="15"/>
  <c r="F110" i="15"/>
  <c r="F102" i="15"/>
  <c r="F94" i="15"/>
  <c r="F86" i="15"/>
  <c r="F170" i="15"/>
  <c r="F155" i="15"/>
  <c r="F129" i="15"/>
  <c r="F117" i="15"/>
  <c r="F109" i="15"/>
  <c r="F101" i="15"/>
  <c r="F93" i="15"/>
  <c r="F85" i="15"/>
  <c r="F182" i="15"/>
  <c r="F156" i="15"/>
  <c r="F149" i="15"/>
  <c r="F148" i="15"/>
  <c r="F140" i="15"/>
  <c r="F116" i="15"/>
  <c r="F108" i="15"/>
  <c r="F100" i="15"/>
  <c r="F92" i="15"/>
  <c r="F84" i="15"/>
  <c r="L12" i="15"/>
  <c r="F158" i="15"/>
  <c r="F142" i="15"/>
  <c r="F141" i="15"/>
  <c r="D125" i="15"/>
  <c r="F123" i="15"/>
  <c r="F115" i="15"/>
  <c r="F107" i="15"/>
  <c r="F99" i="15"/>
  <c r="F91" i="15"/>
  <c r="F83" i="15"/>
  <c r="F186" i="15"/>
  <c r="F159" i="15"/>
  <c r="F144" i="15"/>
  <c r="F136" i="15"/>
  <c r="F135" i="15"/>
  <c r="F134" i="15"/>
  <c r="F122" i="15"/>
  <c r="F114" i="15"/>
  <c r="F106" i="15"/>
  <c r="F98" i="15"/>
  <c r="F90" i="15"/>
  <c r="F190" i="15"/>
  <c r="F172" i="15"/>
  <c r="F147" i="15"/>
  <c r="F146" i="15"/>
  <c r="F139" i="15"/>
  <c r="F138" i="15"/>
  <c r="F137" i="15"/>
  <c r="F133" i="15"/>
  <c r="F128" i="15"/>
  <c r="F127" i="15"/>
  <c r="F121" i="15"/>
  <c r="F113" i="15"/>
  <c r="F105" i="15"/>
  <c r="F97" i="15"/>
  <c r="F89" i="15"/>
  <c r="F221" i="15"/>
  <c r="F162" i="15"/>
  <c r="F150" i="15"/>
  <c r="F132" i="15"/>
  <c r="F120" i="15"/>
  <c r="F112" i="15"/>
  <c r="F104" i="15"/>
  <c r="F96" i="15"/>
  <c r="F88" i="15"/>
  <c r="F87" i="15"/>
  <c r="F204" i="15"/>
  <c r="F82" i="15"/>
  <c r="F119" i="15"/>
  <c r="F103" i="15"/>
  <c r="F131" i="15"/>
  <c r="F95" i="15"/>
  <c r="F111" i="15"/>
  <c r="F229" i="12"/>
  <c r="F216" i="12"/>
  <c r="F212" i="12"/>
  <c r="F207" i="12"/>
  <c r="F187" i="12"/>
  <c r="F184" i="12"/>
  <c r="F172" i="12"/>
  <c r="F167" i="12"/>
  <c r="F160" i="12"/>
  <c r="F148" i="12"/>
  <c r="F144" i="12"/>
  <c r="F136" i="12"/>
  <c r="F124" i="12"/>
  <c r="F116" i="12"/>
  <c r="F108" i="12"/>
  <c r="F100" i="12"/>
  <c r="F92" i="12"/>
  <c r="F87" i="12"/>
  <c r="L12" i="12"/>
  <c r="F223" i="12"/>
  <c r="F219" i="12"/>
  <c r="F211" i="12"/>
  <c r="F203" i="12"/>
  <c r="F198" i="12"/>
  <c r="F194" i="12"/>
  <c r="F183" i="12"/>
  <c r="F178" i="12"/>
  <c r="F175" i="12"/>
  <c r="F163" i="12"/>
  <c r="F154" i="12"/>
  <c r="F147" i="12"/>
  <c r="F143" i="12"/>
  <c r="F123" i="12"/>
  <c r="F115" i="12"/>
  <c r="F107" i="12"/>
  <c r="F99" i="12"/>
  <c r="F91" i="12"/>
  <c r="F227" i="12"/>
  <c r="F222" i="12"/>
  <c r="F210" i="12"/>
  <c r="F206" i="12"/>
  <c r="F202" i="12"/>
  <c r="F189" i="12"/>
  <c r="F186" i="12"/>
  <c r="F174" i="12"/>
  <c r="F169" i="12"/>
  <c r="F166" i="12"/>
  <c r="F162" i="12"/>
  <c r="F142" i="12"/>
  <c r="D132" i="12"/>
  <c r="F132" i="12" s="1"/>
  <c r="F130" i="12"/>
  <c r="F122" i="12"/>
  <c r="F114" i="12"/>
  <c r="F106" i="12"/>
  <c r="F98" i="12"/>
  <c r="F90" i="12"/>
  <c r="F230" i="12"/>
  <c r="F225" i="12"/>
  <c r="F221" i="12"/>
  <c r="F209" i="12"/>
  <c r="F205" i="12"/>
  <c r="F201" i="12"/>
  <c r="F197" i="12"/>
  <c r="F193" i="12"/>
  <c r="F180" i="12"/>
  <c r="F177" i="12"/>
  <c r="F165" i="12"/>
  <c r="F156" i="12"/>
  <c r="F153" i="12"/>
  <c r="F141" i="12"/>
  <c r="F129" i="12"/>
  <c r="F121" i="12"/>
  <c r="F113" i="12"/>
  <c r="F105" i="12"/>
  <c r="F97" i="12"/>
  <c r="F89" i="12"/>
  <c r="F215" i="12"/>
  <c r="F208" i="12"/>
  <c r="F200" i="12"/>
  <c r="F196" i="12"/>
  <c r="F192" i="12"/>
  <c r="F188" i="12"/>
  <c r="F171" i="12"/>
  <c r="F168" i="12"/>
  <c r="F159" i="12"/>
  <c r="F152" i="12"/>
  <c r="F140" i="12"/>
  <c r="F135" i="12"/>
  <c r="F134" i="12"/>
  <c r="F128" i="12"/>
  <c r="F120" i="12"/>
  <c r="F112" i="12"/>
  <c r="F104" i="12"/>
  <c r="F96" i="12"/>
  <c r="F88" i="12"/>
  <c r="F228" i="12"/>
  <c r="F218" i="12"/>
  <c r="F199" i="12"/>
  <c r="F195" i="12"/>
  <c r="F191" i="12"/>
  <c r="F182" i="12"/>
  <c r="F179" i="12"/>
  <c r="F155" i="12"/>
  <c r="F151" i="12"/>
  <c r="F146" i="12"/>
  <c r="F139" i="12"/>
  <c r="F127" i="12"/>
  <c r="F119" i="12"/>
  <c r="F111" i="12"/>
  <c r="F103" i="12"/>
  <c r="F95" i="12"/>
  <c r="F231" i="12"/>
  <c r="F214" i="12"/>
  <c r="F190" i="12"/>
  <c r="F185" i="12"/>
  <c r="F173" i="12"/>
  <c r="F170" i="12"/>
  <c r="F161" i="12"/>
  <c r="F158" i="12"/>
  <c r="F150" i="12"/>
  <c r="F138" i="12"/>
  <c r="F126" i="12"/>
  <c r="F118" i="12"/>
  <c r="F110" i="12"/>
  <c r="F102" i="12"/>
  <c r="F94" i="12"/>
  <c r="F235" i="12"/>
  <c r="F145" i="12"/>
  <c r="F125" i="12"/>
  <c r="F117" i="12"/>
  <c r="F101" i="12"/>
  <c r="F220" i="12"/>
  <c r="F217" i="12"/>
  <c r="F181" i="12"/>
  <c r="F164" i="12"/>
  <c r="F157" i="12"/>
  <c r="F137" i="12"/>
  <c r="F224" i="12"/>
  <c r="F213" i="12"/>
  <c r="F109" i="12"/>
  <c r="F93" i="12"/>
  <c r="F176" i="12"/>
  <c r="F204" i="12"/>
  <c r="F149" i="12"/>
  <c r="D94" i="9"/>
  <c r="X18" i="7"/>
  <c r="P27" i="7"/>
  <c r="P27" i="10"/>
  <c r="X18" i="10"/>
  <c r="P90" i="9"/>
  <c r="X16" i="9"/>
  <c r="J206" i="15"/>
  <c r="J202" i="15"/>
  <c r="J180" i="15"/>
  <c r="J174" i="15"/>
  <c r="J160" i="15"/>
  <c r="J150" i="15"/>
  <c r="J142" i="15"/>
  <c r="J138" i="15"/>
  <c r="J217" i="15"/>
  <c r="J213" i="15"/>
  <c r="J209" i="15"/>
  <c r="J201" i="15"/>
  <c r="J193" i="15"/>
  <c r="J177" i="15"/>
  <c r="J171" i="15"/>
  <c r="J165" i="15"/>
  <c r="J153" i="15"/>
  <c r="J220" i="15"/>
  <c r="J212" i="15"/>
  <c r="J200" i="15"/>
  <c r="J196" i="15"/>
  <c r="J192" i="15"/>
  <c r="J188" i="15"/>
  <c r="J184" i="15"/>
  <c r="J168" i="15"/>
  <c r="J162" i="15"/>
  <c r="J156" i="15"/>
  <c r="J215" i="15"/>
  <c r="J211" i="15"/>
  <c r="J205" i="15"/>
  <c r="J199" i="15"/>
  <c r="J195" i="15"/>
  <c r="J191" i="15"/>
  <c r="J187" i="15"/>
  <c r="J183" i="15"/>
  <c r="J179" i="15"/>
  <c r="J173" i="15"/>
  <c r="J167" i="15"/>
  <c r="J218" i="15"/>
  <c r="J208" i="15"/>
  <c r="J198" i="15"/>
  <c r="J190" i="15"/>
  <c r="J186" i="15"/>
  <c r="J182" i="15"/>
  <c r="J176" i="15"/>
  <c r="J170" i="15"/>
  <c r="J164" i="15"/>
  <c r="J221" i="15"/>
  <c r="J214" i="15"/>
  <c r="J210" i="15"/>
  <c r="J204" i="15"/>
  <c r="J194" i="15"/>
  <c r="J178" i="15"/>
  <c r="J172" i="15"/>
  <c r="J166" i="15"/>
  <c r="J154" i="15"/>
  <c r="J148" i="15"/>
  <c r="J144" i="15"/>
  <c r="J207" i="15"/>
  <c r="J181" i="15"/>
  <c r="J155" i="15"/>
  <c r="J149" i="15"/>
  <c r="J129" i="15"/>
  <c r="J125" i="15"/>
  <c r="J117" i="15"/>
  <c r="J109" i="15"/>
  <c r="J101" i="15"/>
  <c r="J93" i="15"/>
  <c r="J85" i="15"/>
  <c r="J219" i="15"/>
  <c r="J163" i="15"/>
  <c r="J140" i="15"/>
  <c r="H125" i="15"/>
  <c r="J116" i="15"/>
  <c r="J108" i="15"/>
  <c r="J100" i="15"/>
  <c r="J92" i="15"/>
  <c r="J84" i="15"/>
  <c r="N12" i="15"/>
  <c r="J185" i="15"/>
  <c r="J158" i="15"/>
  <c r="J157" i="15"/>
  <c r="J141" i="15"/>
  <c r="J127" i="15"/>
  <c r="J123" i="15"/>
  <c r="J115" i="15"/>
  <c r="J107" i="15"/>
  <c r="J99" i="15"/>
  <c r="J91" i="15"/>
  <c r="J83" i="15"/>
  <c r="J189" i="15"/>
  <c r="J159" i="15"/>
  <c r="J147" i="15"/>
  <c r="J139" i="15"/>
  <c r="J136" i="15"/>
  <c r="J135" i="15"/>
  <c r="J134" i="15"/>
  <c r="J128" i="15"/>
  <c r="J122" i="15"/>
  <c r="J114" i="15"/>
  <c r="J106" i="15"/>
  <c r="J98" i="15"/>
  <c r="J90" i="15"/>
  <c r="J175" i="15"/>
  <c r="J146" i="15"/>
  <c r="J143" i="15"/>
  <c r="J137" i="15"/>
  <c r="J133" i="15"/>
  <c r="J121" i="15"/>
  <c r="J113" i="15"/>
  <c r="J105" i="15"/>
  <c r="J97" i="15"/>
  <c r="J89" i="15"/>
  <c r="J203" i="15"/>
  <c r="J161" i="15"/>
  <c r="J145" i="15"/>
  <c r="J132" i="15"/>
  <c r="J120" i="15"/>
  <c r="J112" i="15"/>
  <c r="J104" i="15"/>
  <c r="J96" i="15"/>
  <c r="J88" i="15"/>
  <c r="J82" i="15"/>
  <c r="J152" i="15"/>
  <c r="J131" i="15"/>
  <c r="J119" i="15"/>
  <c r="J111" i="15"/>
  <c r="J103" i="15"/>
  <c r="J95" i="15"/>
  <c r="J87" i="15"/>
  <c r="J197" i="15"/>
  <c r="J118" i="15"/>
  <c r="J102" i="15"/>
  <c r="J130" i="15"/>
  <c r="J94" i="15"/>
  <c r="J169" i="15"/>
  <c r="J225" i="15"/>
  <c r="J110" i="15"/>
  <c r="J151" i="15"/>
  <c r="J86" i="15"/>
  <c r="R218" i="15"/>
  <c r="R215" i="15"/>
  <c r="R211" i="15"/>
  <c r="R208" i="15"/>
  <c r="R199" i="15"/>
  <c r="R195" i="15"/>
  <c r="R191" i="15"/>
  <c r="R187" i="15"/>
  <c r="R183" i="15"/>
  <c r="R179" i="15"/>
  <c r="R176" i="15"/>
  <c r="R167" i="15"/>
  <c r="R164" i="15"/>
  <c r="R159" i="15"/>
  <c r="R155" i="15"/>
  <c r="R152" i="15"/>
  <c r="R135" i="15"/>
  <c r="R221" i="15"/>
  <c r="R198" i="15"/>
  <c r="R190" i="15"/>
  <c r="R186" i="15"/>
  <c r="R182" i="15"/>
  <c r="R170" i="15"/>
  <c r="R158" i="15"/>
  <c r="R214" i="15"/>
  <c r="R210" i="15"/>
  <c r="R194" i="15"/>
  <c r="R181" i="15"/>
  <c r="R178" i="15"/>
  <c r="R166" i="15"/>
  <c r="R161" i="15"/>
  <c r="R154" i="15"/>
  <c r="R219" i="15"/>
  <c r="R204" i="15"/>
  <c r="R197" i="15"/>
  <c r="R189" i="15"/>
  <c r="R185" i="15"/>
  <c r="R172" i="15"/>
  <c r="R169" i="15"/>
  <c r="R225" i="15"/>
  <c r="R207" i="15"/>
  <c r="R203" i="15"/>
  <c r="R180" i="15"/>
  <c r="R175" i="15"/>
  <c r="R163" i="15"/>
  <c r="R217" i="15"/>
  <c r="R206" i="15"/>
  <c r="R202" i="15"/>
  <c r="R220" i="15"/>
  <c r="R213" i="15"/>
  <c r="R209" i="15"/>
  <c r="R201" i="15"/>
  <c r="R193" i="15"/>
  <c r="R177" i="15"/>
  <c r="R165" i="15"/>
  <c r="R162" i="15"/>
  <c r="R153" i="15"/>
  <c r="R141" i="15"/>
  <c r="R137" i="15"/>
  <c r="R205" i="15"/>
  <c r="R188" i="15"/>
  <c r="R171" i="15"/>
  <c r="R160" i="15"/>
  <c r="R156" i="15"/>
  <c r="R147" i="15"/>
  <c r="R134" i="15"/>
  <c r="R122" i="15"/>
  <c r="R114" i="15"/>
  <c r="R106" i="15"/>
  <c r="R98" i="15"/>
  <c r="R90" i="15"/>
  <c r="R146" i="15"/>
  <c r="R144" i="15"/>
  <c r="R143" i="15"/>
  <c r="R142" i="15"/>
  <c r="R136" i="15"/>
  <c r="R133" i="15"/>
  <c r="R121" i="15"/>
  <c r="R113" i="15"/>
  <c r="R105" i="15"/>
  <c r="R97" i="15"/>
  <c r="R89" i="15"/>
  <c r="R82" i="15"/>
  <c r="R192" i="15"/>
  <c r="R145" i="15"/>
  <c r="R132" i="15"/>
  <c r="R120" i="15"/>
  <c r="R112" i="15"/>
  <c r="R104" i="15"/>
  <c r="R96" i="15"/>
  <c r="R88" i="15"/>
  <c r="R138" i="15"/>
  <c r="R131" i="15"/>
  <c r="R119" i="15"/>
  <c r="R111" i="15"/>
  <c r="R103" i="15"/>
  <c r="R95" i="15"/>
  <c r="R87" i="15"/>
  <c r="R212" i="15"/>
  <c r="R196" i="15"/>
  <c r="R168" i="15"/>
  <c r="R151" i="15"/>
  <c r="R150" i="15"/>
  <c r="R149" i="15"/>
  <c r="R130" i="15"/>
  <c r="R125" i="15"/>
  <c r="R118" i="15"/>
  <c r="R110" i="15"/>
  <c r="R102" i="15"/>
  <c r="R94" i="15"/>
  <c r="R86" i="15"/>
  <c r="R173" i="15"/>
  <c r="R129" i="15"/>
  <c r="R127" i="15"/>
  <c r="P125" i="15"/>
  <c r="R117" i="15"/>
  <c r="R109" i="15"/>
  <c r="R101" i="15"/>
  <c r="R93" i="15"/>
  <c r="R85" i="15"/>
  <c r="R116" i="15"/>
  <c r="R108" i="15"/>
  <c r="R100" i="15"/>
  <c r="R92" i="15"/>
  <c r="R84" i="15"/>
  <c r="X12" i="15"/>
  <c r="R139" i="15"/>
  <c r="R107" i="15"/>
  <c r="R200" i="15"/>
  <c r="R128" i="15"/>
  <c r="R83" i="15"/>
  <c r="R148" i="15"/>
  <c r="R184" i="15"/>
  <c r="R174" i="15"/>
  <c r="R140" i="15"/>
  <c r="R115" i="15"/>
  <c r="R99" i="15"/>
  <c r="R157" i="15"/>
  <c r="R91" i="15"/>
  <c r="R123" i="15"/>
  <c r="H75" i="81"/>
  <c r="L75" i="81" s="1"/>
  <c r="X18" i="5"/>
  <c r="H27" i="8"/>
  <c r="N18" i="8"/>
  <c r="D22" i="6"/>
  <c r="L16" i="6"/>
  <c r="H27" i="4"/>
  <c r="N18" i="4"/>
  <c r="X18" i="100"/>
  <c r="P27" i="100"/>
  <c r="T27" i="100"/>
  <c r="Z18" i="100"/>
  <c r="X18" i="99"/>
  <c r="Z20" i="96"/>
  <c r="J83" i="95"/>
  <c r="J70" i="95"/>
  <c r="J66" i="95"/>
  <c r="J62" i="95"/>
  <c r="J56" i="95"/>
  <c r="J48" i="95"/>
  <c r="J40" i="95"/>
  <c r="J30" i="95"/>
  <c r="J24" i="95"/>
  <c r="J18" i="95"/>
  <c r="J85" i="95"/>
  <c r="J77" i="95"/>
  <c r="J69" i="95"/>
  <c r="J65" i="95"/>
  <c r="J61" i="95"/>
  <c r="J53" i="95"/>
  <c r="J45" i="95"/>
  <c r="J29" i="95"/>
  <c r="J88" i="95"/>
  <c r="J74" i="95"/>
  <c r="J68" i="95"/>
  <c r="J64" i="95"/>
  <c r="J58" i="95"/>
  <c r="J50" i="95"/>
  <c r="J42" i="95"/>
  <c r="J34" i="95"/>
  <c r="J28" i="95"/>
  <c r="J55" i="95"/>
  <c r="J47" i="95"/>
  <c r="J39" i="95"/>
  <c r="J27" i="95"/>
  <c r="J17" i="95"/>
  <c r="J73" i="95"/>
  <c r="J67" i="95"/>
  <c r="J63" i="95"/>
  <c r="J57" i="95"/>
  <c r="J49" i="95"/>
  <c r="J41" i="95"/>
  <c r="J37" i="95"/>
  <c r="J33" i="95"/>
  <c r="J25" i="95"/>
  <c r="J21" i="95"/>
  <c r="J81" i="95"/>
  <c r="J72" i="95"/>
  <c r="J71" i="95"/>
  <c r="J59" i="95"/>
  <c r="J52" i="95"/>
  <c r="J35" i="95"/>
  <c r="J19" i="95"/>
  <c r="H21" i="95"/>
  <c r="J54" i="95"/>
  <c r="J51" i="95"/>
  <c r="J36" i="95"/>
  <c r="J31" i="95"/>
  <c r="J23" i="95"/>
  <c r="J76" i="95"/>
  <c r="J32" i="95"/>
  <c r="J75" i="95"/>
  <c r="J44" i="95"/>
  <c r="J60" i="95"/>
  <c r="N12" i="95"/>
  <c r="J79" i="95"/>
  <c r="J43" i="95"/>
  <c r="J26" i="95"/>
  <c r="J46" i="95"/>
  <c r="J38" i="95"/>
  <c r="P85" i="94"/>
  <c r="X21" i="94"/>
  <c r="F75" i="95"/>
  <c r="F71" i="95"/>
  <c r="F59" i="95"/>
  <c r="F54" i="95"/>
  <c r="F51" i="95"/>
  <c r="F46" i="95"/>
  <c r="F43" i="95"/>
  <c r="F35" i="95"/>
  <c r="F31" i="95"/>
  <c r="D21" i="95"/>
  <c r="F19" i="95"/>
  <c r="F83" i="95"/>
  <c r="F79" i="95"/>
  <c r="F70" i="95"/>
  <c r="F66" i="95"/>
  <c r="F62" i="95"/>
  <c r="F30" i="95"/>
  <c r="F18" i="95"/>
  <c r="F77" i="95"/>
  <c r="F69" i="95"/>
  <c r="F65" i="95"/>
  <c r="F61" i="95"/>
  <c r="F56" i="95"/>
  <c r="F53" i="95"/>
  <c r="F48" i="95"/>
  <c r="F45" i="95"/>
  <c r="F40" i="95"/>
  <c r="F29" i="95"/>
  <c r="F24" i="95"/>
  <c r="F23" i="95"/>
  <c r="F68" i="95"/>
  <c r="F64" i="95"/>
  <c r="F28" i="95"/>
  <c r="F38" i="95"/>
  <c r="F26" i="95"/>
  <c r="F17" i="95"/>
  <c r="F60" i="95"/>
  <c r="F58" i="95"/>
  <c r="F27" i="95"/>
  <c r="F72" i="95"/>
  <c r="F49" i="95"/>
  <c r="F73" i="95"/>
  <c r="F67" i="95"/>
  <c r="F52" i="95"/>
  <c r="F50" i="95"/>
  <c r="F39" i="95"/>
  <c r="F25" i="95"/>
  <c r="F21" i="95"/>
  <c r="F74" i="95"/>
  <c r="F55" i="95"/>
  <c r="F41" i="95"/>
  <c r="F36" i="95"/>
  <c r="F63" i="95"/>
  <c r="F42" i="95"/>
  <c r="F32" i="95"/>
  <c r="F57" i="95"/>
  <c r="F47" i="95"/>
  <c r="F44" i="95"/>
  <c r="F33" i="95"/>
  <c r="F37" i="95"/>
  <c r="L12" i="95"/>
  <c r="F76" i="95"/>
  <c r="F34" i="95"/>
  <c r="D85" i="94"/>
  <c r="L21" i="94"/>
  <c r="F24" i="93"/>
  <c r="D18" i="93"/>
  <c r="F18" i="93" s="1"/>
  <c r="F28" i="93"/>
  <c r="F32" i="93"/>
  <c r="F26" i="93"/>
  <c r="F21" i="93"/>
  <c r="F20" i="93"/>
  <c r="F16" i="93"/>
  <c r="F23" i="93"/>
  <c r="L12" i="93"/>
  <c r="F25" i="93"/>
  <c r="F22" i="93"/>
  <c r="F21" i="94"/>
  <c r="V37" i="90"/>
  <c r="V33" i="90"/>
  <c r="V25" i="90"/>
  <c r="V36" i="90"/>
  <c r="V28" i="90"/>
  <c r="V24" i="90"/>
  <c r="V20" i="90"/>
  <c r="V18" i="90"/>
  <c r="Z12" i="90"/>
  <c r="V51" i="90"/>
  <c r="V45" i="90"/>
  <c r="V39" i="90"/>
  <c r="V35" i="90"/>
  <c r="V27" i="90"/>
  <c r="V23" i="90"/>
  <c r="T18" i="90"/>
  <c r="V38" i="90"/>
  <c r="V30" i="90"/>
  <c r="V22" i="90"/>
  <c r="V54" i="90"/>
  <c r="V49" i="90"/>
  <c r="V47" i="90"/>
  <c r="V43" i="90"/>
  <c r="V31" i="90"/>
  <c r="V15" i="90"/>
  <c r="V42" i="90"/>
  <c r="V34" i="90"/>
  <c r="V26" i="90"/>
  <c r="V32" i="90"/>
  <c r="V21" i="90"/>
  <c r="V16" i="90"/>
  <c r="V29" i="90"/>
  <c r="V41" i="90"/>
  <c r="V40" i="90"/>
  <c r="L16" i="89"/>
  <c r="D30" i="89"/>
  <c r="N17" i="86"/>
  <c r="H69" i="86"/>
  <c r="P41" i="84"/>
  <c r="Z16" i="82"/>
  <c r="T33" i="82"/>
  <c r="R18" i="90"/>
  <c r="T42" i="83"/>
  <c r="L81" i="79"/>
  <c r="X12" i="77"/>
  <c r="Z12" i="77" s="1"/>
  <c r="V19" i="75"/>
  <c r="V18" i="75"/>
  <c r="V27" i="75"/>
  <c r="V23" i="75"/>
  <c r="T23" i="75"/>
  <c r="V31" i="75"/>
  <c r="V20" i="75"/>
  <c r="V25" i="75"/>
  <c r="Z12" i="75"/>
  <c r="V21" i="75"/>
  <c r="R20" i="76"/>
  <c r="D44" i="74"/>
  <c r="L17" i="74"/>
  <c r="P84" i="79"/>
  <c r="X20" i="79"/>
  <c r="Z143" i="69"/>
  <c r="L143" i="69"/>
  <c r="N143" i="69" s="1"/>
  <c r="F72" i="64"/>
  <c r="F69" i="64"/>
  <c r="F65" i="64"/>
  <c r="F60" i="64"/>
  <c r="F57" i="64"/>
  <c r="D39" i="64"/>
  <c r="F37" i="64"/>
  <c r="F29" i="64"/>
  <c r="F79" i="64"/>
  <c r="F76" i="64"/>
  <c r="F68" i="64"/>
  <c r="F56" i="64"/>
  <c r="F51" i="64"/>
  <c r="F36" i="64"/>
  <c r="F28" i="64"/>
  <c r="L12" i="64"/>
  <c r="F75" i="64"/>
  <c r="F71" i="64"/>
  <c r="F62" i="64"/>
  <c r="F59" i="64"/>
  <c r="F46" i="64"/>
  <c r="F42" i="64"/>
  <c r="F41" i="64"/>
  <c r="F35" i="64"/>
  <c r="F78" i="64"/>
  <c r="F74" i="64"/>
  <c r="F53" i="64"/>
  <c r="F50" i="64"/>
  <c r="F34" i="64"/>
  <c r="F82" i="64"/>
  <c r="F73" i="64"/>
  <c r="F64" i="64"/>
  <c r="F61" i="64"/>
  <c r="F49" i="64"/>
  <c r="F45" i="64"/>
  <c r="F33" i="64"/>
  <c r="F86" i="64"/>
  <c r="F80" i="64"/>
  <c r="F67" i="64"/>
  <c r="F55" i="64"/>
  <c r="F52" i="64"/>
  <c r="F48" i="64"/>
  <c r="F44" i="64"/>
  <c r="F32" i="64"/>
  <c r="F27" i="64"/>
  <c r="F70" i="64"/>
  <c r="F63" i="64"/>
  <c r="F58" i="64"/>
  <c r="F47" i="64"/>
  <c r="F43" i="64"/>
  <c r="F31" i="64"/>
  <c r="F66" i="64"/>
  <c r="F30" i="64"/>
  <c r="F54" i="64"/>
  <c r="F77" i="64"/>
  <c r="D59" i="65"/>
  <c r="P46" i="60"/>
  <c r="X16" i="60"/>
  <c r="D73" i="58"/>
  <c r="L69" i="58"/>
  <c r="N69" i="58" s="1"/>
  <c r="Z61" i="48"/>
  <c r="P67" i="56"/>
  <c r="X16" i="56"/>
  <c r="D27" i="47"/>
  <c r="L18" i="47"/>
  <c r="H22" i="54"/>
  <c r="N16" i="54"/>
  <c r="X62" i="57"/>
  <c r="Z62" i="57" s="1"/>
  <c r="P66" i="57"/>
  <c r="L16" i="57"/>
  <c r="L16" i="56"/>
  <c r="T27" i="50"/>
  <c r="Z18" i="50"/>
  <c r="P27" i="53"/>
  <c r="X18" i="53"/>
  <c r="X18" i="40"/>
  <c r="P27" i="40"/>
  <c r="Z27" i="49"/>
  <c r="T31" i="49"/>
  <c r="F85" i="51"/>
  <c r="F82" i="51"/>
  <c r="F66" i="51"/>
  <c r="F62" i="51"/>
  <c r="F42" i="51"/>
  <c r="F92" i="51"/>
  <c r="F89" i="51"/>
  <c r="F76" i="51"/>
  <c r="F73" i="51"/>
  <c r="F65" i="51"/>
  <c r="F61" i="51"/>
  <c r="D51" i="51"/>
  <c r="F49" i="51"/>
  <c r="F41" i="51"/>
  <c r="F97" i="51"/>
  <c r="F88" i="51"/>
  <c r="F84" i="51"/>
  <c r="F79" i="51"/>
  <c r="F60" i="51"/>
  <c r="F48" i="51"/>
  <c r="F40" i="51"/>
  <c r="F35" i="51"/>
  <c r="F91" i="51"/>
  <c r="F87" i="51"/>
  <c r="F75" i="51"/>
  <c r="F70" i="51"/>
  <c r="F59" i="51"/>
  <c r="F54" i="51"/>
  <c r="F53" i="51"/>
  <c r="F47" i="51"/>
  <c r="F39" i="51"/>
  <c r="F95" i="51"/>
  <c r="F86" i="51"/>
  <c r="F81" i="51"/>
  <c r="F78" i="51"/>
  <c r="F58" i="51"/>
  <c r="F46" i="51"/>
  <c r="F38" i="51"/>
  <c r="F98" i="51"/>
  <c r="F93" i="51"/>
  <c r="F77" i="51"/>
  <c r="F72" i="51"/>
  <c r="F69" i="51"/>
  <c r="F64" i="51"/>
  <c r="F57" i="51"/>
  <c r="F45" i="51"/>
  <c r="F37" i="51"/>
  <c r="F102" i="51"/>
  <c r="F83" i="51"/>
  <c r="F80" i="51"/>
  <c r="F68" i="51"/>
  <c r="F56" i="51"/>
  <c r="F44" i="51"/>
  <c r="F36" i="51"/>
  <c r="L12" i="51"/>
  <c r="N12" i="51" s="1"/>
  <c r="F96" i="51"/>
  <c r="F55" i="51"/>
  <c r="F43" i="51"/>
  <c r="F67" i="51"/>
  <c r="F71" i="51"/>
  <c r="F74" i="51"/>
  <c r="F63" i="51"/>
  <c r="F90" i="51"/>
  <c r="F111" i="39"/>
  <c r="F106" i="39"/>
  <c r="F101" i="39"/>
  <c r="F94" i="39"/>
  <c r="F90" i="39"/>
  <c r="F86" i="39"/>
  <c r="F78" i="39"/>
  <c r="F73" i="39"/>
  <c r="F70" i="39"/>
  <c r="F58" i="39"/>
  <c r="F53" i="39"/>
  <c r="F46" i="39"/>
  <c r="F42" i="39"/>
  <c r="D32" i="39"/>
  <c r="F30" i="39"/>
  <c r="F114" i="39"/>
  <c r="F109" i="39"/>
  <c r="F93" i="39"/>
  <c r="F85" i="39"/>
  <c r="F64" i="39"/>
  <c r="F61" i="39"/>
  <c r="F41" i="39"/>
  <c r="F29" i="39"/>
  <c r="F118" i="39"/>
  <c r="F103" i="39"/>
  <c r="F100" i="39"/>
  <c r="F92" i="39"/>
  <c r="F75" i="39"/>
  <c r="F72" i="39"/>
  <c r="F60" i="39"/>
  <c r="F55" i="39"/>
  <c r="F52" i="39"/>
  <c r="F40" i="39"/>
  <c r="F35" i="39"/>
  <c r="F34" i="39"/>
  <c r="F28" i="39"/>
  <c r="L12" i="39"/>
  <c r="N12" i="39" s="1"/>
  <c r="F112" i="39"/>
  <c r="F99" i="39"/>
  <c r="F82" i="39"/>
  <c r="F66" i="39"/>
  <c r="F63" i="39"/>
  <c r="F51" i="39"/>
  <c r="F39" i="39"/>
  <c r="F105" i="39"/>
  <c r="F102" i="39"/>
  <c r="F98" i="39"/>
  <c r="F89" i="39"/>
  <c r="F77" i="39"/>
  <c r="F74" i="39"/>
  <c r="F69" i="39"/>
  <c r="F57" i="39"/>
  <c r="F54" i="39"/>
  <c r="F50" i="39"/>
  <c r="F45" i="39"/>
  <c r="F38" i="39"/>
  <c r="F108" i="39"/>
  <c r="F97" i="39"/>
  <c r="F84" i="39"/>
  <c r="F81" i="39"/>
  <c r="F65" i="39"/>
  <c r="F49" i="39"/>
  <c r="F37" i="39"/>
  <c r="F113" i="39"/>
  <c r="F104" i="39"/>
  <c r="F96" i="39"/>
  <c r="F91" i="39"/>
  <c r="F88" i="39"/>
  <c r="F80" i="39"/>
  <c r="F76" i="39"/>
  <c r="F71" i="39"/>
  <c r="F68" i="39"/>
  <c r="F59" i="39"/>
  <c r="F56" i="39"/>
  <c r="F48" i="39"/>
  <c r="F44" i="39"/>
  <c r="F36" i="39"/>
  <c r="F27" i="39"/>
  <c r="F87" i="39"/>
  <c r="F95" i="39"/>
  <c r="F43" i="39"/>
  <c r="F107" i="39"/>
  <c r="F83" i="39"/>
  <c r="F67" i="39"/>
  <c r="F79" i="39"/>
  <c r="F62" i="39"/>
  <c r="F47" i="39"/>
  <c r="T27" i="35"/>
  <c r="Z18" i="35"/>
  <c r="X18" i="24"/>
  <c r="P27" i="24"/>
  <c r="V169" i="34"/>
  <c r="V159" i="34"/>
  <c r="V147" i="34"/>
  <c r="V139" i="34"/>
  <c r="V127" i="34"/>
  <c r="V123" i="34"/>
  <c r="V115" i="34"/>
  <c r="V111" i="34"/>
  <c r="V103" i="34"/>
  <c r="V91" i="34"/>
  <c r="T86" i="34"/>
  <c r="V79" i="34"/>
  <c r="V71" i="34"/>
  <c r="V63" i="34"/>
  <c r="V164" i="34"/>
  <c r="V158" i="34"/>
  <c r="V126" i="34"/>
  <c r="V114" i="34"/>
  <c r="V106" i="34"/>
  <c r="V102" i="34"/>
  <c r="V90" i="34"/>
  <c r="V78" i="34"/>
  <c r="V70" i="34"/>
  <c r="V62" i="34"/>
  <c r="V161" i="34"/>
  <c r="V153" i="34"/>
  <c r="V129" i="34"/>
  <c r="V125" i="34"/>
  <c r="V117" i="34"/>
  <c r="V105" i="34"/>
  <c r="V101" i="34"/>
  <c r="V97" i="34"/>
  <c r="V89" i="34"/>
  <c r="V77" i="34"/>
  <c r="V69" i="34"/>
  <c r="V61" i="34"/>
  <c r="V160" i="34"/>
  <c r="V152" i="34"/>
  <c r="V128" i="34"/>
  <c r="V120" i="34"/>
  <c r="V116" i="34"/>
  <c r="V108" i="34"/>
  <c r="V100" i="34"/>
  <c r="V96" i="34"/>
  <c r="V84" i="34"/>
  <c r="V76" i="34"/>
  <c r="V68" i="34"/>
  <c r="V60" i="34"/>
  <c r="Z12" i="34"/>
  <c r="V165" i="34"/>
  <c r="V155" i="34"/>
  <c r="V151" i="34"/>
  <c r="V143" i="34"/>
  <c r="V135" i="34"/>
  <c r="V131" i="34"/>
  <c r="V119" i="34"/>
  <c r="V107" i="34"/>
  <c r="V99" i="34"/>
  <c r="V95" i="34"/>
  <c r="V83" i="34"/>
  <c r="V75" i="34"/>
  <c r="V67" i="34"/>
  <c r="V59" i="34"/>
  <c r="V154" i="34"/>
  <c r="V150" i="34"/>
  <c r="V146" i="34"/>
  <c r="V142" i="34"/>
  <c r="V138" i="34"/>
  <c r="V134" i="34"/>
  <c r="V130" i="34"/>
  <c r="V122" i="34"/>
  <c r="V118" i="34"/>
  <c r="V110" i="34"/>
  <c r="V98" i="34"/>
  <c r="V94" i="34"/>
  <c r="V82" i="34"/>
  <c r="V74" i="34"/>
  <c r="V66" i="34"/>
  <c r="V58" i="34"/>
  <c r="V163" i="34"/>
  <c r="V157" i="34"/>
  <c r="V149" i="34"/>
  <c r="V145" i="34"/>
  <c r="V141" i="34"/>
  <c r="V137" i="34"/>
  <c r="V133" i="34"/>
  <c r="V121" i="34"/>
  <c r="V113" i="34"/>
  <c r="V109" i="34"/>
  <c r="V93" i="34"/>
  <c r="V81" i="34"/>
  <c r="V73" i="34"/>
  <c r="V65" i="34"/>
  <c r="V104" i="34"/>
  <c r="V148" i="34"/>
  <c r="V92" i="34"/>
  <c r="V88" i="34"/>
  <c r="V124" i="34"/>
  <c r="V140" i="34"/>
  <c r="V64" i="34"/>
  <c r="V132" i="34"/>
  <c r="V144" i="34"/>
  <c r="V112" i="34"/>
  <c r="V72" i="34"/>
  <c r="V156" i="34"/>
  <c r="V136" i="34"/>
  <c r="V80" i="34"/>
  <c r="V86" i="34"/>
  <c r="D27" i="30"/>
  <c r="L18" i="30"/>
  <c r="L18" i="29"/>
  <c r="D27" i="29"/>
  <c r="J106" i="36"/>
  <c r="J100" i="36"/>
  <c r="J96" i="36"/>
  <c r="J86" i="36"/>
  <c r="J102" i="36"/>
  <c r="J94" i="36"/>
  <c r="J112" i="36"/>
  <c r="J104" i="36"/>
  <c r="J116" i="36"/>
  <c r="J110" i="36"/>
  <c r="J98" i="36"/>
  <c r="J80" i="36"/>
  <c r="J76" i="36"/>
  <c r="J70" i="36"/>
  <c r="J62" i="36"/>
  <c r="J48" i="36"/>
  <c r="J44" i="36"/>
  <c r="J32" i="36"/>
  <c r="J22" i="36"/>
  <c r="N12" i="36"/>
  <c r="J105" i="36"/>
  <c r="J103" i="36"/>
  <c r="J90" i="36"/>
  <c r="J75" i="36"/>
  <c r="J67" i="36"/>
  <c r="J59" i="36"/>
  <c r="J53" i="36"/>
  <c r="J43" i="36"/>
  <c r="J31" i="36"/>
  <c r="J92" i="36"/>
  <c r="J91" i="36"/>
  <c r="J89" i="36"/>
  <c r="J72" i="36"/>
  <c r="J64" i="36"/>
  <c r="J56" i="36"/>
  <c r="J50" i="36"/>
  <c r="J42" i="36"/>
  <c r="J38" i="36"/>
  <c r="J30" i="36"/>
  <c r="J26" i="36"/>
  <c r="J107" i="36"/>
  <c r="J93" i="36"/>
  <c r="J88" i="36"/>
  <c r="J87" i="36"/>
  <c r="J84" i="36"/>
  <c r="J83" i="36"/>
  <c r="J82" i="36"/>
  <c r="J79" i="36"/>
  <c r="J69" i="36"/>
  <c r="J61" i="36"/>
  <c r="J47" i="36"/>
  <c r="J41" i="36"/>
  <c r="J37" i="36"/>
  <c r="H26" i="36"/>
  <c r="J111" i="36"/>
  <c r="J109" i="36"/>
  <c r="J101" i="36"/>
  <c r="J85" i="36"/>
  <c r="J74" i="36"/>
  <c r="J66" i="36"/>
  <c r="J58" i="36"/>
  <c r="J52" i="36"/>
  <c r="J40" i="36"/>
  <c r="J36" i="36"/>
  <c r="J28" i="36"/>
  <c r="J24" i="36"/>
  <c r="J81" i="36"/>
  <c r="J71" i="36"/>
  <c r="J63" i="36"/>
  <c r="J55" i="36"/>
  <c r="J49" i="36"/>
  <c r="J35" i="36"/>
  <c r="J29" i="36"/>
  <c r="J23" i="36"/>
  <c r="J99" i="36"/>
  <c r="J95" i="36"/>
  <c r="J78" i="36"/>
  <c r="J68" i="36"/>
  <c r="J60" i="36"/>
  <c r="J54" i="36"/>
  <c r="J46" i="36"/>
  <c r="J34" i="36"/>
  <c r="J65" i="36"/>
  <c r="J45" i="36"/>
  <c r="J97" i="36"/>
  <c r="J33" i="36"/>
  <c r="J77" i="36"/>
  <c r="J57" i="36"/>
  <c r="J51" i="36"/>
  <c r="J39" i="36"/>
  <c r="J73" i="36"/>
  <c r="L27" i="23"/>
  <c r="D31" i="23"/>
  <c r="X12" i="36"/>
  <c r="Z12" i="36" s="1"/>
  <c r="D27" i="19"/>
  <c r="L18" i="19"/>
  <c r="T27" i="17"/>
  <c r="Z18" i="17"/>
  <c r="F82" i="21"/>
  <c r="F78" i="21"/>
  <c r="F70" i="21"/>
  <c r="F65" i="21"/>
  <c r="F62" i="21"/>
  <c r="F46" i="21"/>
  <c r="F42" i="21"/>
  <c r="F34" i="21"/>
  <c r="F25" i="21"/>
  <c r="F89" i="21"/>
  <c r="F81" i="21"/>
  <c r="F77" i="21"/>
  <c r="F73" i="21"/>
  <c r="F56" i="21"/>
  <c r="F53" i="21"/>
  <c r="F45" i="21"/>
  <c r="F41" i="21"/>
  <c r="F93" i="21"/>
  <c r="F80" i="21"/>
  <c r="F76" i="21"/>
  <c r="F67" i="21"/>
  <c r="F64" i="21"/>
  <c r="F59" i="21"/>
  <c r="F44" i="21"/>
  <c r="F40" i="21"/>
  <c r="D30" i="21"/>
  <c r="F28" i="21"/>
  <c r="L12" i="21"/>
  <c r="N12" i="21" s="1"/>
  <c r="F91" i="21"/>
  <c r="F86" i="21"/>
  <c r="F75" i="21"/>
  <c r="F55" i="21"/>
  <c r="F50" i="21"/>
  <c r="F39" i="21"/>
  <c r="F27" i="21"/>
  <c r="F69" i="21"/>
  <c r="F66" i="21"/>
  <c r="F61" i="21"/>
  <c r="F58" i="21"/>
  <c r="F38" i="21"/>
  <c r="F33" i="21"/>
  <c r="F32" i="21"/>
  <c r="F26" i="21"/>
  <c r="F88" i="21"/>
  <c r="F85" i="21"/>
  <c r="F72" i="21"/>
  <c r="F57" i="21"/>
  <c r="F52" i="21"/>
  <c r="F49" i="21"/>
  <c r="F37" i="21"/>
  <c r="F84" i="21"/>
  <c r="F79" i="21"/>
  <c r="F68" i="21"/>
  <c r="F63" i="21"/>
  <c r="F60" i="21"/>
  <c r="F48" i="21"/>
  <c r="F43" i="21"/>
  <c r="F36" i="21"/>
  <c r="F51" i="21"/>
  <c r="F47" i="21"/>
  <c r="F35" i="21"/>
  <c r="F97" i="21"/>
  <c r="F90" i="21"/>
  <c r="F71" i="21"/>
  <c r="F83" i="21"/>
  <c r="F54" i="21"/>
  <c r="F74" i="21"/>
  <c r="F87" i="21"/>
  <c r="H27" i="14"/>
  <c r="N18" i="14"/>
  <c r="V85" i="21"/>
  <c r="V65" i="21"/>
  <c r="V57" i="21"/>
  <c r="V49" i="21"/>
  <c r="V37" i="21"/>
  <c r="V25" i="21"/>
  <c r="V84" i="21"/>
  <c r="V68" i="21"/>
  <c r="V60" i="21"/>
  <c r="V56" i="21"/>
  <c r="V48" i="21"/>
  <c r="V36" i="21"/>
  <c r="V32" i="21"/>
  <c r="V30" i="21"/>
  <c r="V93" i="21"/>
  <c r="V87" i="21"/>
  <c r="V83" i="21"/>
  <c r="V71" i="21"/>
  <c r="V67" i="21"/>
  <c r="V59" i="21"/>
  <c r="V51" i="21"/>
  <c r="V47" i="21"/>
  <c r="V35" i="21"/>
  <c r="T30" i="21"/>
  <c r="V97" i="21"/>
  <c r="V86" i="21"/>
  <c r="V82" i="21"/>
  <c r="V78" i="21"/>
  <c r="V70" i="21"/>
  <c r="V62" i="21"/>
  <c r="V50" i="21"/>
  <c r="V46" i="21"/>
  <c r="V42" i="21"/>
  <c r="V34" i="21"/>
  <c r="V89" i="21"/>
  <c r="V81" i="21"/>
  <c r="V77" i="21"/>
  <c r="V73" i="21"/>
  <c r="V69" i="21"/>
  <c r="V61" i="21"/>
  <c r="V53" i="21"/>
  <c r="V45" i="21"/>
  <c r="V41" i="21"/>
  <c r="V33" i="21"/>
  <c r="V88" i="21"/>
  <c r="V80" i="21"/>
  <c r="V76" i="21"/>
  <c r="V72" i="21"/>
  <c r="V64" i="21"/>
  <c r="V52" i="21"/>
  <c r="V44" i="21"/>
  <c r="V40" i="21"/>
  <c r="V28" i="21"/>
  <c r="Z12" i="21"/>
  <c r="V91" i="21"/>
  <c r="V79" i="21"/>
  <c r="V75" i="21"/>
  <c r="V63" i="21"/>
  <c r="V55" i="21"/>
  <c r="V43" i="21"/>
  <c r="V39" i="21"/>
  <c r="V27" i="21"/>
  <c r="V38" i="21"/>
  <c r="V26" i="21"/>
  <c r="V58" i="21"/>
  <c r="V90" i="21"/>
  <c r="V66" i="21"/>
  <c r="V54" i="21"/>
  <c r="V74" i="21"/>
  <c r="N227" i="12"/>
  <c r="L18" i="20"/>
  <c r="L18" i="14"/>
  <c r="D27" i="14"/>
  <c r="J227" i="12"/>
  <c r="J223" i="12"/>
  <c r="J219" i="12"/>
  <c r="J211" i="12"/>
  <c r="J203" i="12"/>
  <c r="J189" i="12"/>
  <c r="J183" i="12"/>
  <c r="J175" i="12"/>
  <c r="J169" i="12"/>
  <c r="J163" i="12"/>
  <c r="J147" i="12"/>
  <c r="J143" i="12"/>
  <c r="H132" i="12"/>
  <c r="J123" i="12"/>
  <c r="J115" i="12"/>
  <c r="J107" i="12"/>
  <c r="J99" i="12"/>
  <c r="J91" i="12"/>
  <c r="J230" i="12"/>
  <c r="J222" i="12"/>
  <c r="J210" i="12"/>
  <c r="J206" i="12"/>
  <c r="J202" i="12"/>
  <c r="J186" i="12"/>
  <c r="J180" i="12"/>
  <c r="J174" i="12"/>
  <c r="J166" i="12"/>
  <c r="J162" i="12"/>
  <c r="J156" i="12"/>
  <c r="J142" i="12"/>
  <c r="J134" i="12"/>
  <c r="J130" i="12"/>
  <c r="J122" i="12"/>
  <c r="J114" i="12"/>
  <c r="J106" i="12"/>
  <c r="J98" i="12"/>
  <c r="J90" i="12"/>
  <c r="J225" i="12"/>
  <c r="J221" i="12"/>
  <c r="J215" i="12"/>
  <c r="J209" i="12"/>
  <c r="J205" i="12"/>
  <c r="J201" i="12"/>
  <c r="J197" i="12"/>
  <c r="J193" i="12"/>
  <c r="J177" i="12"/>
  <c r="J171" i="12"/>
  <c r="J165" i="12"/>
  <c r="J159" i="12"/>
  <c r="J153" i="12"/>
  <c r="J141" i="12"/>
  <c r="J135" i="12"/>
  <c r="J129" i="12"/>
  <c r="J121" i="12"/>
  <c r="J113" i="12"/>
  <c r="J105" i="12"/>
  <c r="J97" i="12"/>
  <c r="J89" i="12"/>
  <c r="J228" i="12"/>
  <c r="J218" i="12"/>
  <c r="J208" i="12"/>
  <c r="J200" i="12"/>
  <c r="J196" i="12"/>
  <c r="J192" i="12"/>
  <c r="J188" i="12"/>
  <c r="J182" i="12"/>
  <c r="J168" i="12"/>
  <c r="J152" i="12"/>
  <c r="J146" i="12"/>
  <c r="J140" i="12"/>
  <c r="J128" i="12"/>
  <c r="J120" i="12"/>
  <c r="J112" i="12"/>
  <c r="J104" i="12"/>
  <c r="J96" i="12"/>
  <c r="J88" i="12"/>
  <c r="J231" i="12"/>
  <c r="J199" i="12"/>
  <c r="J195" i="12"/>
  <c r="J191" i="12"/>
  <c r="J185" i="12"/>
  <c r="J179" i="12"/>
  <c r="J173" i="12"/>
  <c r="J161" i="12"/>
  <c r="J155" i="12"/>
  <c r="J151" i="12"/>
  <c r="J139" i="12"/>
  <c r="J127" i="12"/>
  <c r="J119" i="12"/>
  <c r="J111" i="12"/>
  <c r="J103" i="12"/>
  <c r="J95" i="12"/>
  <c r="J224" i="12"/>
  <c r="J220" i="12"/>
  <c r="J214" i="12"/>
  <c r="J204" i="12"/>
  <c r="J190" i="12"/>
  <c r="J176" i="12"/>
  <c r="J170" i="12"/>
  <c r="J164" i="12"/>
  <c r="J158" i="12"/>
  <c r="J150" i="12"/>
  <c r="J138" i="12"/>
  <c r="J126" i="12"/>
  <c r="J118" i="12"/>
  <c r="J110" i="12"/>
  <c r="J102" i="12"/>
  <c r="J94" i="12"/>
  <c r="J235" i="12"/>
  <c r="J229" i="12"/>
  <c r="J217" i="12"/>
  <c r="J213" i="12"/>
  <c r="J207" i="12"/>
  <c r="J187" i="12"/>
  <c r="J181" i="12"/>
  <c r="J167" i="12"/>
  <c r="J157" i="12"/>
  <c r="J149" i="12"/>
  <c r="J145" i="12"/>
  <c r="J137" i="12"/>
  <c r="J125" i="12"/>
  <c r="J117" i="12"/>
  <c r="J109" i="12"/>
  <c r="J101" i="12"/>
  <c r="J93" i="12"/>
  <c r="J87" i="12"/>
  <c r="J212" i="12"/>
  <c r="J178" i="12"/>
  <c r="J172" i="12"/>
  <c r="J154" i="12"/>
  <c r="J194" i="12"/>
  <c r="J108" i="12"/>
  <c r="J92" i="12"/>
  <c r="J160" i="12"/>
  <c r="J148" i="12"/>
  <c r="J198" i="12"/>
  <c r="J184" i="12"/>
  <c r="J144" i="12"/>
  <c r="J124" i="12"/>
  <c r="J116" i="12"/>
  <c r="J100" i="12"/>
  <c r="J216" i="12"/>
  <c r="J136" i="12"/>
  <c r="N12" i="12"/>
  <c r="H27" i="11"/>
  <c r="N18" i="11"/>
  <c r="T27" i="4"/>
  <c r="X27" i="4" s="1"/>
  <c r="Z18" i="4"/>
  <c r="P31" i="4"/>
  <c r="L18" i="5"/>
  <c r="D27" i="5"/>
  <c r="L27" i="7"/>
  <c r="D31" i="7"/>
  <c r="H26" i="6"/>
  <c r="N22" i="6"/>
  <c r="Z27" i="7" l="1"/>
  <c r="Z31" i="13"/>
  <c r="H31" i="7"/>
  <c r="L31" i="7" s="1"/>
  <c r="N27" i="7"/>
  <c r="T85" i="95"/>
  <c r="T36" i="7"/>
  <c r="Z36" i="7" s="1"/>
  <c r="Z31" i="7"/>
  <c r="X23" i="42"/>
  <c r="Z23" i="42" s="1"/>
  <c r="P105" i="42"/>
  <c r="T31" i="17"/>
  <c r="X31" i="17" s="1"/>
  <c r="Z27" i="17"/>
  <c r="L32" i="39"/>
  <c r="D116" i="39"/>
  <c r="Z27" i="50"/>
  <c r="T31" i="50"/>
  <c r="D31" i="47"/>
  <c r="L27" i="47"/>
  <c r="D63" i="65"/>
  <c r="F59" i="65"/>
  <c r="P88" i="79"/>
  <c r="R84" i="79"/>
  <c r="T47" i="90"/>
  <c r="D81" i="95"/>
  <c r="L21" i="95"/>
  <c r="H31" i="4"/>
  <c r="N27" i="4"/>
  <c r="P223" i="15"/>
  <c r="X125" i="15"/>
  <c r="P31" i="10"/>
  <c r="X27" i="10"/>
  <c r="X27" i="33"/>
  <c r="P31" i="33"/>
  <c r="N27" i="52"/>
  <c r="H31" i="52"/>
  <c r="P80" i="92"/>
  <c r="X21" i="92"/>
  <c r="Z21" i="92" s="1"/>
  <c r="R21" i="92"/>
  <c r="P34" i="93"/>
  <c r="X30" i="93"/>
  <c r="Z30" i="93" s="1"/>
  <c r="R30" i="93"/>
  <c r="P36" i="5"/>
  <c r="L27" i="10"/>
  <c r="D31" i="10"/>
  <c r="P31" i="26"/>
  <c r="X27" i="26"/>
  <c r="L27" i="32"/>
  <c r="D31" i="32"/>
  <c r="P36" i="72"/>
  <c r="X32" i="72"/>
  <c r="D77" i="76"/>
  <c r="L20" i="76"/>
  <c r="H36" i="10"/>
  <c r="N36" i="10" s="1"/>
  <c r="N31" i="10"/>
  <c r="D109" i="42"/>
  <c r="F105" i="42"/>
  <c r="N32" i="39"/>
  <c r="H116" i="39"/>
  <c r="P68" i="48"/>
  <c r="R64" i="48"/>
  <c r="H85" i="85"/>
  <c r="P31" i="20"/>
  <c r="X27" i="20"/>
  <c r="D31" i="43"/>
  <c r="L27" i="43"/>
  <c r="L27" i="52"/>
  <c r="D31" i="52"/>
  <c r="D34" i="55"/>
  <c r="L30" i="55"/>
  <c r="H51" i="74"/>
  <c r="H94" i="9"/>
  <c r="L94" i="9" s="1"/>
  <c r="N90" i="9"/>
  <c r="D164" i="28"/>
  <c r="L84" i="28"/>
  <c r="N84" i="28" s="1"/>
  <c r="P31" i="52"/>
  <c r="X27" i="52"/>
  <c r="L17" i="48"/>
  <c r="H66" i="57"/>
  <c r="P30" i="78"/>
  <c r="X20" i="78"/>
  <c r="L17" i="87"/>
  <c r="N17" i="87" s="1"/>
  <c r="T121" i="25"/>
  <c r="V117" i="25"/>
  <c r="Z27" i="22"/>
  <c r="T31" i="22"/>
  <c r="P31" i="38"/>
  <c r="X27" i="38"/>
  <c r="D52" i="91"/>
  <c r="L48" i="91"/>
  <c r="N48" i="91" s="1"/>
  <c r="Z26" i="36"/>
  <c r="T114" i="36"/>
  <c r="H50" i="61"/>
  <c r="P147" i="69"/>
  <c r="X83" i="69"/>
  <c r="D54" i="67"/>
  <c r="L50" i="67"/>
  <c r="N50" i="67"/>
  <c r="H54" i="67"/>
  <c r="T30" i="78"/>
  <c r="Z20" i="78"/>
  <c r="P50" i="60"/>
  <c r="X46" i="60"/>
  <c r="Z46" i="60" s="1"/>
  <c r="P36" i="17"/>
  <c r="H59" i="65"/>
  <c r="L59" i="65" s="1"/>
  <c r="N22" i="65"/>
  <c r="D34" i="78"/>
  <c r="F30" i="78"/>
  <c r="L26" i="36"/>
  <c r="N26" i="36" s="1"/>
  <c r="D114" i="36"/>
  <c r="D85" i="85"/>
  <c r="L20" i="85"/>
  <c r="N20" i="85" s="1"/>
  <c r="N27" i="29"/>
  <c r="H31" i="29"/>
  <c r="L27" i="14"/>
  <c r="D31" i="14"/>
  <c r="T36" i="49"/>
  <c r="Z36" i="49" s="1"/>
  <c r="Z31" i="49"/>
  <c r="L22" i="65"/>
  <c r="P44" i="84"/>
  <c r="H223" i="15"/>
  <c r="X27" i="7"/>
  <c r="P31" i="7"/>
  <c r="P34" i="55"/>
  <c r="X30" i="55"/>
  <c r="D33" i="75"/>
  <c r="F29" i="75"/>
  <c r="P114" i="77"/>
  <c r="R110" i="77"/>
  <c r="X48" i="91"/>
  <c r="P52" i="91"/>
  <c r="T37" i="84"/>
  <c r="X18" i="84"/>
  <c r="Z18" i="84" s="1"/>
  <c r="T223" i="15"/>
  <c r="Z125" i="15"/>
  <c r="D36" i="49"/>
  <c r="L36" i="49" s="1"/>
  <c r="L31" i="49"/>
  <c r="T36" i="47"/>
  <c r="Z36" i="47" s="1"/>
  <c r="Z31" i="47"/>
  <c r="H110" i="77"/>
  <c r="Z27" i="10"/>
  <c r="T31" i="10"/>
  <c r="P167" i="34"/>
  <c r="X86" i="34"/>
  <c r="T100" i="51"/>
  <c r="D103" i="62"/>
  <c r="L99" i="62"/>
  <c r="T164" i="28"/>
  <c r="Z27" i="26"/>
  <c r="T31" i="26"/>
  <c r="Z27" i="38"/>
  <c r="T31" i="38"/>
  <c r="H107" i="51"/>
  <c r="J104" i="51"/>
  <c r="T76" i="86"/>
  <c r="T28" i="96"/>
  <c r="X24" i="96"/>
  <c r="Z24" i="96" s="1"/>
  <c r="Z21" i="94"/>
  <c r="T85" i="94"/>
  <c r="T26" i="6"/>
  <c r="Z22" i="6"/>
  <c r="X22" i="6"/>
  <c r="H36" i="32"/>
  <c r="N36" i="32" s="1"/>
  <c r="N31" i="32"/>
  <c r="T31" i="43"/>
  <c r="Z27" i="43"/>
  <c r="X21" i="67"/>
  <c r="Z21" i="67" s="1"/>
  <c r="P50" i="67"/>
  <c r="D31" i="87"/>
  <c r="H80" i="92"/>
  <c r="N21" i="92"/>
  <c r="H31" i="41"/>
  <c r="N27" i="41"/>
  <c r="P50" i="61"/>
  <c r="X46" i="61"/>
  <c r="Z46" i="61" s="1"/>
  <c r="F20" i="85"/>
  <c r="T36" i="88"/>
  <c r="D31" i="4"/>
  <c r="L27" i="4"/>
  <c r="T233" i="12"/>
  <c r="X27" i="23"/>
  <c r="P31" i="23"/>
  <c r="L27" i="35"/>
  <c r="D31" i="35"/>
  <c r="H60" i="59"/>
  <c r="N56" i="59"/>
  <c r="V20" i="78"/>
  <c r="P36" i="80"/>
  <c r="X32" i="80"/>
  <c r="Z32" i="80" s="1"/>
  <c r="H39" i="88"/>
  <c r="D31" i="19"/>
  <c r="L27" i="19"/>
  <c r="T167" i="34"/>
  <c r="Z86" i="34"/>
  <c r="D48" i="74"/>
  <c r="L44" i="74"/>
  <c r="N44" i="74" s="1"/>
  <c r="H73" i="86"/>
  <c r="L73" i="86" s="1"/>
  <c r="D223" i="15"/>
  <c r="L125" i="15"/>
  <c r="N125" i="15" s="1"/>
  <c r="N27" i="27"/>
  <c r="H31" i="27"/>
  <c r="L27" i="27"/>
  <c r="N27" i="30"/>
  <c r="H31" i="30"/>
  <c r="X30" i="70"/>
  <c r="P81" i="70"/>
  <c r="D68" i="97"/>
  <c r="F64" i="97"/>
  <c r="P36" i="19"/>
  <c r="H50" i="60"/>
  <c r="N46" i="60"/>
  <c r="L46" i="60"/>
  <c r="L69" i="86"/>
  <c r="N69" i="86" s="1"/>
  <c r="N31" i="44"/>
  <c r="H36" i="44"/>
  <c r="N36" i="44" s="1"/>
  <c r="H104" i="71"/>
  <c r="J100" i="71"/>
  <c r="P48" i="74"/>
  <c r="X44" i="74"/>
  <c r="Z44" i="74" s="1"/>
  <c r="J20" i="85"/>
  <c r="Z27" i="98"/>
  <c r="T31" i="98"/>
  <c r="X27" i="98"/>
  <c r="P31" i="16"/>
  <c r="X27" i="16"/>
  <c r="N27" i="20"/>
  <c r="H31" i="20"/>
  <c r="L27" i="20"/>
  <c r="P36" i="41"/>
  <c r="X36" i="41" s="1"/>
  <c r="X31" i="41"/>
  <c r="H71" i="56"/>
  <c r="L67" i="56"/>
  <c r="N67" i="56" s="1"/>
  <c r="T84" i="64"/>
  <c r="Z39" i="64"/>
  <c r="N32" i="72"/>
  <c r="H36" i="72"/>
  <c r="H39" i="80"/>
  <c r="D41" i="84"/>
  <c r="L37" i="84"/>
  <c r="H85" i="94"/>
  <c r="N21" i="94"/>
  <c r="J21" i="94"/>
  <c r="L27" i="98"/>
  <c r="D31" i="98"/>
  <c r="H36" i="23"/>
  <c r="N36" i="23" s="1"/>
  <c r="N31" i="23"/>
  <c r="N27" i="43"/>
  <c r="H31" i="43"/>
  <c r="P63" i="59"/>
  <c r="R20" i="78"/>
  <c r="Z27" i="14"/>
  <c r="T31" i="14"/>
  <c r="H31" i="24"/>
  <c r="N27" i="24"/>
  <c r="D117" i="66"/>
  <c r="L59" i="66"/>
  <c r="P51" i="90"/>
  <c r="X47" i="90"/>
  <c r="R47" i="90"/>
  <c r="P117" i="25"/>
  <c r="X59" i="25"/>
  <c r="Z59" i="25" s="1"/>
  <c r="D31" i="17"/>
  <c r="L27" i="17"/>
  <c r="V26" i="36"/>
  <c r="T71" i="56"/>
  <c r="T54" i="67"/>
  <c r="P37" i="82"/>
  <c r="X33" i="82"/>
  <c r="Z33" i="82" s="1"/>
  <c r="L21" i="92"/>
  <c r="D31" i="30"/>
  <c r="L27" i="30"/>
  <c r="H81" i="95"/>
  <c r="N21" i="95"/>
  <c r="T81" i="73"/>
  <c r="V77" i="73"/>
  <c r="P81" i="95"/>
  <c r="X21" i="95"/>
  <c r="X132" i="12"/>
  <c r="Z132" i="12" s="1"/>
  <c r="P233" i="12"/>
  <c r="P31" i="46"/>
  <c r="X27" i="46"/>
  <c r="T103" i="62"/>
  <c r="Z99" i="62"/>
  <c r="T31" i="16"/>
  <c r="Z27" i="16"/>
  <c r="H51" i="90"/>
  <c r="H248" i="18"/>
  <c r="H233" i="12"/>
  <c r="L30" i="21"/>
  <c r="D95" i="21"/>
  <c r="Z27" i="35"/>
  <c r="T31" i="35"/>
  <c r="D100" i="51"/>
  <c r="L51" i="51"/>
  <c r="N51" i="51" s="1"/>
  <c r="X67" i="56"/>
  <c r="Z67" i="56" s="1"/>
  <c r="P71" i="56"/>
  <c r="D89" i="94"/>
  <c r="F85" i="94"/>
  <c r="D26" i="6"/>
  <c r="L22" i="6"/>
  <c r="D36" i="7"/>
  <c r="J132" i="12"/>
  <c r="T95" i="21"/>
  <c r="F30" i="21"/>
  <c r="H114" i="36"/>
  <c r="F32" i="39"/>
  <c r="X27" i="40"/>
  <c r="P31" i="40"/>
  <c r="P69" i="57"/>
  <c r="X66" i="57"/>
  <c r="T29" i="75"/>
  <c r="T31" i="19"/>
  <c r="Z27" i="19"/>
  <c r="D31" i="24"/>
  <c r="L27" i="24"/>
  <c r="T53" i="60"/>
  <c r="D37" i="82"/>
  <c r="L33" i="82"/>
  <c r="P36" i="99"/>
  <c r="V125" i="15"/>
  <c r="R132" i="12"/>
  <c r="T116" i="39"/>
  <c r="X116" i="39" s="1"/>
  <c r="P36" i="47"/>
  <c r="X31" i="47"/>
  <c r="T79" i="81"/>
  <c r="D76" i="86"/>
  <c r="T31" i="5"/>
  <c r="X31" i="5" s="1"/>
  <c r="Z27" i="5"/>
  <c r="D31" i="16"/>
  <c r="L27" i="16"/>
  <c r="J32" i="39"/>
  <c r="H94" i="45"/>
  <c r="N23" i="45"/>
  <c r="L27" i="53"/>
  <c r="D31" i="53"/>
  <c r="T77" i="76"/>
  <c r="L48" i="77"/>
  <c r="N48" i="77" s="1"/>
  <c r="D31" i="99"/>
  <c r="L27" i="99"/>
  <c r="D36" i="37"/>
  <c r="L31" i="37"/>
  <c r="D31" i="44"/>
  <c r="L27" i="44"/>
  <c r="T34" i="55"/>
  <c r="Z30" i="55"/>
  <c r="H117" i="66"/>
  <c r="N59" i="66"/>
  <c r="P73" i="86"/>
  <c r="X69" i="86"/>
  <c r="Z69" i="86" s="1"/>
  <c r="J148" i="18"/>
  <c r="L27" i="11"/>
  <c r="D31" i="11"/>
  <c r="H36" i="37"/>
  <c r="N36" i="37" s="1"/>
  <c r="N31" i="37"/>
  <c r="P73" i="58"/>
  <c r="X69" i="58"/>
  <c r="Z69" i="58" s="1"/>
  <c r="H37" i="89"/>
  <c r="T248" i="18"/>
  <c r="V148" i="18"/>
  <c r="H31" i="40"/>
  <c r="N27" i="40"/>
  <c r="F59" i="66"/>
  <c r="T117" i="66"/>
  <c r="X18" i="90"/>
  <c r="Z18" i="90" s="1"/>
  <c r="T68" i="97"/>
  <c r="V64" i="97"/>
  <c r="P31" i="13"/>
  <c r="X27" i="13"/>
  <c r="H36" i="26"/>
  <c r="N36" i="26" s="1"/>
  <c r="N31" i="26"/>
  <c r="P31" i="32"/>
  <c r="X27" i="32"/>
  <c r="L51" i="71"/>
  <c r="N51" i="71" s="1"/>
  <c r="D100" i="71"/>
  <c r="L23" i="73"/>
  <c r="D77" i="73"/>
  <c r="F23" i="73"/>
  <c r="P29" i="75"/>
  <c r="X23" i="75"/>
  <c r="Z23" i="75" s="1"/>
  <c r="P27" i="87"/>
  <c r="X17" i="87"/>
  <c r="Z17" i="87" s="1"/>
  <c r="L80" i="92"/>
  <c r="D84" i="92"/>
  <c r="F80" i="92"/>
  <c r="X17" i="97"/>
  <c r="Z17" i="97" s="1"/>
  <c r="P64" i="97"/>
  <c r="T31" i="30"/>
  <c r="Z27" i="30"/>
  <c r="X27" i="30"/>
  <c r="P100" i="71"/>
  <c r="X51" i="71"/>
  <c r="Z51" i="71" s="1"/>
  <c r="Z30" i="70"/>
  <c r="T81" i="70"/>
  <c r="H37" i="82"/>
  <c r="N33" i="82"/>
  <c r="N59" i="25"/>
  <c r="H117" i="25"/>
  <c r="D31" i="100"/>
  <c r="L27" i="100"/>
  <c r="X23" i="73"/>
  <c r="Z23" i="73" s="1"/>
  <c r="P77" i="73"/>
  <c r="H45" i="83"/>
  <c r="L83" i="69"/>
  <c r="N83" i="69" s="1"/>
  <c r="D147" i="69"/>
  <c r="D117" i="25"/>
  <c r="L59" i="25"/>
  <c r="T36" i="44"/>
  <c r="Z36" i="44" s="1"/>
  <c r="Z31" i="44"/>
  <c r="D39" i="80"/>
  <c r="L39" i="80" s="1"/>
  <c r="L36" i="80"/>
  <c r="N36" i="80" s="1"/>
  <c r="Z27" i="4"/>
  <c r="T31" i="4"/>
  <c r="X31" i="4" s="1"/>
  <c r="D36" i="23"/>
  <c r="L31" i="23"/>
  <c r="D31" i="29"/>
  <c r="L27" i="29"/>
  <c r="F51" i="51"/>
  <c r="T45" i="83"/>
  <c r="D34" i="89"/>
  <c r="L30" i="89"/>
  <c r="N30" i="89" s="1"/>
  <c r="T31" i="100"/>
  <c r="Z27" i="100"/>
  <c r="H31" i="8"/>
  <c r="N27" i="8"/>
  <c r="D97" i="9"/>
  <c r="D233" i="12"/>
  <c r="L132" i="12"/>
  <c r="N132" i="12" s="1"/>
  <c r="F125" i="15"/>
  <c r="N27" i="16"/>
  <c r="H31" i="16"/>
  <c r="P88" i="64"/>
  <c r="R84" i="64"/>
  <c r="V18" i="84"/>
  <c r="P36" i="88"/>
  <c r="X32" i="88"/>
  <c r="Z32" i="88" s="1"/>
  <c r="H268" i="3"/>
  <c r="N27" i="13"/>
  <c r="H31" i="13"/>
  <c r="L31" i="13" s="1"/>
  <c r="Z27" i="24"/>
  <c r="T31" i="24"/>
  <c r="P100" i="51"/>
  <c r="X51" i="51"/>
  <c r="Z51" i="51" s="1"/>
  <c r="J59" i="25"/>
  <c r="H105" i="42"/>
  <c r="L105" i="42" s="1"/>
  <c r="N23" i="42"/>
  <c r="Z27" i="52"/>
  <c r="T31" i="52"/>
  <c r="Z17" i="48"/>
  <c r="T64" i="48"/>
  <c r="X64" i="48" s="1"/>
  <c r="T76" i="58"/>
  <c r="L30" i="70"/>
  <c r="D81" i="70"/>
  <c r="F30" i="70"/>
  <c r="L110" i="77"/>
  <c r="D114" i="77"/>
  <c r="F110" i="77"/>
  <c r="H27" i="87"/>
  <c r="L27" i="87" s="1"/>
  <c r="T36" i="23"/>
  <c r="Z36" i="23" s="1"/>
  <c r="Z31" i="23"/>
  <c r="H36" i="35"/>
  <c r="N36" i="35" s="1"/>
  <c r="N31" i="35"/>
  <c r="D31" i="41"/>
  <c r="L27" i="41"/>
  <c r="Z27" i="53"/>
  <c r="T31" i="53"/>
  <c r="R23" i="73"/>
  <c r="T84" i="79"/>
  <c r="Z20" i="79"/>
  <c r="D51" i="90"/>
  <c r="L47" i="90"/>
  <c r="N47" i="90" s="1"/>
  <c r="F47" i="90"/>
  <c r="H31" i="96"/>
  <c r="N31" i="96" s="1"/>
  <c r="N28" i="96"/>
  <c r="P95" i="21"/>
  <c r="X30" i="21"/>
  <c r="Z30" i="21" s="1"/>
  <c r="Z27" i="27"/>
  <c r="T31" i="27"/>
  <c r="H34" i="55"/>
  <c r="N30" i="55"/>
  <c r="D63" i="59"/>
  <c r="L60" i="59"/>
  <c r="T100" i="71"/>
  <c r="H31" i="5"/>
  <c r="N27" i="5"/>
  <c r="Z27" i="11"/>
  <c r="T31" i="11"/>
  <c r="H84" i="31"/>
  <c r="D36" i="13"/>
  <c r="X27" i="22"/>
  <c r="P31" i="22"/>
  <c r="T109" i="42"/>
  <c r="V105" i="42"/>
  <c r="R23" i="42"/>
  <c r="Z27" i="33"/>
  <c r="T31" i="33"/>
  <c r="P63" i="65"/>
  <c r="R59" i="65"/>
  <c r="D88" i="79"/>
  <c r="F84" i="79"/>
  <c r="N27" i="100"/>
  <c r="H31" i="100"/>
  <c r="P36" i="4"/>
  <c r="X27" i="24"/>
  <c r="P31" i="24"/>
  <c r="L18" i="93"/>
  <c r="D30" i="93"/>
  <c r="Z27" i="20"/>
  <c r="T31" i="20"/>
  <c r="T110" i="77"/>
  <c r="X110" i="77" s="1"/>
  <c r="Z48" i="77"/>
  <c r="P31" i="29"/>
  <c r="X27" i="29"/>
  <c r="T98" i="45"/>
  <c r="V94" i="45"/>
  <c r="N27" i="19"/>
  <c r="H31" i="19"/>
  <c r="N27" i="11"/>
  <c r="H31" i="11"/>
  <c r="D31" i="5"/>
  <c r="L27" i="5"/>
  <c r="P31" i="100"/>
  <c r="X27" i="100"/>
  <c r="L148" i="18"/>
  <c r="N148" i="18" s="1"/>
  <c r="D248" i="18"/>
  <c r="N27" i="47"/>
  <c r="H31" i="47"/>
  <c r="V30" i="70"/>
  <c r="T36" i="72"/>
  <c r="Z32" i="72"/>
  <c r="D82" i="81"/>
  <c r="T94" i="9"/>
  <c r="L159" i="3"/>
  <c r="N159" i="3" s="1"/>
  <c r="D268" i="3"/>
  <c r="H95" i="21"/>
  <c r="N30" i="21"/>
  <c r="N27" i="38"/>
  <c r="H31" i="38"/>
  <c r="H31" i="50"/>
  <c r="N27" i="50"/>
  <c r="H76" i="58"/>
  <c r="H30" i="78"/>
  <c r="L30" i="78" s="1"/>
  <c r="L32" i="88"/>
  <c r="N32" i="88" s="1"/>
  <c r="D36" i="88"/>
  <c r="T89" i="85"/>
  <c r="V85" i="85"/>
  <c r="X148" i="18"/>
  <c r="Z148" i="18" s="1"/>
  <c r="P248" i="18"/>
  <c r="P118" i="36"/>
  <c r="X114" i="36"/>
  <c r="R114" i="36"/>
  <c r="Z27" i="32"/>
  <c r="T31" i="32"/>
  <c r="V17" i="48"/>
  <c r="D31" i="46"/>
  <c r="L27" i="46"/>
  <c r="T60" i="59"/>
  <c r="Z56" i="59"/>
  <c r="T34" i="89"/>
  <c r="H164" i="28"/>
  <c r="P36" i="37"/>
  <c r="X31" i="37"/>
  <c r="P31" i="54"/>
  <c r="T26" i="54"/>
  <c r="Z22" i="54"/>
  <c r="T69" i="57"/>
  <c r="Z66" i="57"/>
  <c r="X27" i="50"/>
  <c r="P31" i="50"/>
  <c r="X20" i="76"/>
  <c r="Z20" i="76" s="1"/>
  <c r="P268" i="3"/>
  <c r="X159" i="3"/>
  <c r="P94" i="45"/>
  <c r="X23" i="45"/>
  <c r="Z23" i="45" s="1"/>
  <c r="R23" i="45"/>
  <c r="T36" i="37"/>
  <c r="Z36" i="37" s="1"/>
  <c r="Z31" i="37"/>
  <c r="H81" i="73"/>
  <c r="X27" i="8"/>
  <c r="P31" i="8"/>
  <c r="D84" i="31"/>
  <c r="L32" i="31"/>
  <c r="N32" i="31" s="1"/>
  <c r="H151" i="69"/>
  <c r="J147" i="69"/>
  <c r="H29" i="75"/>
  <c r="L29" i="75" s="1"/>
  <c r="N23" i="75"/>
  <c r="N37" i="84"/>
  <c r="H41" i="84"/>
  <c r="N27" i="98"/>
  <c r="H31" i="98"/>
  <c r="X32" i="39"/>
  <c r="Z32" i="39" s="1"/>
  <c r="L62" i="57"/>
  <c r="N62" i="57" s="1"/>
  <c r="H81" i="70"/>
  <c r="N30" i="70"/>
  <c r="T34" i="87"/>
  <c r="V31" i="87"/>
  <c r="X30" i="89"/>
  <c r="Z30" i="89" s="1"/>
  <c r="P34" i="89"/>
  <c r="X99" i="62"/>
  <c r="N27" i="33"/>
  <c r="H31" i="33"/>
  <c r="L27" i="33"/>
  <c r="H84" i="79"/>
  <c r="N20" i="79"/>
  <c r="T53" i="61"/>
  <c r="X38" i="83"/>
  <c r="Z38" i="83" s="1"/>
  <c r="P42" i="83"/>
  <c r="P85" i="85"/>
  <c r="X20" i="85"/>
  <c r="Z20" i="85" s="1"/>
  <c r="P117" i="66"/>
  <c r="X59" i="66"/>
  <c r="Z59" i="66" s="1"/>
  <c r="D167" i="34"/>
  <c r="L86" i="34"/>
  <c r="D28" i="96"/>
  <c r="L24" i="96"/>
  <c r="P31" i="35"/>
  <c r="X27" i="35"/>
  <c r="T59" i="65"/>
  <c r="X59" i="65" s="1"/>
  <c r="Z22" i="65"/>
  <c r="T84" i="92"/>
  <c r="V80" i="92"/>
  <c r="H31" i="6"/>
  <c r="N26" i="6"/>
  <c r="D76" i="58"/>
  <c r="L76" i="58" s="1"/>
  <c r="L73" i="58"/>
  <c r="N73" i="58" s="1"/>
  <c r="D84" i="64"/>
  <c r="L39" i="64"/>
  <c r="N27" i="14"/>
  <c r="H31" i="14"/>
  <c r="P31" i="53"/>
  <c r="X27" i="53"/>
  <c r="H26" i="54"/>
  <c r="N22" i="54"/>
  <c r="L22" i="54"/>
  <c r="F39" i="64"/>
  <c r="T37" i="82"/>
  <c r="P89" i="94"/>
  <c r="X85" i="94"/>
  <c r="R85" i="94"/>
  <c r="N75" i="81"/>
  <c r="H79" i="81"/>
  <c r="P94" i="9"/>
  <c r="X90" i="9"/>
  <c r="Z90" i="9" s="1"/>
  <c r="X27" i="17"/>
  <c r="T31" i="29"/>
  <c r="Z27" i="29"/>
  <c r="T84" i="31"/>
  <c r="H103" i="62"/>
  <c r="N99" i="62"/>
  <c r="Z83" i="69"/>
  <c r="T147" i="69"/>
  <c r="R51" i="71"/>
  <c r="J159" i="3"/>
  <c r="N27" i="22"/>
  <c r="H31" i="22"/>
  <c r="L27" i="22"/>
  <c r="N86" i="34"/>
  <c r="H167" i="34"/>
  <c r="J86" i="34"/>
  <c r="P31" i="43"/>
  <c r="X27" i="43"/>
  <c r="Z27" i="40"/>
  <c r="T31" i="40"/>
  <c r="H36" i="53"/>
  <c r="N36" i="53" s="1"/>
  <c r="N31" i="53"/>
  <c r="D39" i="72"/>
  <c r="L36" i="72"/>
  <c r="F20" i="76"/>
  <c r="H64" i="97"/>
  <c r="N17" i="97"/>
  <c r="Z27" i="99"/>
  <c r="T31" i="99"/>
  <c r="X31" i="99" s="1"/>
  <c r="P31" i="14"/>
  <c r="X27" i="14"/>
  <c r="L27" i="26"/>
  <c r="D31" i="26"/>
  <c r="D31" i="40"/>
  <c r="L27" i="40"/>
  <c r="J23" i="42"/>
  <c r="D98" i="45"/>
  <c r="L94" i="45"/>
  <c r="F94" i="45"/>
  <c r="P79" i="81"/>
  <c r="X75" i="81"/>
  <c r="Z75" i="81" s="1"/>
  <c r="D31" i="8"/>
  <c r="L27" i="8"/>
  <c r="X84" i="28"/>
  <c r="Z84" i="28" s="1"/>
  <c r="P164" i="28"/>
  <c r="R84" i="28"/>
  <c r="X27" i="27"/>
  <c r="P31" i="27"/>
  <c r="D31" i="50"/>
  <c r="L27" i="50"/>
  <c r="D31" i="38"/>
  <c r="L27" i="38"/>
  <c r="T31" i="46"/>
  <c r="Z27" i="46"/>
  <c r="N17" i="48"/>
  <c r="H64" i="48"/>
  <c r="N27" i="46"/>
  <c r="H31" i="46"/>
  <c r="P81" i="76"/>
  <c r="X77" i="76"/>
  <c r="R77" i="76"/>
  <c r="V48" i="77"/>
  <c r="T48" i="74"/>
  <c r="D42" i="83"/>
  <c r="L38" i="83"/>
  <c r="N38" i="83" s="1"/>
  <c r="R159" i="3"/>
  <c r="Z27" i="8"/>
  <c r="T31" i="8"/>
  <c r="N27" i="17"/>
  <c r="H31" i="17"/>
  <c r="P36" i="44"/>
  <c r="X31" i="44"/>
  <c r="D68" i="48"/>
  <c r="L64" i="48"/>
  <c r="F64" i="48"/>
  <c r="D50" i="61"/>
  <c r="L46" i="61"/>
  <c r="N46" i="61" s="1"/>
  <c r="L20" i="78"/>
  <c r="N20" i="78" s="1"/>
  <c r="T34" i="93"/>
  <c r="X27" i="49"/>
  <c r="P31" i="49"/>
  <c r="H77" i="76"/>
  <c r="N20" i="76"/>
  <c r="J23" i="75"/>
  <c r="N27" i="99"/>
  <c r="H31" i="99"/>
  <c r="T268" i="3"/>
  <c r="Z159" i="3"/>
  <c r="X27" i="11"/>
  <c r="P31" i="11"/>
  <c r="P84" i="31"/>
  <c r="X32" i="31"/>
  <c r="Z32" i="31" s="1"/>
  <c r="P120" i="39"/>
  <c r="R116" i="39"/>
  <c r="D69" i="57"/>
  <c r="L66" i="57"/>
  <c r="N39" i="64"/>
  <c r="H84" i="64"/>
  <c r="T52" i="91"/>
  <c r="Z48" i="91"/>
  <c r="H34" i="93"/>
  <c r="N30" i="93"/>
  <c r="P106" i="62"/>
  <c r="X103" i="62"/>
  <c r="X36" i="47" l="1"/>
  <c r="L36" i="23"/>
  <c r="X36" i="44"/>
  <c r="L36" i="37"/>
  <c r="H36" i="7"/>
  <c r="N36" i="7" s="1"/>
  <c r="N31" i="7"/>
  <c r="H81" i="76"/>
  <c r="Z31" i="40"/>
  <c r="T36" i="40"/>
  <c r="Z36" i="40" s="1"/>
  <c r="D171" i="34"/>
  <c r="L167" i="34"/>
  <c r="F167" i="34"/>
  <c r="D54" i="90"/>
  <c r="L51" i="90"/>
  <c r="F51" i="90"/>
  <c r="D71" i="97"/>
  <c r="F68" i="97"/>
  <c r="T36" i="10"/>
  <c r="Z36" i="10" s="1"/>
  <c r="Z31" i="10"/>
  <c r="D37" i="55"/>
  <c r="L34" i="55"/>
  <c r="P36" i="49"/>
  <c r="X36" i="49" s="1"/>
  <c r="X31" i="49"/>
  <c r="P84" i="76"/>
  <c r="R81" i="76"/>
  <c r="D36" i="38"/>
  <c r="L31" i="38"/>
  <c r="H82" i="81"/>
  <c r="D88" i="64"/>
  <c r="L84" i="64"/>
  <c r="F84" i="64"/>
  <c r="T31" i="54"/>
  <c r="X31" i="54" s="1"/>
  <c r="Z26" i="54"/>
  <c r="T37" i="89"/>
  <c r="D39" i="88"/>
  <c r="L39" i="88" s="1"/>
  <c r="L36" i="88"/>
  <c r="N36" i="88" s="1"/>
  <c r="H36" i="38"/>
  <c r="N36" i="38" s="1"/>
  <c r="N31" i="38"/>
  <c r="L79" i="81"/>
  <c r="N79" i="81" s="1"/>
  <c r="P66" i="65"/>
  <c r="R63" i="65"/>
  <c r="H36" i="5"/>
  <c r="N36" i="5" s="1"/>
  <c r="N31" i="5"/>
  <c r="Z31" i="24"/>
  <c r="T36" i="24"/>
  <c r="Z36" i="24" s="1"/>
  <c r="L233" i="12"/>
  <c r="D237" i="12"/>
  <c r="F233" i="12"/>
  <c r="D37" i="89"/>
  <c r="L37" i="89" s="1"/>
  <c r="L34" i="89"/>
  <c r="N34" i="89" s="1"/>
  <c r="Z31" i="4"/>
  <c r="T36" i="4"/>
  <c r="Z36" i="4" s="1"/>
  <c r="D151" i="69"/>
  <c r="L147" i="69"/>
  <c r="N147" i="69" s="1"/>
  <c r="F147" i="69"/>
  <c r="D36" i="100"/>
  <c r="L31" i="100"/>
  <c r="P104" i="71"/>
  <c r="X100" i="71"/>
  <c r="R100" i="71"/>
  <c r="D104" i="71"/>
  <c r="L100" i="71"/>
  <c r="N100" i="71" s="1"/>
  <c r="F100" i="71"/>
  <c r="P76" i="58"/>
  <c r="X76" i="58" s="1"/>
  <c r="Z76" i="58" s="1"/>
  <c r="X73" i="58"/>
  <c r="Z73" i="58" s="1"/>
  <c r="L31" i="24"/>
  <c r="D36" i="24"/>
  <c r="H237" i="12"/>
  <c r="N233" i="12"/>
  <c r="J233" i="12"/>
  <c r="T106" i="62"/>
  <c r="Z103" i="62"/>
  <c r="P40" i="82"/>
  <c r="X37" i="82"/>
  <c r="H53" i="60"/>
  <c r="L50" i="60"/>
  <c r="N50" i="60" s="1"/>
  <c r="P85" i="70"/>
  <c r="X81" i="70"/>
  <c r="R81" i="70"/>
  <c r="T171" i="34"/>
  <c r="V167" i="34"/>
  <c r="H36" i="41"/>
  <c r="N36" i="41" s="1"/>
  <c r="N31" i="41"/>
  <c r="T36" i="43"/>
  <c r="Z36" i="43" s="1"/>
  <c r="Z31" i="43"/>
  <c r="T36" i="38"/>
  <c r="Z36" i="38" s="1"/>
  <c r="Z31" i="38"/>
  <c r="D36" i="14"/>
  <c r="L31" i="14"/>
  <c r="D168" i="28"/>
  <c r="L164" i="28"/>
  <c r="N164" i="28" s="1"/>
  <c r="F164" i="28"/>
  <c r="D36" i="52"/>
  <c r="L31" i="52"/>
  <c r="D112" i="42"/>
  <c r="F109" i="42"/>
  <c r="D85" i="95"/>
  <c r="L81" i="95"/>
  <c r="N81" i="95" s="1"/>
  <c r="F81" i="95"/>
  <c r="D66" i="65"/>
  <c r="F63" i="65"/>
  <c r="T36" i="17"/>
  <c r="Z36" i="17" s="1"/>
  <c r="Z31" i="17"/>
  <c r="H36" i="19"/>
  <c r="N36" i="19" s="1"/>
  <c r="N31" i="19"/>
  <c r="T36" i="27"/>
  <c r="Z36" i="27" s="1"/>
  <c r="Z31" i="27"/>
  <c r="P39" i="88"/>
  <c r="X36" i="88"/>
  <c r="D36" i="17"/>
  <c r="L31" i="17"/>
  <c r="P51" i="74"/>
  <c r="X48" i="74"/>
  <c r="J107" i="51"/>
  <c r="D36" i="32"/>
  <c r="L36" i="32" s="1"/>
  <c r="L31" i="32"/>
  <c r="H37" i="93"/>
  <c r="N37" i="93" s="1"/>
  <c r="N34" i="93"/>
  <c r="D71" i="48"/>
  <c r="F68" i="48"/>
  <c r="H36" i="46"/>
  <c r="N36" i="46" s="1"/>
  <c r="N31" i="46"/>
  <c r="D36" i="8"/>
  <c r="L31" i="8"/>
  <c r="L31" i="40"/>
  <c r="D36" i="40"/>
  <c r="H68" i="97"/>
  <c r="J64" i="97"/>
  <c r="T63" i="65"/>
  <c r="Z59" i="65"/>
  <c r="P121" i="66"/>
  <c r="X117" i="66"/>
  <c r="R117" i="66"/>
  <c r="P272" i="3"/>
  <c r="X268" i="3"/>
  <c r="R268" i="3"/>
  <c r="X26" i="54"/>
  <c r="L82" i="81"/>
  <c r="T36" i="20"/>
  <c r="Z36" i="20" s="1"/>
  <c r="Z31" i="20"/>
  <c r="H36" i="100"/>
  <c r="N36" i="100" s="1"/>
  <c r="N31" i="100"/>
  <c r="T36" i="33"/>
  <c r="Z36" i="33" s="1"/>
  <c r="Z31" i="33"/>
  <c r="T104" i="71"/>
  <c r="Z100" i="71"/>
  <c r="V100" i="71"/>
  <c r="T88" i="79"/>
  <c r="L81" i="70"/>
  <c r="D85" i="70"/>
  <c r="F81" i="70"/>
  <c r="H121" i="25"/>
  <c r="J117" i="25"/>
  <c r="T71" i="97"/>
  <c r="V68" i="97"/>
  <c r="H36" i="40"/>
  <c r="N36" i="40" s="1"/>
  <c r="N31" i="40"/>
  <c r="H121" i="66"/>
  <c r="J117" i="66"/>
  <c r="H98" i="45"/>
  <c r="N94" i="45"/>
  <c r="J94" i="45"/>
  <c r="H252" i="18"/>
  <c r="J248" i="18"/>
  <c r="T84" i="73"/>
  <c r="V81" i="73"/>
  <c r="X117" i="25"/>
  <c r="Z117" i="25" s="1"/>
  <c r="P121" i="25"/>
  <c r="R117" i="25"/>
  <c r="H36" i="24"/>
  <c r="N36" i="24" s="1"/>
  <c r="N31" i="24"/>
  <c r="L41" i="84"/>
  <c r="D44" i="84"/>
  <c r="P36" i="16"/>
  <c r="X31" i="16"/>
  <c r="H63" i="59"/>
  <c r="N60" i="59"/>
  <c r="L31" i="4"/>
  <c r="D36" i="4"/>
  <c r="Z28" i="96"/>
  <c r="T31" i="96"/>
  <c r="X28" i="96"/>
  <c r="T227" i="15"/>
  <c r="V223" i="15"/>
  <c r="P117" i="77"/>
  <c r="R114" i="77"/>
  <c r="P53" i="60"/>
  <c r="X53" i="60" s="1"/>
  <c r="X50" i="60"/>
  <c r="Z50" i="60" s="1"/>
  <c r="P151" i="69"/>
  <c r="X147" i="69"/>
  <c r="R147" i="69"/>
  <c r="X31" i="38"/>
  <c r="P36" i="38"/>
  <c r="X30" i="78"/>
  <c r="P34" i="78"/>
  <c r="R30" i="78"/>
  <c r="P37" i="93"/>
  <c r="X34" i="93"/>
  <c r="R34" i="93"/>
  <c r="P109" i="42"/>
  <c r="X105" i="42"/>
  <c r="Z105" i="42" s="1"/>
  <c r="R105" i="42"/>
  <c r="N31" i="22"/>
  <c r="H36" i="22"/>
  <c r="L31" i="22"/>
  <c r="T87" i="92"/>
  <c r="V84" i="92"/>
  <c r="H84" i="73"/>
  <c r="H36" i="50"/>
  <c r="N36" i="50" s="1"/>
  <c r="N31" i="50"/>
  <c r="P36" i="22"/>
  <c r="X31" i="22"/>
  <c r="P104" i="51"/>
  <c r="X100" i="51"/>
  <c r="R100" i="51"/>
  <c r="D121" i="25"/>
  <c r="L117" i="25"/>
  <c r="N117" i="25" s="1"/>
  <c r="F117" i="25"/>
  <c r="P36" i="13"/>
  <c r="X36" i="13" s="1"/>
  <c r="X31" i="13"/>
  <c r="P76" i="86"/>
  <c r="X76" i="86" s="1"/>
  <c r="X73" i="86"/>
  <c r="Z73" i="86" s="1"/>
  <c r="T88" i="64"/>
  <c r="V84" i="64"/>
  <c r="P36" i="7"/>
  <c r="X36" i="7" s="1"/>
  <c r="X31" i="7"/>
  <c r="T272" i="3"/>
  <c r="Z268" i="3"/>
  <c r="V268" i="3"/>
  <c r="D36" i="50"/>
  <c r="L31" i="50"/>
  <c r="D36" i="26"/>
  <c r="L36" i="26" s="1"/>
  <c r="L31" i="26"/>
  <c r="P36" i="43"/>
  <c r="X31" i="43"/>
  <c r="T88" i="31"/>
  <c r="V84" i="31"/>
  <c r="H31" i="54"/>
  <c r="N26" i="54"/>
  <c r="L26" i="54"/>
  <c r="H88" i="79"/>
  <c r="N84" i="79"/>
  <c r="N31" i="98"/>
  <c r="H36" i="98"/>
  <c r="N36" i="98" s="1"/>
  <c r="H154" i="69"/>
  <c r="J151" i="69"/>
  <c r="T63" i="59"/>
  <c r="P121" i="36"/>
  <c r="R118" i="36"/>
  <c r="H34" i="78"/>
  <c r="N30" i="78"/>
  <c r="J30" i="78"/>
  <c r="P36" i="100"/>
  <c r="X31" i="100"/>
  <c r="P99" i="21"/>
  <c r="X95" i="21"/>
  <c r="R95" i="21"/>
  <c r="H109" i="42"/>
  <c r="N105" i="42"/>
  <c r="J105" i="42"/>
  <c r="H36" i="13"/>
  <c r="N36" i="13" s="1"/>
  <c r="N31" i="13"/>
  <c r="X84" i="64"/>
  <c r="Z84" i="64" s="1"/>
  <c r="P31" i="87"/>
  <c r="X27" i="87"/>
  <c r="Z27" i="87" s="1"/>
  <c r="D36" i="99"/>
  <c r="L31" i="99"/>
  <c r="T82" i="81"/>
  <c r="T36" i="19"/>
  <c r="Z36" i="19" s="1"/>
  <c r="Z31" i="19"/>
  <c r="D104" i="51"/>
  <c r="L100" i="51"/>
  <c r="N100" i="51" s="1"/>
  <c r="F100" i="51"/>
  <c r="P36" i="46"/>
  <c r="X31" i="46"/>
  <c r="T57" i="67"/>
  <c r="T36" i="14"/>
  <c r="Z36" i="14" s="1"/>
  <c r="Z31" i="14"/>
  <c r="H74" i="56"/>
  <c r="L71" i="56"/>
  <c r="N71" i="56" s="1"/>
  <c r="H107" i="71"/>
  <c r="J104" i="71"/>
  <c r="D227" i="15"/>
  <c r="L223" i="15"/>
  <c r="F223" i="15"/>
  <c r="D36" i="19"/>
  <c r="L31" i="19"/>
  <c r="D36" i="35"/>
  <c r="L36" i="35" s="1"/>
  <c r="L31" i="35"/>
  <c r="H84" i="92"/>
  <c r="N80" i="92"/>
  <c r="T36" i="26"/>
  <c r="Z36" i="26" s="1"/>
  <c r="Z31" i="26"/>
  <c r="D106" i="62"/>
  <c r="L103" i="62"/>
  <c r="H114" i="77"/>
  <c r="L114" i="77" s="1"/>
  <c r="N110" i="77"/>
  <c r="J110" i="77"/>
  <c r="H227" i="15"/>
  <c r="N223" i="15"/>
  <c r="J223" i="15"/>
  <c r="H36" i="29"/>
  <c r="N36" i="29" s="1"/>
  <c r="N31" i="29"/>
  <c r="D37" i="78"/>
  <c r="L34" i="78"/>
  <c r="F34" i="78"/>
  <c r="T36" i="22"/>
  <c r="Z36" i="22" s="1"/>
  <c r="Z31" i="22"/>
  <c r="N94" i="9"/>
  <c r="H97" i="9"/>
  <c r="L97" i="9" s="1"/>
  <c r="P36" i="26"/>
  <c r="X31" i="26"/>
  <c r="P36" i="10"/>
  <c r="X31" i="10"/>
  <c r="T51" i="90"/>
  <c r="Z47" i="90"/>
  <c r="D36" i="47"/>
  <c r="L31" i="47"/>
  <c r="P37" i="89"/>
  <c r="X37" i="89" s="1"/>
  <c r="X34" i="89"/>
  <c r="Z34" i="89" s="1"/>
  <c r="L248" i="18"/>
  <c r="N248" i="18" s="1"/>
  <c r="D252" i="18"/>
  <c r="F248" i="18"/>
  <c r="P74" i="56"/>
  <c r="X71" i="56"/>
  <c r="Z71" i="56" s="1"/>
  <c r="H89" i="94"/>
  <c r="J85" i="94"/>
  <c r="T237" i="12"/>
  <c r="V233" i="12"/>
  <c r="D45" i="83"/>
  <c r="L45" i="83" s="1"/>
  <c r="N45" i="83" s="1"/>
  <c r="L42" i="83"/>
  <c r="N42" i="83" s="1"/>
  <c r="T55" i="91"/>
  <c r="N31" i="99"/>
  <c r="H36" i="99"/>
  <c r="N36" i="99" s="1"/>
  <c r="T37" i="93"/>
  <c r="Z34" i="93"/>
  <c r="H68" i="48"/>
  <c r="N64" i="48"/>
  <c r="J64" i="48"/>
  <c r="P36" i="27"/>
  <c r="X31" i="27"/>
  <c r="X79" i="81"/>
  <c r="Z79" i="81" s="1"/>
  <c r="P82" i="81"/>
  <c r="X82" i="81" s="1"/>
  <c r="T151" i="69"/>
  <c r="Z147" i="69"/>
  <c r="V147" i="69"/>
  <c r="P36" i="35"/>
  <c r="X31" i="35"/>
  <c r="P89" i="85"/>
  <c r="X85" i="85"/>
  <c r="Z85" i="85" s="1"/>
  <c r="R85" i="85"/>
  <c r="V34" i="87"/>
  <c r="P36" i="50"/>
  <c r="X31" i="50"/>
  <c r="P252" i="18"/>
  <c r="X248" i="18"/>
  <c r="Z248" i="18" s="1"/>
  <c r="R248" i="18"/>
  <c r="H99" i="21"/>
  <c r="J95" i="21"/>
  <c r="T39" i="72"/>
  <c r="Z39" i="72" s="1"/>
  <c r="Z36" i="72"/>
  <c r="T101" i="45"/>
  <c r="V98" i="45"/>
  <c r="D34" i="93"/>
  <c r="L30" i="93"/>
  <c r="F30" i="93"/>
  <c r="H88" i="31"/>
  <c r="J84" i="31"/>
  <c r="T36" i="53"/>
  <c r="Z36" i="53" s="1"/>
  <c r="Z31" i="53"/>
  <c r="P91" i="64"/>
  <c r="R88" i="64"/>
  <c r="T36" i="30"/>
  <c r="Z31" i="30"/>
  <c r="X31" i="30"/>
  <c r="P36" i="32"/>
  <c r="X31" i="32"/>
  <c r="T252" i="18"/>
  <c r="V248" i="18"/>
  <c r="D36" i="11"/>
  <c r="L31" i="11"/>
  <c r="T37" i="55"/>
  <c r="T33" i="75"/>
  <c r="V29" i="75"/>
  <c r="H118" i="36"/>
  <c r="J114" i="36"/>
  <c r="L26" i="6"/>
  <c r="D31" i="6"/>
  <c r="L31" i="6" s="1"/>
  <c r="N31" i="6" s="1"/>
  <c r="T36" i="35"/>
  <c r="Z36" i="35" s="1"/>
  <c r="Z31" i="35"/>
  <c r="P237" i="12"/>
  <c r="X233" i="12"/>
  <c r="Z233" i="12" s="1"/>
  <c r="R233" i="12"/>
  <c r="H85" i="95"/>
  <c r="D36" i="98"/>
  <c r="L31" i="98"/>
  <c r="N39" i="80"/>
  <c r="Z31" i="98"/>
  <c r="T36" i="98"/>
  <c r="X31" i="98"/>
  <c r="X31" i="19"/>
  <c r="N73" i="86"/>
  <c r="H76" i="86"/>
  <c r="L76" i="86" s="1"/>
  <c r="T39" i="88"/>
  <c r="Z36" i="88"/>
  <c r="Z76" i="86"/>
  <c r="T41" i="84"/>
  <c r="Z37" i="84"/>
  <c r="V37" i="84"/>
  <c r="X37" i="84"/>
  <c r="T34" i="78"/>
  <c r="Z30" i="78"/>
  <c r="V30" i="78"/>
  <c r="H53" i="61"/>
  <c r="N66" i="57"/>
  <c r="H69" i="57"/>
  <c r="L69" i="57" s="1"/>
  <c r="D36" i="43"/>
  <c r="L31" i="43"/>
  <c r="P71" i="48"/>
  <c r="R68" i="48"/>
  <c r="D36" i="10"/>
  <c r="L36" i="10" s="1"/>
  <c r="L31" i="10"/>
  <c r="Z31" i="50"/>
  <c r="T36" i="50"/>
  <c r="Z36" i="50" s="1"/>
  <c r="P36" i="11"/>
  <c r="X31" i="11"/>
  <c r="H33" i="75"/>
  <c r="N29" i="75"/>
  <c r="J29" i="75"/>
  <c r="T97" i="9"/>
  <c r="T36" i="52"/>
  <c r="Z36" i="52" s="1"/>
  <c r="Z31" i="52"/>
  <c r="D87" i="92"/>
  <c r="L84" i="92"/>
  <c r="F84" i="92"/>
  <c r="P36" i="40"/>
  <c r="X31" i="40"/>
  <c r="H36" i="43"/>
  <c r="N36" i="43" s="1"/>
  <c r="N31" i="43"/>
  <c r="D57" i="67"/>
  <c r="L54" i="67"/>
  <c r="P36" i="33"/>
  <c r="X31" i="33"/>
  <c r="H36" i="17"/>
  <c r="N36" i="17" s="1"/>
  <c r="N31" i="17"/>
  <c r="T51" i="74"/>
  <c r="Z48" i="74"/>
  <c r="L39" i="72"/>
  <c r="H171" i="34"/>
  <c r="N167" i="34"/>
  <c r="J167" i="34"/>
  <c r="T36" i="29"/>
  <c r="Z36" i="29" s="1"/>
  <c r="Z31" i="29"/>
  <c r="P92" i="94"/>
  <c r="R89" i="94"/>
  <c r="P36" i="53"/>
  <c r="X31" i="53"/>
  <c r="P45" i="83"/>
  <c r="X45" i="83" s="1"/>
  <c r="Z45" i="83" s="1"/>
  <c r="X42" i="83"/>
  <c r="Z42" i="83" s="1"/>
  <c r="N31" i="33"/>
  <c r="H36" i="33"/>
  <c r="L31" i="33"/>
  <c r="H44" i="84"/>
  <c r="N41" i="84"/>
  <c r="D88" i="31"/>
  <c r="L84" i="31"/>
  <c r="N84" i="31" s="1"/>
  <c r="F84" i="31"/>
  <c r="X36" i="37"/>
  <c r="D36" i="46"/>
  <c r="L31" i="46"/>
  <c r="D272" i="3"/>
  <c r="L268" i="3"/>
  <c r="F268" i="3"/>
  <c r="D36" i="5"/>
  <c r="L31" i="5"/>
  <c r="L84" i="79"/>
  <c r="L63" i="59"/>
  <c r="H31" i="87"/>
  <c r="N27" i="87"/>
  <c r="J27" i="87"/>
  <c r="H36" i="16"/>
  <c r="N36" i="16" s="1"/>
  <c r="N31" i="16"/>
  <c r="H36" i="8"/>
  <c r="N36" i="8" s="1"/>
  <c r="N31" i="8"/>
  <c r="P81" i="73"/>
  <c r="X77" i="73"/>
  <c r="Z77" i="73" s="1"/>
  <c r="R77" i="73"/>
  <c r="H40" i="82"/>
  <c r="X64" i="97"/>
  <c r="Z64" i="97" s="1"/>
  <c r="P68" i="97"/>
  <c r="R64" i="97"/>
  <c r="P33" i="75"/>
  <c r="X29" i="75"/>
  <c r="Z29" i="75" s="1"/>
  <c r="R29" i="75"/>
  <c r="D36" i="16"/>
  <c r="L31" i="16"/>
  <c r="D40" i="82"/>
  <c r="L40" i="82" s="1"/>
  <c r="L37" i="82"/>
  <c r="N37" i="82" s="1"/>
  <c r="N51" i="90"/>
  <c r="H54" i="90"/>
  <c r="T74" i="56"/>
  <c r="H39" i="72"/>
  <c r="N39" i="72" s="1"/>
  <c r="N36" i="72"/>
  <c r="N31" i="30"/>
  <c r="H36" i="30"/>
  <c r="N36" i="30" s="1"/>
  <c r="N39" i="88"/>
  <c r="P36" i="23"/>
  <c r="X36" i="23" s="1"/>
  <c r="X31" i="23"/>
  <c r="D34" i="87"/>
  <c r="L31" i="87"/>
  <c r="T104" i="51"/>
  <c r="Z100" i="51"/>
  <c r="V100" i="51"/>
  <c r="D36" i="75"/>
  <c r="L33" i="75"/>
  <c r="F33" i="75"/>
  <c r="H57" i="67"/>
  <c r="N54" i="67"/>
  <c r="Z114" i="36"/>
  <c r="T118" i="36"/>
  <c r="V114" i="36"/>
  <c r="H120" i="39"/>
  <c r="J116" i="39"/>
  <c r="D81" i="76"/>
  <c r="L77" i="76"/>
  <c r="N77" i="76" s="1"/>
  <c r="F77" i="76"/>
  <c r="P84" i="92"/>
  <c r="X80" i="92"/>
  <c r="Z80" i="92" s="1"/>
  <c r="R80" i="92"/>
  <c r="P227" i="15"/>
  <c r="X223" i="15"/>
  <c r="Z223" i="15" s="1"/>
  <c r="R223" i="15"/>
  <c r="X84" i="79"/>
  <c r="Z84" i="79" s="1"/>
  <c r="P97" i="9"/>
  <c r="X94" i="9"/>
  <c r="Z94" i="9" s="1"/>
  <c r="T92" i="85"/>
  <c r="V89" i="85"/>
  <c r="L117" i="66"/>
  <c r="N117" i="66" s="1"/>
  <c r="D121" i="66"/>
  <c r="F117" i="66"/>
  <c r="N31" i="27"/>
  <c r="H36" i="27"/>
  <c r="L31" i="27"/>
  <c r="D55" i="91"/>
  <c r="L55" i="91" s="1"/>
  <c r="N55" i="91" s="1"/>
  <c r="L52" i="91"/>
  <c r="N52" i="91" s="1"/>
  <c r="H89" i="85"/>
  <c r="J85" i="85"/>
  <c r="P36" i="14"/>
  <c r="X31" i="14"/>
  <c r="H36" i="14"/>
  <c r="N36" i="14" s="1"/>
  <c r="N31" i="14"/>
  <c r="L28" i="96"/>
  <c r="D31" i="96"/>
  <c r="L31" i="96" s="1"/>
  <c r="H85" i="70"/>
  <c r="N81" i="70"/>
  <c r="J81" i="70"/>
  <c r="X31" i="8"/>
  <c r="P36" i="8"/>
  <c r="N76" i="58"/>
  <c r="H36" i="47"/>
  <c r="N36" i="47" s="1"/>
  <c r="N31" i="47"/>
  <c r="N31" i="11"/>
  <c r="H36" i="11"/>
  <c r="N36" i="11" s="1"/>
  <c r="X31" i="29"/>
  <c r="P36" i="29"/>
  <c r="P36" i="24"/>
  <c r="X31" i="24"/>
  <c r="D91" i="79"/>
  <c r="L88" i="79"/>
  <c r="F88" i="79"/>
  <c r="T36" i="11"/>
  <c r="Z36" i="11" s="1"/>
  <c r="Z31" i="11"/>
  <c r="T68" i="48"/>
  <c r="Z64" i="48"/>
  <c r="V64" i="48"/>
  <c r="H272" i="3"/>
  <c r="N268" i="3"/>
  <c r="J268" i="3"/>
  <c r="D36" i="29"/>
  <c r="L31" i="29"/>
  <c r="Z81" i="70"/>
  <c r="T85" i="70"/>
  <c r="V81" i="70"/>
  <c r="Z117" i="66"/>
  <c r="T121" i="66"/>
  <c r="V117" i="66"/>
  <c r="D36" i="44"/>
  <c r="L36" i="44" s="1"/>
  <c r="L31" i="44"/>
  <c r="Z77" i="76"/>
  <c r="T81" i="76"/>
  <c r="X81" i="76" s="1"/>
  <c r="D92" i="94"/>
  <c r="L89" i="94"/>
  <c r="F89" i="94"/>
  <c r="D99" i="21"/>
  <c r="L95" i="21"/>
  <c r="N95" i="21" s="1"/>
  <c r="F95" i="21"/>
  <c r="D36" i="30"/>
  <c r="L31" i="30"/>
  <c r="P54" i="90"/>
  <c r="X51" i="90"/>
  <c r="R51" i="90"/>
  <c r="X60" i="59"/>
  <c r="Z60" i="59" s="1"/>
  <c r="P54" i="67"/>
  <c r="X50" i="67"/>
  <c r="Z50" i="67" s="1"/>
  <c r="Z26" i="6"/>
  <c r="T31" i="6"/>
  <c r="X26" i="6"/>
  <c r="T168" i="28"/>
  <c r="Z164" i="28"/>
  <c r="V164" i="28"/>
  <c r="P55" i="91"/>
  <c r="X55" i="91" s="1"/>
  <c r="X52" i="91"/>
  <c r="Z52" i="91" s="1"/>
  <c r="L85" i="85"/>
  <c r="N85" i="85" s="1"/>
  <c r="D89" i="85"/>
  <c r="F85" i="85"/>
  <c r="H63" i="65"/>
  <c r="N59" i="65"/>
  <c r="H36" i="52"/>
  <c r="N36" i="52" s="1"/>
  <c r="N31" i="52"/>
  <c r="P91" i="79"/>
  <c r="X88" i="79"/>
  <c r="R88" i="79"/>
  <c r="D120" i="39"/>
  <c r="L116" i="39"/>
  <c r="N116" i="39" s="1"/>
  <c r="F116" i="39"/>
  <c r="T88" i="95"/>
  <c r="P98" i="45"/>
  <c r="X94" i="45"/>
  <c r="Z94" i="45" s="1"/>
  <c r="R94" i="45"/>
  <c r="T114" i="77"/>
  <c r="X114" i="77" s="1"/>
  <c r="Z110" i="77"/>
  <c r="V110" i="77"/>
  <c r="P123" i="39"/>
  <c r="R120" i="39"/>
  <c r="H88" i="64"/>
  <c r="N84" i="64"/>
  <c r="X84" i="31"/>
  <c r="Z84" i="31" s="1"/>
  <c r="P88" i="31"/>
  <c r="R84" i="31"/>
  <c r="D53" i="61"/>
  <c r="L53" i="61" s="1"/>
  <c r="L50" i="61"/>
  <c r="N50" i="61" s="1"/>
  <c r="Z31" i="8"/>
  <c r="T36" i="8"/>
  <c r="Z36" i="8" s="1"/>
  <c r="T36" i="46"/>
  <c r="Z36" i="46" s="1"/>
  <c r="Z31" i="46"/>
  <c r="P168" i="28"/>
  <c r="X164" i="28"/>
  <c r="R164" i="28"/>
  <c r="D101" i="45"/>
  <c r="L98" i="45"/>
  <c r="F98" i="45"/>
  <c r="Z31" i="99"/>
  <c r="T36" i="99"/>
  <c r="Z36" i="99" s="1"/>
  <c r="N103" i="62"/>
  <c r="H106" i="62"/>
  <c r="T40" i="82"/>
  <c r="Z37" i="82"/>
  <c r="H168" i="28"/>
  <c r="J164" i="28"/>
  <c r="T36" i="32"/>
  <c r="Z36" i="32" s="1"/>
  <c r="Z31" i="32"/>
  <c r="T112" i="42"/>
  <c r="V109" i="42"/>
  <c r="N34" i="55"/>
  <c r="H37" i="55"/>
  <c r="D36" i="41"/>
  <c r="L31" i="41"/>
  <c r="D117" i="77"/>
  <c r="F114" i="77"/>
  <c r="T36" i="100"/>
  <c r="Z36" i="100" s="1"/>
  <c r="Z31" i="100"/>
  <c r="D81" i="73"/>
  <c r="L77" i="73"/>
  <c r="N77" i="73" s="1"/>
  <c r="F77" i="73"/>
  <c r="N37" i="89"/>
  <c r="D36" i="53"/>
  <c r="L36" i="53" s="1"/>
  <c r="L31" i="53"/>
  <c r="T36" i="5"/>
  <c r="Z36" i="5" s="1"/>
  <c r="Z31" i="5"/>
  <c r="T120" i="39"/>
  <c r="X120" i="39" s="1"/>
  <c r="Z116" i="39"/>
  <c r="V116" i="39"/>
  <c r="Z53" i="60"/>
  <c r="X69" i="57"/>
  <c r="Z69" i="57" s="1"/>
  <c r="Z95" i="21"/>
  <c r="T99" i="21"/>
  <c r="V95" i="21"/>
  <c r="L85" i="94"/>
  <c r="N85" i="94" s="1"/>
  <c r="T36" i="16"/>
  <c r="Z36" i="16" s="1"/>
  <c r="Z31" i="16"/>
  <c r="P85" i="95"/>
  <c r="X81" i="95"/>
  <c r="Z81" i="95" s="1"/>
  <c r="R81" i="95"/>
  <c r="X63" i="59"/>
  <c r="H36" i="20"/>
  <c r="N31" i="20"/>
  <c r="L31" i="20"/>
  <c r="L64" i="97"/>
  <c r="N64" i="97" s="1"/>
  <c r="D51" i="74"/>
  <c r="L51" i="74" s="1"/>
  <c r="N51" i="74" s="1"/>
  <c r="L48" i="74"/>
  <c r="N48" i="74" s="1"/>
  <c r="P39" i="80"/>
  <c r="X39" i="80" s="1"/>
  <c r="Z39" i="80" s="1"/>
  <c r="X36" i="80"/>
  <c r="Z36" i="80" s="1"/>
  <c r="P53" i="61"/>
  <c r="X53" i="61" s="1"/>
  <c r="Z53" i="61" s="1"/>
  <c r="X50" i="61"/>
  <c r="Z50" i="61" s="1"/>
  <c r="T89" i="94"/>
  <c r="Z85" i="94"/>
  <c r="V85" i="94"/>
  <c r="P171" i="34"/>
  <c r="X167" i="34"/>
  <c r="Z167" i="34" s="1"/>
  <c r="R167" i="34"/>
  <c r="P37" i="55"/>
  <c r="X37" i="55" s="1"/>
  <c r="X34" i="55"/>
  <c r="Z34" i="55" s="1"/>
  <c r="L114" i="36"/>
  <c r="N114" i="36" s="1"/>
  <c r="D118" i="36"/>
  <c r="F114" i="36"/>
  <c r="T124" i="25"/>
  <c r="V121" i="25"/>
  <c r="P36" i="52"/>
  <c r="X31" i="52"/>
  <c r="P36" i="20"/>
  <c r="X31" i="20"/>
  <c r="P39" i="72"/>
  <c r="X36" i="72"/>
  <c r="H36" i="4"/>
  <c r="N36" i="4" s="1"/>
  <c r="N31" i="4"/>
  <c r="L36" i="46" l="1"/>
  <c r="X36" i="29"/>
  <c r="X36" i="20"/>
  <c r="X36" i="17"/>
  <c r="L36" i="98"/>
  <c r="X36" i="26"/>
  <c r="X36" i="38"/>
  <c r="X36" i="53"/>
  <c r="L36" i="5"/>
  <c r="X36" i="33"/>
  <c r="X36" i="14"/>
  <c r="X36" i="19"/>
  <c r="X36" i="52"/>
  <c r="L36" i="38"/>
  <c r="X36" i="27"/>
  <c r="L36" i="30"/>
  <c r="X36" i="43"/>
  <c r="L36" i="41"/>
  <c r="L36" i="29"/>
  <c r="X36" i="10"/>
  <c r="L36" i="50"/>
  <c r="L36" i="40"/>
  <c r="X36" i="4"/>
  <c r="X36" i="5"/>
  <c r="L36" i="4"/>
  <c r="L36" i="47"/>
  <c r="X36" i="40"/>
  <c r="L36" i="11"/>
  <c r="L36" i="7"/>
  <c r="X36" i="50"/>
  <c r="L36" i="99"/>
  <c r="P101" i="45"/>
  <c r="X98" i="45"/>
  <c r="Z98" i="45" s="1"/>
  <c r="R98" i="45"/>
  <c r="H121" i="36"/>
  <c r="N118" i="36"/>
  <c r="J118" i="36"/>
  <c r="T107" i="71"/>
  <c r="V104" i="71"/>
  <c r="P174" i="34"/>
  <c r="X171" i="34"/>
  <c r="R171" i="34"/>
  <c r="X36" i="24"/>
  <c r="X36" i="8"/>
  <c r="D84" i="76"/>
  <c r="L81" i="76"/>
  <c r="F81" i="76"/>
  <c r="T44" i="84"/>
  <c r="V41" i="84"/>
  <c r="X41" i="84"/>
  <c r="Z41" i="84" s="1"/>
  <c r="Z36" i="98"/>
  <c r="X36" i="98"/>
  <c r="H71" i="48"/>
  <c r="L71" i="48" s="1"/>
  <c r="J68" i="48"/>
  <c r="X74" i="56"/>
  <c r="D107" i="51"/>
  <c r="L104" i="51"/>
  <c r="N104" i="51" s="1"/>
  <c r="F104" i="51"/>
  <c r="X36" i="100"/>
  <c r="Z63" i="59"/>
  <c r="H91" i="79"/>
  <c r="L91" i="79" s="1"/>
  <c r="N88" i="79"/>
  <c r="P112" i="42"/>
  <c r="X109" i="42"/>
  <c r="Z109" i="42" s="1"/>
  <c r="R109" i="42"/>
  <c r="R117" i="77"/>
  <c r="L36" i="8"/>
  <c r="L36" i="17"/>
  <c r="L85" i="95"/>
  <c r="N85" i="95" s="1"/>
  <c r="D88" i="95"/>
  <c r="F85" i="95"/>
  <c r="D171" i="28"/>
  <c r="L168" i="28"/>
  <c r="F168" i="28"/>
  <c r="H240" i="12"/>
  <c r="J237" i="12"/>
  <c r="H92" i="85"/>
  <c r="J89" i="85"/>
  <c r="T107" i="51"/>
  <c r="V104" i="51"/>
  <c r="T91" i="64"/>
  <c r="V88" i="64"/>
  <c r="H124" i="25"/>
  <c r="J121" i="25"/>
  <c r="X121" i="66"/>
  <c r="P124" i="66"/>
  <c r="R121" i="66"/>
  <c r="D107" i="71"/>
  <c r="L104" i="71"/>
  <c r="N104" i="71" s="1"/>
  <c r="F104" i="71"/>
  <c r="V124" i="25"/>
  <c r="V112" i="42"/>
  <c r="F101" i="45"/>
  <c r="X39" i="72"/>
  <c r="P88" i="95"/>
  <c r="X85" i="95"/>
  <c r="Z85" i="95" s="1"/>
  <c r="R85" i="95"/>
  <c r="F117" i="77"/>
  <c r="R123" i="39"/>
  <c r="P57" i="67"/>
  <c r="X57" i="67" s="1"/>
  <c r="Z57" i="67" s="1"/>
  <c r="X54" i="67"/>
  <c r="Z54" i="67" s="1"/>
  <c r="T71" i="48"/>
  <c r="V68" i="48"/>
  <c r="L36" i="16"/>
  <c r="N40" i="82"/>
  <c r="D91" i="31"/>
  <c r="L88" i="31"/>
  <c r="N88" i="31" s="1"/>
  <c r="F88" i="31"/>
  <c r="N53" i="61"/>
  <c r="P240" i="12"/>
  <c r="X237" i="12"/>
  <c r="R237" i="12"/>
  <c r="T255" i="18"/>
  <c r="V252" i="18"/>
  <c r="X88" i="64"/>
  <c r="Z88" i="64" s="1"/>
  <c r="T154" i="69"/>
  <c r="V151" i="69"/>
  <c r="Z51" i="90"/>
  <c r="T54" i="90"/>
  <c r="X54" i="90" s="1"/>
  <c r="H230" i="15"/>
  <c r="J227" i="15"/>
  <c r="D230" i="15"/>
  <c r="L227" i="15"/>
  <c r="N227" i="15" s="1"/>
  <c r="F227" i="15"/>
  <c r="P34" i="87"/>
  <c r="X34" i="87" s="1"/>
  <c r="Z34" i="87" s="1"/>
  <c r="X31" i="87"/>
  <c r="Z31" i="87" s="1"/>
  <c r="P107" i="51"/>
  <c r="X104" i="51"/>
  <c r="Z104" i="51" s="1"/>
  <c r="R104" i="51"/>
  <c r="H255" i="18"/>
  <c r="J252" i="18"/>
  <c r="D88" i="70"/>
  <c r="L85" i="70"/>
  <c r="N85" i="70" s="1"/>
  <c r="F85" i="70"/>
  <c r="T66" i="65"/>
  <c r="X66" i="65" s="1"/>
  <c r="L53" i="60"/>
  <c r="N53" i="60" s="1"/>
  <c r="L36" i="24"/>
  <c r="R84" i="76"/>
  <c r="D174" i="34"/>
  <c r="L171" i="34"/>
  <c r="F171" i="34"/>
  <c r="T277" i="3"/>
  <c r="V272" i="3"/>
  <c r="D154" i="69"/>
  <c r="L151" i="69"/>
  <c r="N151" i="69" s="1"/>
  <c r="F151" i="69"/>
  <c r="D121" i="36"/>
  <c r="L118" i="36"/>
  <c r="F118" i="36"/>
  <c r="D102" i="21"/>
  <c r="L99" i="21"/>
  <c r="N99" i="21" s="1"/>
  <c r="F99" i="21"/>
  <c r="V92" i="85"/>
  <c r="P230" i="15"/>
  <c r="X227" i="15"/>
  <c r="Z227" i="15" s="1"/>
  <c r="R227" i="15"/>
  <c r="Z74" i="56"/>
  <c r="H36" i="75"/>
  <c r="N33" i="75"/>
  <c r="J33" i="75"/>
  <c r="X68" i="48"/>
  <c r="Z68" i="48" s="1"/>
  <c r="X91" i="64"/>
  <c r="R91" i="64"/>
  <c r="D37" i="93"/>
  <c r="L34" i="93"/>
  <c r="F34" i="93"/>
  <c r="H102" i="21"/>
  <c r="J99" i="21"/>
  <c r="T240" i="12"/>
  <c r="Z237" i="12"/>
  <c r="V237" i="12"/>
  <c r="D255" i="18"/>
  <c r="L252" i="18"/>
  <c r="N252" i="18" s="1"/>
  <c r="F252" i="18"/>
  <c r="H87" i="92"/>
  <c r="N84" i="92"/>
  <c r="H112" i="42"/>
  <c r="L112" i="42" s="1"/>
  <c r="J109" i="42"/>
  <c r="V87" i="92"/>
  <c r="N63" i="59"/>
  <c r="P124" i="25"/>
  <c r="X121" i="25"/>
  <c r="Z121" i="25" s="1"/>
  <c r="R121" i="25"/>
  <c r="P277" i="3"/>
  <c r="X272" i="3"/>
  <c r="Z272" i="3" s="1"/>
  <c r="R272" i="3"/>
  <c r="L109" i="42"/>
  <c r="N109" i="42" s="1"/>
  <c r="L36" i="14"/>
  <c r="P107" i="71"/>
  <c r="X104" i="71"/>
  <c r="Z104" i="71" s="1"/>
  <c r="R104" i="71"/>
  <c r="D91" i="64"/>
  <c r="L88" i="64"/>
  <c r="N88" i="64" s="1"/>
  <c r="F88" i="64"/>
  <c r="F71" i="97"/>
  <c r="Z36" i="30"/>
  <c r="X36" i="30"/>
  <c r="Z31" i="54"/>
  <c r="T92" i="94"/>
  <c r="V89" i="94"/>
  <c r="P171" i="28"/>
  <c r="X168" i="28"/>
  <c r="R168" i="28"/>
  <c r="P91" i="31"/>
  <c r="X88" i="31"/>
  <c r="Z88" i="31" s="1"/>
  <c r="R88" i="31"/>
  <c r="T124" i="66"/>
  <c r="Z121" i="66"/>
  <c r="V121" i="66"/>
  <c r="N36" i="27"/>
  <c r="L36" i="27"/>
  <c r="H123" i="39"/>
  <c r="J120" i="39"/>
  <c r="D277" i="3"/>
  <c r="L272" i="3"/>
  <c r="F272" i="3"/>
  <c r="N171" i="34"/>
  <c r="H174" i="34"/>
  <c r="J171" i="34"/>
  <c r="L87" i="92"/>
  <c r="F87" i="92"/>
  <c r="X71" i="48"/>
  <c r="R71" i="48"/>
  <c r="T36" i="75"/>
  <c r="V33" i="75"/>
  <c r="X36" i="99"/>
  <c r="N34" i="78"/>
  <c r="H37" i="78"/>
  <c r="L37" i="78" s="1"/>
  <c r="J34" i="78"/>
  <c r="L31" i="54"/>
  <c r="N31" i="54" s="1"/>
  <c r="X36" i="22"/>
  <c r="X37" i="93"/>
  <c r="Z37" i="93" s="1"/>
  <c r="R37" i="93"/>
  <c r="P154" i="69"/>
  <c r="X151" i="69"/>
  <c r="Z151" i="69" s="1"/>
  <c r="R151" i="69"/>
  <c r="T230" i="15"/>
  <c r="V227" i="15"/>
  <c r="V71" i="97"/>
  <c r="Z88" i="79"/>
  <c r="T91" i="79"/>
  <c r="H71" i="97"/>
  <c r="L71" i="97" s="1"/>
  <c r="J68" i="97"/>
  <c r="X39" i="88"/>
  <c r="Z39" i="88" s="1"/>
  <c r="F112" i="42"/>
  <c r="T174" i="34"/>
  <c r="Z171" i="34"/>
  <c r="V171" i="34"/>
  <c r="X40" i="82"/>
  <c r="Z40" i="82" s="1"/>
  <c r="L68" i="97"/>
  <c r="N68" i="97" s="1"/>
  <c r="T123" i="39"/>
  <c r="X123" i="39" s="1"/>
  <c r="Z120" i="39"/>
  <c r="V120" i="39"/>
  <c r="D84" i="73"/>
  <c r="L81" i="73"/>
  <c r="N81" i="73" s="1"/>
  <c r="F81" i="73"/>
  <c r="T117" i="77"/>
  <c r="X117" i="77" s="1"/>
  <c r="Z114" i="77"/>
  <c r="V114" i="77"/>
  <c r="D123" i="39"/>
  <c r="L120" i="39"/>
  <c r="N120" i="39" s="1"/>
  <c r="F120" i="39"/>
  <c r="H66" i="65"/>
  <c r="L66" i="65" s="1"/>
  <c r="T171" i="28"/>
  <c r="Z168" i="28"/>
  <c r="V168" i="28"/>
  <c r="H277" i="3"/>
  <c r="N272" i="3"/>
  <c r="J272" i="3"/>
  <c r="H88" i="70"/>
  <c r="J85" i="70"/>
  <c r="L36" i="75"/>
  <c r="F36" i="75"/>
  <c r="P36" i="75"/>
  <c r="X33" i="75"/>
  <c r="Z33" i="75" s="1"/>
  <c r="R33" i="75"/>
  <c r="P84" i="73"/>
  <c r="X81" i="73"/>
  <c r="Z81" i="73" s="1"/>
  <c r="R81" i="73"/>
  <c r="H34" i="87"/>
  <c r="L34" i="87" s="1"/>
  <c r="N31" i="87"/>
  <c r="J31" i="87"/>
  <c r="L57" i="67"/>
  <c r="N57" i="67" s="1"/>
  <c r="X36" i="11"/>
  <c r="T37" i="78"/>
  <c r="V34" i="78"/>
  <c r="N76" i="86"/>
  <c r="X36" i="32"/>
  <c r="P92" i="85"/>
  <c r="X89" i="85"/>
  <c r="Z89" i="85" s="1"/>
  <c r="R89" i="85"/>
  <c r="F37" i="78"/>
  <c r="H117" i="77"/>
  <c r="N114" i="77"/>
  <c r="J114" i="77"/>
  <c r="J107" i="71"/>
  <c r="J154" i="69"/>
  <c r="N36" i="22"/>
  <c r="L36" i="22"/>
  <c r="X36" i="16"/>
  <c r="H101" i="45"/>
  <c r="L101" i="45" s="1"/>
  <c r="N98" i="45"/>
  <c r="J98" i="45"/>
  <c r="L68" i="48"/>
  <c r="N68" i="48" s="1"/>
  <c r="L63" i="65"/>
  <c r="N63" i="65" s="1"/>
  <c r="L36" i="100"/>
  <c r="X63" i="65"/>
  <c r="Z63" i="65" s="1"/>
  <c r="N82" i="81"/>
  <c r="R91" i="79"/>
  <c r="H91" i="31"/>
  <c r="J88" i="31"/>
  <c r="N36" i="20"/>
  <c r="L36" i="20"/>
  <c r="H171" i="28"/>
  <c r="N168" i="28"/>
  <c r="J168" i="28"/>
  <c r="R54" i="90"/>
  <c r="F92" i="94"/>
  <c r="P87" i="92"/>
  <c r="X84" i="92"/>
  <c r="Z84" i="92" s="1"/>
  <c r="R84" i="92"/>
  <c r="T121" i="36"/>
  <c r="X121" i="36" s="1"/>
  <c r="V118" i="36"/>
  <c r="N36" i="33"/>
  <c r="L36" i="33"/>
  <c r="X89" i="94"/>
  <c r="Z89" i="94" s="1"/>
  <c r="L36" i="43"/>
  <c r="H88" i="95"/>
  <c r="Z37" i="55"/>
  <c r="V101" i="45"/>
  <c r="P255" i="18"/>
  <c r="X252" i="18"/>
  <c r="Z252" i="18" s="1"/>
  <c r="R252" i="18"/>
  <c r="Z55" i="91"/>
  <c r="X36" i="46"/>
  <c r="Z82" i="81"/>
  <c r="P102" i="21"/>
  <c r="X99" i="21"/>
  <c r="Z99" i="21" s="1"/>
  <c r="R99" i="21"/>
  <c r="R121" i="36"/>
  <c r="P37" i="78"/>
  <c r="X34" i="78"/>
  <c r="Z34" i="78" s="1"/>
  <c r="R34" i="78"/>
  <c r="Z31" i="96"/>
  <c r="X31" i="96"/>
  <c r="L44" i="84"/>
  <c r="N44" i="84" s="1"/>
  <c r="F71" i="48"/>
  <c r="F66" i="65"/>
  <c r="L36" i="52"/>
  <c r="D240" i="12"/>
  <c r="L237" i="12"/>
  <c r="N237" i="12" s="1"/>
  <c r="F237" i="12"/>
  <c r="R66" i="65"/>
  <c r="Z37" i="89"/>
  <c r="H84" i="76"/>
  <c r="N81" i="76"/>
  <c r="T102" i="21"/>
  <c r="V99" i="21"/>
  <c r="H91" i="64"/>
  <c r="D92" i="85"/>
  <c r="L89" i="85"/>
  <c r="N89" i="85" s="1"/>
  <c r="F89" i="85"/>
  <c r="X31" i="6"/>
  <c r="Z31" i="6" s="1"/>
  <c r="T84" i="76"/>
  <c r="X84" i="76" s="1"/>
  <c r="Z81" i="76"/>
  <c r="T88" i="70"/>
  <c r="V85" i="70"/>
  <c r="F91" i="79"/>
  <c r="D124" i="66"/>
  <c r="L121" i="66"/>
  <c r="N121" i="66" s="1"/>
  <c r="F121" i="66"/>
  <c r="X97" i="9"/>
  <c r="Z97" i="9" s="1"/>
  <c r="X68" i="97"/>
  <c r="Z68" i="97" s="1"/>
  <c r="P71" i="97"/>
  <c r="R68" i="97"/>
  <c r="X92" i="94"/>
  <c r="R92" i="94"/>
  <c r="N69" i="57"/>
  <c r="X36" i="35"/>
  <c r="H92" i="94"/>
  <c r="L92" i="94" s="1"/>
  <c r="N89" i="94"/>
  <c r="J89" i="94"/>
  <c r="N97" i="9"/>
  <c r="L106" i="62"/>
  <c r="N106" i="62" s="1"/>
  <c r="L36" i="19"/>
  <c r="N74" i="56"/>
  <c r="L74" i="56"/>
  <c r="L36" i="13"/>
  <c r="X118" i="36"/>
  <c r="Z118" i="36" s="1"/>
  <c r="T91" i="31"/>
  <c r="V88" i="31"/>
  <c r="D124" i="25"/>
  <c r="L121" i="25"/>
  <c r="N121" i="25" s="1"/>
  <c r="F121" i="25"/>
  <c r="V84" i="73"/>
  <c r="H124" i="66"/>
  <c r="J121" i="66"/>
  <c r="X51" i="74"/>
  <c r="Z51" i="74" s="1"/>
  <c r="P88" i="70"/>
  <c r="X85" i="70"/>
  <c r="Z85" i="70" s="1"/>
  <c r="R85" i="70"/>
  <c r="L37" i="55"/>
  <c r="N37" i="55" s="1"/>
  <c r="L54" i="90"/>
  <c r="N54" i="90" s="1"/>
  <c r="F54" i="90"/>
  <c r="X106" i="62"/>
  <c r="Z106" i="62" s="1"/>
  <c r="L91" i="31" l="1"/>
  <c r="F91" i="31"/>
  <c r="L124" i="66"/>
  <c r="F124" i="66"/>
  <c r="X88" i="70"/>
  <c r="R88" i="70"/>
  <c r="J171" i="28"/>
  <c r="J88" i="70"/>
  <c r="N66" i="65"/>
  <c r="N71" i="97"/>
  <c r="J71" i="97"/>
  <c r="X107" i="71"/>
  <c r="R107" i="71"/>
  <c r="X124" i="25"/>
  <c r="Z124" i="25" s="1"/>
  <c r="R124" i="25"/>
  <c r="N87" i="92"/>
  <c r="L121" i="36"/>
  <c r="F121" i="36"/>
  <c r="Z66" i="65"/>
  <c r="Z107" i="51"/>
  <c r="V107" i="51"/>
  <c r="L84" i="76"/>
  <c r="N84" i="76" s="1"/>
  <c r="F84" i="76"/>
  <c r="L174" i="34"/>
  <c r="F174" i="34"/>
  <c r="X107" i="51"/>
  <c r="R107" i="51"/>
  <c r="J230" i="15"/>
  <c r="L171" i="28"/>
  <c r="N171" i="28" s="1"/>
  <c r="F171" i="28"/>
  <c r="X87" i="92"/>
  <c r="Z87" i="92" s="1"/>
  <c r="R87" i="92"/>
  <c r="J117" i="77"/>
  <c r="L84" i="73"/>
  <c r="N84" i="73" s="1"/>
  <c r="F84" i="73"/>
  <c r="L240" i="12"/>
  <c r="F240" i="12"/>
  <c r="J277" i="3"/>
  <c r="L123" i="39"/>
  <c r="F123" i="39"/>
  <c r="L277" i="3"/>
  <c r="N277" i="3" s="1"/>
  <c r="F277" i="3"/>
  <c r="V124" i="66"/>
  <c r="Z92" i="94"/>
  <c r="V92" i="94"/>
  <c r="L255" i="18"/>
  <c r="N255" i="18" s="1"/>
  <c r="F255" i="18"/>
  <c r="N36" i="75"/>
  <c r="J36" i="75"/>
  <c r="L154" i="69"/>
  <c r="N154" i="69" s="1"/>
  <c r="F154" i="69"/>
  <c r="L88" i="70"/>
  <c r="N88" i="70" s="1"/>
  <c r="F88" i="70"/>
  <c r="J92" i="85"/>
  <c r="L88" i="95"/>
  <c r="N88" i="95" s="1"/>
  <c r="F88" i="95"/>
  <c r="X112" i="42"/>
  <c r="Z112" i="42" s="1"/>
  <c r="R112" i="42"/>
  <c r="V44" i="84"/>
  <c r="X44" i="84"/>
  <c r="Z44" i="84" s="1"/>
  <c r="N121" i="36"/>
  <c r="J121" i="36"/>
  <c r="Z84" i="76"/>
  <c r="J124" i="25"/>
  <c r="N124" i="66"/>
  <c r="J124" i="66"/>
  <c r="V91" i="31"/>
  <c r="X102" i="21"/>
  <c r="Z102" i="21" s="1"/>
  <c r="R102" i="21"/>
  <c r="N91" i="31"/>
  <c r="J91" i="31"/>
  <c r="V37" i="78"/>
  <c r="X84" i="73"/>
  <c r="Z84" i="73" s="1"/>
  <c r="R84" i="73"/>
  <c r="L102" i="21"/>
  <c r="N102" i="21" s="1"/>
  <c r="F102" i="21"/>
  <c r="L107" i="71"/>
  <c r="N107" i="71" s="1"/>
  <c r="F107" i="71"/>
  <c r="N37" i="78"/>
  <c r="J37" i="78"/>
  <c r="Z121" i="36"/>
  <c r="V121" i="36"/>
  <c r="Z123" i="39"/>
  <c r="V123" i="39"/>
  <c r="L91" i="64"/>
  <c r="F91" i="64"/>
  <c r="X277" i="3"/>
  <c r="R277" i="3"/>
  <c r="L37" i="93"/>
  <c r="F37" i="93"/>
  <c r="V154" i="69"/>
  <c r="X240" i="12"/>
  <c r="Z240" i="12" s="1"/>
  <c r="R240" i="12"/>
  <c r="Z91" i="64"/>
  <c r="V91" i="64"/>
  <c r="N91" i="79"/>
  <c r="X174" i="34"/>
  <c r="R174" i="34"/>
  <c r="N34" i="87"/>
  <c r="J34" i="87"/>
  <c r="X171" i="28"/>
  <c r="Z171" i="28" s="1"/>
  <c r="R171" i="28"/>
  <c r="X154" i="69"/>
  <c r="Z154" i="69" s="1"/>
  <c r="R154" i="69"/>
  <c r="J102" i="21"/>
  <c r="V255" i="18"/>
  <c r="L107" i="51"/>
  <c r="N107" i="51" s="1"/>
  <c r="F107" i="51"/>
  <c r="X71" i="97"/>
  <c r="Z71" i="97" s="1"/>
  <c r="R71" i="97"/>
  <c r="N92" i="94"/>
  <c r="J92" i="94"/>
  <c r="V171" i="28"/>
  <c r="Z117" i="77"/>
  <c r="V117" i="77"/>
  <c r="V36" i="75"/>
  <c r="N174" i="34"/>
  <c r="J174" i="34"/>
  <c r="N123" i="39"/>
  <c r="J123" i="39"/>
  <c r="X91" i="31"/>
  <c r="Z91" i="31" s="1"/>
  <c r="R91" i="31"/>
  <c r="N112" i="42"/>
  <c r="J112" i="42"/>
  <c r="V240" i="12"/>
  <c r="Z277" i="3"/>
  <c r="V277" i="3"/>
  <c r="J255" i="18"/>
  <c r="L230" i="15"/>
  <c r="N230" i="15" s="1"/>
  <c r="F230" i="15"/>
  <c r="Z71" i="48"/>
  <c r="V71" i="48"/>
  <c r="X124" i="66"/>
  <c r="Z124" i="66" s="1"/>
  <c r="R124" i="66"/>
  <c r="N240" i="12"/>
  <c r="J240" i="12"/>
  <c r="N71" i="48"/>
  <c r="J71" i="48"/>
  <c r="L124" i="25"/>
  <c r="N124" i="25" s="1"/>
  <c r="F124" i="25"/>
  <c r="V102" i="21"/>
  <c r="X255" i="18"/>
  <c r="Z255" i="18" s="1"/>
  <c r="R255" i="18"/>
  <c r="Z174" i="34"/>
  <c r="V174" i="34"/>
  <c r="Z54" i="90"/>
  <c r="X88" i="95"/>
  <c r="Z88" i="95" s="1"/>
  <c r="R88" i="95"/>
  <c r="L92" i="85"/>
  <c r="N92" i="85" s="1"/>
  <c r="F92" i="85"/>
  <c r="Z88" i="70"/>
  <c r="V88" i="70"/>
  <c r="N91" i="64"/>
  <c r="X37" i="78"/>
  <c r="Z37" i="78" s="1"/>
  <c r="R37" i="78"/>
  <c r="X91" i="79"/>
  <c r="Z91" i="79" s="1"/>
  <c r="N101" i="45"/>
  <c r="J101" i="45"/>
  <c r="X92" i="85"/>
  <c r="Z92" i="85" s="1"/>
  <c r="R92" i="85"/>
  <c r="X36" i="75"/>
  <c r="Z36" i="75" s="1"/>
  <c r="R36" i="75"/>
  <c r="V230" i="15"/>
  <c r="X230" i="15"/>
  <c r="Z230" i="15" s="1"/>
  <c r="R230" i="15"/>
  <c r="L117" i="77"/>
  <c r="N117" i="77" s="1"/>
  <c r="Z107" i="71"/>
  <c r="V107" i="71"/>
  <c r="X101" i="45"/>
  <c r="Z101" i="45" s="1"/>
  <c r="R101" i="4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<sst xmlns="http://schemas.openxmlformats.org/spreadsheetml/2006/main" count="2870" uniqueCount="315">
  <si>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</si>
  <si>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</si>
  <si>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</si>
  <si>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</si>
  <si>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</si>
  <si>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</si>
  <si>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</si>
  <si>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</si>
  <si>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</si>
  <si>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</si>
  <si>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</si>
  <si>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</si>
  <si>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</si>
  <si>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</si>
  <si>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</si>
  <si>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</si>
  <si>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</si>
  <si>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</si>
  <si>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</si>
  <si>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</si>
  <si>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</si>
  <si>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</si>
  <si>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</si>
  <si>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</si>
  <si>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</si>
  <si>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</si>
  <si>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</si>
  <si>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</si>
  <si>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</si>
  <si>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</si>
  <si>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</si>
  <si>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</si>
  <si>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</si>
  <si>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</si>
  <si>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</si>
  <si>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</si>
  <si>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</si>
  <si>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</si>
  <si>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</si>
  <si>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</si>
  <si>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</si>
  <si>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</si>
  <si>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</si>
  <si>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</si>
  <si>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</si>
  <si>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</si>
  <si>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</si>
  <si>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</si>
  <si>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</si>
  <si>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</si>
  <si>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</si>
  <si>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</si>
  <si>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</si>
  <si>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</si>
  <si>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</si>
  <si>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</si>
  <si>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</si>
  <si>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</si>
  <si>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</si>
  <si>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</si>
  <si>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</si>
  <si>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</si>
  <si>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</si>
  <si>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</si>
  <si>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</si>
  <si>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</si>
  <si>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</si>
  <si>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</si>
  <si>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</si>
  <si>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</si>
  <si>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</si>
  <si>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</si>
  <si>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</si>
  <si>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</si>
  <si>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</si>
  <si>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</si>
  <si>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</si>
  <si>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</si>
  <si>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</si>
  <si>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</si>
  <si>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</si>
  <si>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</si>
  <si>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</si>
  <si>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</si>
  <si>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</si>
  <si>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</si>
  <si>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</si>
  <si>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</si>
  <si>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</si>
  <si>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</si>
  <si>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</si>
  <si>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</si>
  <si>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</si>
  <si>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</si>
  <si>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</si>
  <si>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</si>
  <si>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</si>
  <si>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</si>
  <si>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</si>
  <si>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</si>
  <si>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</si>
  <si>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</si>
  <si>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</si>
  <si>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</si>
  <si>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</si>
  <si>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</si>
  <si>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</si>
  <si>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</si>
  <si>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</si>
  <si>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</si>
  <si>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</si>
  <si>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</si>
  <si>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</si>
  <si>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</si>
  <si>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</si>
  <si>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</si>
  <si>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</si>
  <si>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</si>
  <si>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</si>
  <si>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</si>
  <si>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</si>
  <si>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</si>
  <si>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</si>
  <si>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</si>
  <si>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</si>
  <si>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</si>
  <si>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</si>
  <si>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</si>
  <si>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</si>
  <si>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</si>
  <si>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</si>
  <si>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</si>
  <si>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</si>
  <si>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</si>
  <si>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</si>
  <si>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</si>
  <si>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</si>
  <si>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</si>
  <si>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</si>
  <si>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</si>
  <si>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</si>
  <si>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</si>
  <si>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</si>
  <si>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</si>
  <si>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</si>
  <si>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</si>
  <si>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</si>
  <si>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</si>
  <si>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</si>
  <si>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</si>
  <si>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</si>
  <si>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</si>
  <si>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</si>
  <si>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</si>
  <si>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</si>
  <si>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</si>
  <si>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</si>
  <si>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</si>
  <si>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</si>
  <si>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</si>
  <si>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</si>
  <si>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</si>
  <si>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</si>
  <si>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</si>
  <si>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</si>
  <si>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</si>
  <si>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</si>
  <si>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</si>
  <si>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</si>
  <si>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</si>
  <si>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</si>
  <si>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</si>
  <si>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</si>
  <si>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</si>
  <si>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</si>
  <si>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</si>
  <si>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</si>
  <si>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</si>
  <si>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</si>
  <si>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</si>
  <si>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</si>
  <si>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</si>
  <si>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</si>
  <si>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</si>
  <si>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</si>
  <si>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</si>
  <si>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</si>
  <si>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</si>
  <si>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</si>
  <si>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</si>
  <si>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</si>
  <si>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</si>
  <si>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</si>
  <si>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</si>
  <si>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</si>
  <si>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</si>
  <si>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</si>
  <si>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</si>
  <si>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</si>
  <si>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</si>
  <si>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</si>
  <si>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</si>
  <si>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</si>
  <si>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</si>
  <si>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</si>
  <si>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</si>
  <si>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</si>
  <si>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</si>
  <si>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</si>
  <si>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</si>
  <si>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</si>
  <si>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</si>
  <si>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</si>
  <si>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</si>
  <si>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</si>
  <si>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</si>
  <si>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</si>
  <si>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</si>
  <si>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</si>
  <si>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</si>
  <si>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</si>
  <si>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</si>
  <si>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</si>
  <si>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</si>
  <si>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</si>
  <si>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</si>
  <si>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</si>
  <si>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</si>
  <si>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</si>
  <si>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</si>
  <si>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</si>
  <si>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</si>
  <si>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</si>
  <si>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</si>
  <si>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</si>
  <si>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</si>
  <si>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</si>
  <si>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</si>
  <si>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</si>
  <si>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</si>
  <si>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</si>
  <si>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</si>
  <si>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</si>
  <si>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</si>
  <si>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</si>
  <si>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</si>
  <si>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</si>
  <si>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</si>
  <si>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</si>
  <si>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</si>
  <si>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</si>
  <si>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</si>
  <si>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</si>
  <si>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</si>
  <si>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</si>
  <si>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</si>
  <si>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</si>
  <si>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</si>
  <si>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</si>
  <si>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</si>
  <si>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</si>
  <si>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</si>
  <si>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</si>
  <si>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</si>
  <si>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</si>
  <si>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</si>
  <si>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</si>
  <si>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</si>
  <si>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</si>
  <si>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</si>
  <si>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</si>
  <si>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</si>
  <si>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</si>
  <si>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</si>
  <si>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</si>
  <si>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</si>
  <si>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</si>
  <si>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</si>
  <si>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</si>
  <si>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</si>
  <si>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</si>
  <si>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</si>
  <si>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</si>
  <si>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Prior Year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</si>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</sst>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mmm\ d\,\ yyyy;@"/>
    <numFmt numFmtId="168" formatCode="[$-409]m/d/yy\ h:mm\ AM/PM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b/>
      <sz val="12"/>
      <color theme="1"/>
      <name val="Calibri"/>
      <scheme val="minor"/>
    </font>
    <font>
      <sz val="8"/>
      <color theme="0" tint="-0.499984740745262"/>
      <name val="Calibri"/>
      <scheme val="minor"/>
    </font>
    <font>
      <sz val="11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1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5" fontId="3" fillId="0" borderId="0" xfId="3" applyNumberFormat="1" applyFont="1" applyAlignment="1"/>
    <xf numFmtId="164" fontId="3" fillId="0" borderId="0" xfId="1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2" fillId="2" borderId="0" xfId="1" applyNumberFormat="1" applyFont="1" applyFill="1" applyAlignment="1"/>
    <xf numFmtId="0" fontId="0" fillId="0" borderId="0" xfId="0" applyNumberFormat="1" applyFont="1" applyAlignment="1">
      <alignment horizontal="left"/>
    </xf>
    <xf numFmtId="164" fontId="0" fillId="0" borderId="0" xfId="1" applyNumberFormat="1" applyFont="1" applyAlignment="1"/>
    <xf numFmtId="165" fontId="3" fillId="0" borderId="0" xfId="3" applyNumberFormat="1" applyFont="1" applyAlignment="1"/>
    <xf numFmtId="165" fontId="2" fillId="2" borderId="2" xfId="3" applyNumberFormat="1" applyFont="1" applyFill="1" applyBorder="1" applyAlignment="1"/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0" fontId="2" fillId="0" borderId="0" xfId="0" applyNumberFormat="1" applyFont="1"/>
    <xf numFmtId="49" fontId="3" fillId="0" borderId="0" xfId="0" applyNumberFormat="1" applyFont="1" applyAlignment="1">
      <alignment horizontal="right"/>
    </xf>
    <xf numFmtId="49" fontId="0" fillId="0" borderId="0" xfId="0" applyNumberFormat="1" applyFont="1" applyAlignment="1">
      <alignment horizontal="right"/>
    </xf>
    <xf numFmtId="0" fontId="2" fillId="2" borderId="0" xfId="0" applyNumberFormat="1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center"/>
    </xf>
    <xf numFmtId="165" fontId="2" fillId="2" borderId="1" xfId="3" applyNumberFormat="1" applyFont="1" applyFill="1" applyBorder="1" applyAlignment="1">
      <alignment horizontal="center"/>
    </xf>
    <xf numFmtId="166" fontId="2" fillId="2" borderId="3" xfId="2" applyNumberFormat="1" applyFont="1" applyFill="1" applyBorder="1" applyAlignment="1"/>
    <xf numFmtId="165" fontId="2" fillId="2" borderId="3" xfId="3" applyNumberFormat="1" applyFont="1" applyFill="1" applyBorder="1" applyAlignment="1"/>
    <xf numFmtId="165" fontId="2" fillId="2" borderId="4" xfId="3" applyNumberFormat="1" applyFont="1" applyFill="1" applyBorder="1" applyAlignment="1"/>
    <xf numFmtId="166" fontId="2" fillId="2" borderId="4" xfId="2" applyNumberFormat="1" applyFont="1" applyFill="1" applyBorder="1" applyAlignment="1"/>
    <xf numFmtId="165" fontId="2" fillId="0" borderId="0" xfId="3" applyNumberFormat="1" applyFont="1" applyAlignment="1"/>
    <xf numFmtId="0" fontId="0" fillId="0" borderId="0" xfId="0" applyNumberFormat="1" applyFont="1"/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165" fontId="0" fillId="0" borderId="0" xfId="1" applyNumberFormat="1" applyFont="1" applyAlignment="1"/>
    <xf numFmtId="0" fontId="2" fillId="2" borderId="1" xfId="0" applyNumberFormat="1" applyFont="1" applyFill="1" applyBorder="1" applyAlignment="1">
      <alignment horizontal="center"/>
    </xf>
    <xf numFmtId="49" fontId="3" fillId="0" borderId="0" xfId="0" applyNumberFormat="1" applyFont="1"/>
    <xf numFmtId="165" fontId="0" fillId="0" borderId="0" xfId="3" applyNumberFormat="1" applyFont="1" applyAlignment="1">
      <alignment horizontal="left"/>
    </xf>
    <xf numFmtId="165" fontId="0" fillId="0" borderId="0" xfId="0" applyNumberFormat="1" applyFont="1"/>
    <xf numFmtId="165" fontId="2" fillId="2" borderId="1" xfId="0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49" fontId="2" fillId="0" borderId="0" xfId="0" applyNumberFormat="1" applyFont="1"/>
    <xf numFmtId="0" fontId="2" fillId="0" borderId="0" xfId="0" applyNumberFormat="1" applyFont="1" applyAlignment="1">
      <alignment horizontal="left"/>
    </xf>
    <xf numFmtId="167" fontId="0" fillId="0" borderId="0" xfId="0" applyNumberFormat="1" applyFont="1"/>
    <xf numFmtId="0" fontId="0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NumberFormat="1" applyFont="1"/>
    <xf numFmtId="164" fontId="2" fillId="0" borderId="0" xfId="1" applyNumberFormat="1" applyFont="1" applyAlignment="1">
      <alignment horizontal="left"/>
    </xf>
    <xf numFmtId="0" fontId="4" fillId="0" borderId="0" xfId="0" applyNumberFormat="1" applyFont="1"/>
    <xf numFmtId="168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6" fillId="0" borderId="0" xfId="0" applyNumberFormat="1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eetMetadata" Target="metadata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95D34-A978-F612-6C5E-A88052450F4D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5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7BFF3-90A9-069A-5749-91940B70FCF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299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80B7-0139-6D8F-E051-1790C2FDEDA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300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C4C1C-071B-A1BD-436A-CE09564F828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300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07267-53C5-CCBD-66C5-BD52F9C21AB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301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5A17B-C103-5D45-B30A-104420420595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301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7FC4C-9C9D-6BA6-6B5E-5BAB39B6FD48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302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8A3F-B632-201B-FB06-4A21BA3D17A9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302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4B9B6-3412-2653-46CF-F43AB3CB4FB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303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20952-7789-DB7E-6E85-67BA8A7C277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303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C89BC-16FF-5D5E-FCAD-0D37CAE288F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304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74988-E452-3F4D-38BA-E59E1A4185AC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5" customWidth="1"/>
    <col min="221" max="221" width="20.6640625" style="70" customWidth="1"/>
    <col min="222" max="223" width="20.6640625" style="65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1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9" t="s">
        <v>274</v>
      </c>
      <c r="JL10002" s="3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75D26-E38D-9A6C-D7D1-640031000000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305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6082F-9466-720D-708E-8F07B5F2083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305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1AB35-7DDE-7636-2709-BCA74D229C1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306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422E7-473C-76E7-D91F-ACCE23F45C9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306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53724-6E93-4664-8229-15A9067A785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307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17C79-8DB6-C9CD-1435-E5641E4B02A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307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C8D5A-3B52-4699-B556-909C28E4F7C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7E415-85D8-FA0E-471E-6CA733F9677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309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66D84-C39E-61CA-54F2-CC2A1B309402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309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59B0B-A2AD-6F2D-D5CB-BCC8CB5933F3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310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3161-D175-F475-4ED4-99E7AECB245E}">
  <sheetPr>
    <tabColor rgb="FF00B0F0"/>
    <outlinePr summaryBelow="0" summaryRight="0"/>
  </sheetPr>
  <dimension ref="A2:Z282"/>
  <sheetViews>
    <sheetView showGridLines="0" tabSelected="1" defaultGridColor="0" colorId="8" zoomScale="80" workbookViewId="0">
      <pane xSplit="3" ySplit="10" topLeftCell="D246" activePane="bottomRight" state="frozen"/>
      <selection pane="topRight" activeCell="D1" sqref="D1"/>
      <selection pane="bottomLeft" activeCell="A11" sqref="A11"/>
      <selection pane="bottomRight" activeCell="D200" sqref="D200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278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2868157.09</v>
      </c>
      <c r="E12" s="5"/>
      <c r="F12" s="13"/>
      <c r="G12" s="5"/>
      <c r="H12" s="5">
        <f>SUM(OSRRefH13x_0)</f>
        <v>813766.71</v>
      </c>
      <c r="I12" s="5"/>
      <c r="J12" s="13"/>
      <c r="K12" s="5"/>
      <c r="L12" s="5">
        <f t="shared" ref="L12:L43" si="0">+D12-H12</f>
        <v>2054390.38</v>
      </c>
      <c r="M12" s="5"/>
      <c r="N12" s="13">
        <f t="shared" ref="N12:N43" si="1">IF(H12=0,0,L12/H12)</f>
        <v>2.5245446326994623</v>
      </c>
      <c r="O12" s="11"/>
      <c r="P12" s="5">
        <f>SUM(OSRRefP13x_0)</f>
        <v>18514642.320000004</v>
      </c>
      <c r="Q12" s="5"/>
      <c r="R12" s="13"/>
      <c r="S12" s="5"/>
      <c r="T12" s="5">
        <f>SUM(OSRRefT13x_0)</f>
        <v>7965152.7000000011</v>
      </c>
      <c r="U12" s="5"/>
      <c r="V12" s="13"/>
      <c r="W12" s="5"/>
      <c r="X12" s="5">
        <f t="shared" ref="X12:X43" si="2">+P12-T12</f>
        <v>10549489.620000003</v>
      </c>
      <c r="Y12" s="5"/>
      <c r="Z12" s="13">
        <f t="shared" ref="Z12:Z43" si="3">IF(T12=0,0,X12/T12)</f>
        <v>1.3244554143952572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--976734.65</f>
        <v>976734.65</v>
      </c>
      <c r="E13" s="3"/>
      <c r="F13" s="20"/>
      <c r="G13" s="3"/>
      <c r="H13" s="3">
        <f>-11598.32</f>
        <v>-11598.32</v>
      </c>
      <c r="I13" s="3"/>
      <c r="J13" s="20"/>
      <c r="K13" s="3"/>
      <c r="L13" s="3">
        <f t="shared" si="0"/>
        <v>988332.97</v>
      </c>
      <c r="M13" s="3"/>
      <c r="N13" s="20">
        <f t="shared" si="1"/>
        <v>-85.213459363080176</v>
      </c>
      <c r="O13" s="12"/>
      <c r="P13" s="3">
        <f>--6468321.94</f>
        <v>6468321.9400000004</v>
      </c>
      <c r="Q13" s="3"/>
      <c r="R13" s="20"/>
      <c r="S13" s="3"/>
      <c r="T13" s="3">
        <f>-122656.41</f>
        <v>-122656.41</v>
      </c>
      <c r="U13" s="3"/>
      <c r="V13" s="20"/>
      <c r="W13" s="3"/>
      <c r="X13" s="3">
        <f t="shared" si="2"/>
        <v>6590978.3500000006</v>
      </c>
      <c r="Y13" s="3"/>
      <c r="Z13" s="20">
        <f t="shared" si="3"/>
        <v>-53.735294796252397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--7739.23</f>
        <v>7739.23</v>
      </c>
      <c r="I14" s="3"/>
      <c r="J14" s="20"/>
      <c r="K14" s="3"/>
      <c r="L14" s="3">
        <f t="shared" si="0"/>
        <v>-7739.23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--1232463.24</f>
        <v>1232463.24</v>
      </c>
      <c r="U14" s="3"/>
      <c r="V14" s="20"/>
      <c r="W14" s="3"/>
      <c r="X14" s="3">
        <f t="shared" si="2"/>
        <v>-1232463.24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--1662.85</f>
        <v>1662.85</v>
      </c>
      <c r="I15" s="3"/>
      <c r="J15" s="20"/>
      <c r="K15" s="3"/>
      <c r="L15" s="3">
        <f t="shared" si="0"/>
        <v>-1662.85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--576797.33</f>
        <v>576797.32999999996</v>
      </c>
      <c r="U15" s="3"/>
      <c r="V15" s="20"/>
      <c r="W15" s="3"/>
      <c r="X15" s="3">
        <f t="shared" si="2"/>
        <v>-576797.32999999996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--49.99</f>
        <v>49.99</v>
      </c>
      <c r="I16" s="3"/>
      <c r="J16" s="20"/>
      <c r="K16" s="3"/>
      <c r="L16" s="3">
        <f t="shared" si="0"/>
        <v>-49.99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--17977.88</f>
        <v>17977.88</v>
      </c>
      <c r="U16" s="3"/>
      <c r="V16" s="20"/>
      <c r="W16" s="3"/>
      <c r="X16" s="3">
        <f t="shared" si="2"/>
        <v>-17977.88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--29.21</f>
        <v>29.21</v>
      </c>
      <c r="I18" s="3"/>
      <c r="J18" s="20"/>
      <c r="K18" s="3"/>
      <c r="L18" s="3">
        <f t="shared" si="0"/>
        <v>-29.21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--1202.02</f>
        <v>1202.02</v>
      </c>
      <c r="U18" s="3"/>
      <c r="V18" s="20"/>
      <c r="W18" s="3"/>
      <c r="X18" s="3">
        <f t="shared" si="2"/>
        <v>-1202.02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--35.82</f>
        <v>35.82</v>
      </c>
      <c r="I19" s="3"/>
      <c r="J19" s="20"/>
      <c r="K19" s="3"/>
      <c r="L19" s="3">
        <f t="shared" si="0"/>
        <v>-35.82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--447.7</f>
        <v>447.7</v>
      </c>
      <c r="U19" s="3"/>
      <c r="V19" s="20"/>
      <c r="W19" s="3"/>
      <c r="X19" s="3">
        <f t="shared" si="2"/>
        <v>-447.7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--67.3</f>
        <v>67.3</v>
      </c>
      <c r="I20" s="3"/>
      <c r="J20" s="20"/>
      <c r="K20" s="3"/>
      <c r="L20" s="3">
        <f t="shared" si="0"/>
        <v>-67.3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--400.14</f>
        <v>400.14</v>
      </c>
      <c r="U20" s="3"/>
      <c r="V20" s="20"/>
      <c r="W20" s="3"/>
      <c r="X20" s="3">
        <f t="shared" si="2"/>
        <v>-400.14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--16.37</f>
        <v>16.37</v>
      </c>
      <c r="I21" s="3"/>
      <c r="J21" s="20"/>
      <c r="K21" s="3"/>
      <c r="L21" s="3">
        <f t="shared" si="0"/>
        <v>-16.37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--464.75</f>
        <v>464.75</v>
      </c>
      <c r="U21" s="3"/>
      <c r="V21" s="20"/>
      <c r="W21" s="3"/>
      <c r="X21" s="3">
        <f t="shared" si="2"/>
        <v>-464.75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--3028</f>
        <v>3028</v>
      </c>
      <c r="I22" s="3"/>
      <c r="J22" s="20"/>
      <c r="K22" s="3"/>
      <c r="L22" s="3">
        <f t="shared" si="0"/>
        <v>-3028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--57512.32</f>
        <v>57512.32</v>
      </c>
      <c r="U22" s="3"/>
      <c r="V22" s="20"/>
      <c r="W22" s="3"/>
      <c r="X22" s="3">
        <f t="shared" si="2"/>
        <v>-57512.32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--3372.76</f>
        <v>3372.76</v>
      </c>
      <c r="I23" s="3"/>
      <c r="J23" s="20"/>
      <c r="K23" s="3"/>
      <c r="L23" s="3">
        <f t="shared" si="0"/>
        <v>-3372.76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--44249.38</f>
        <v>44249.38</v>
      </c>
      <c r="U23" s="3"/>
      <c r="V23" s="20"/>
      <c r="W23" s="3"/>
      <c r="X23" s="3">
        <f t="shared" si="2"/>
        <v>-44249.38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--434.03</f>
        <v>434.03</v>
      </c>
      <c r="I24" s="3"/>
      <c r="J24" s="20"/>
      <c r="K24" s="3"/>
      <c r="L24" s="3">
        <f t="shared" si="0"/>
        <v>-434.03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--3614.87</f>
        <v>3614.87</v>
      </c>
      <c r="U24" s="3"/>
      <c r="V24" s="20"/>
      <c r="W24" s="3"/>
      <c r="X24" s="3">
        <f t="shared" si="2"/>
        <v>-3614.87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--82653.17</f>
        <v>82653.17</v>
      </c>
      <c r="I27" s="3"/>
      <c r="J27" s="20"/>
      <c r="K27" s="3"/>
      <c r="L27" s="3">
        <f t="shared" si="0"/>
        <v>-82653.17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--754001.15</f>
        <v>754001.15</v>
      </c>
      <c r="U27" s="3"/>
      <c r="V27" s="20"/>
      <c r="W27" s="3"/>
      <c r="X27" s="3">
        <f t="shared" si="2"/>
        <v>-754001.15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--47817.47</f>
        <v>47817.47</v>
      </c>
      <c r="I28" s="3"/>
      <c r="J28" s="20"/>
      <c r="K28" s="3"/>
      <c r="L28" s="3">
        <f t="shared" si="0"/>
        <v>-47817.47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--324016.78</f>
        <v>324016.78000000003</v>
      </c>
      <c r="U28" s="3"/>
      <c r="V28" s="20"/>
      <c r="W28" s="3"/>
      <c r="X28" s="3">
        <f t="shared" si="2"/>
        <v>-324016.78000000003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--11053.28</f>
        <v>11053.28</v>
      </c>
      <c r="I29" s="3"/>
      <c r="J29" s="20"/>
      <c r="K29" s="3"/>
      <c r="L29" s="3">
        <f t="shared" si="0"/>
        <v>-11053.28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--90048.2</f>
        <v>90048.2</v>
      </c>
      <c r="U29" s="3"/>
      <c r="V29" s="20"/>
      <c r="W29" s="3"/>
      <c r="X29" s="3">
        <f t="shared" si="2"/>
        <v>-90048.2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--8285.51</f>
        <v>8285.51</v>
      </c>
      <c r="I30" s="3"/>
      <c r="J30" s="20"/>
      <c r="K30" s="3"/>
      <c r="L30" s="3">
        <f t="shared" si="0"/>
        <v>-8285.51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--132436.17</f>
        <v>132436.17000000001</v>
      </c>
      <c r="U30" s="3"/>
      <c r="V30" s="20"/>
      <c r="W30" s="3"/>
      <c r="X30" s="3">
        <f t="shared" si="2"/>
        <v>-132436.17000000001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--1774.45</f>
        <v>1774.45</v>
      </c>
      <c r="I31" s="3"/>
      <c r="J31" s="20"/>
      <c r="K31" s="3"/>
      <c r="L31" s="3">
        <f t="shared" si="0"/>
        <v>-1774.45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--31346.85</f>
        <v>31346.85</v>
      </c>
      <c r="U31" s="3"/>
      <c r="V31" s="20"/>
      <c r="W31" s="3"/>
      <c r="X31" s="3">
        <f t="shared" si="2"/>
        <v>-31346.85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--8707.87</f>
        <v>8707.8700000000008</v>
      </c>
      <c r="I32" s="3"/>
      <c r="J32" s="20"/>
      <c r="K32" s="3"/>
      <c r="L32" s="3">
        <f t="shared" si="0"/>
        <v>-8707.8700000000008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--144197.44</f>
        <v>144197.44</v>
      </c>
      <c r="U32" s="3"/>
      <c r="V32" s="20"/>
      <c r="W32" s="3"/>
      <c r="X32" s="3">
        <f t="shared" si="2"/>
        <v>-144197.44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--58129.76</f>
        <v>58129.760000000002</v>
      </c>
      <c r="E33" s="3"/>
      <c r="F33" s="20"/>
      <c r="G33" s="3"/>
      <c r="H33" s="3">
        <f>--2604.58</f>
        <v>2604.58</v>
      </c>
      <c r="I33" s="3"/>
      <c r="J33" s="20"/>
      <c r="K33" s="3"/>
      <c r="L33" s="3">
        <f t="shared" si="0"/>
        <v>55525.18</v>
      </c>
      <c r="M33" s="3"/>
      <c r="N33" s="20">
        <f t="shared" si="1"/>
        <v>21.318285481728342</v>
      </c>
      <c r="O33" s="12"/>
      <c r="P33" s="3">
        <f>--263820.05</f>
        <v>263820.05</v>
      </c>
      <c r="Q33" s="3"/>
      <c r="R33" s="20"/>
      <c r="S33" s="3"/>
      <c r="T33" s="3">
        <f>--25569.06</f>
        <v>25569.06</v>
      </c>
      <c r="U33" s="3"/>
      <c r="V33" s="20"/>
      <c r="W33" s="3"/>
      <c r="X33" s="3">
        <f t="shared" si="2"/>
        <v>238250.99</v>
      </c>
      <c r="Y33" s="3"/>
      <c r="Z33" s="20">
        <f t="shared" si="3"/>
        <v>9.3179409020120403</v>
      </c>
    </row>
    <row r="34" spans="1:26" s="69" customFormat="1" ht="15" hidden="1" customHeight="1" outlineLevel="1" x14ac:dyDescent="0.3">
      <c r="A34" s="42"/>
      <c r="B34" s="12" t="str">
        <f>CONCATENATE("          ","4052"," - ","TAXABLE SALES-FOOD")</f>
        <v xml:space="preserve">          4052 - TAXABLE SALES-FOOD</v>
      </c>
      <c r="C34" s="12"/>
      <c r="D34" s="3">
        <f>0</f>
        <v>0</v>
      </c>
      <c r="E34" s="3"/>
      <c r="F34" s="20"/>
      <c r="G34" s="3"/>
      <c r="H34" s="3">
        <f>--51782.31</f>
        <v>51782.31</v>
      </c>
      <c r="I34" s="3"/>
      <c r="J34" s="20"/>
      <c r="K34" s="3"/>
      <c r="L34" s="3">
        <f t="shared" si="0"/>
        <v>-51782.31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--331940.11</f>
        <v>331940.11</v>
      </c>
      <c r="U34" s="3"/>
      <c r="V34" s="20"/>
      <c r="W34" s="3"/>
      <c r="X34" s="3">
        <f t="shared" si="2"/>
        <v>-331940.11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","4053"," - ","TAXABLE SALES-FOOD")</f>
        <v xml:space="preserve">          4053 - TAXABLE SALES-FOOD</v>
      </c>
      <c r="C35" s="12"/>
      <c r="D35" s="3">
        <f>--3253.6</f>
        <v>3253.6</v>
      </c>
      <c r="E35" s="3"/>
      <c r="F35" s="20"/>
      <c r="G35" s="3"/>
      <c r="H35" s="3">
        <f>--163.51</f>
        <v>163.51</v>
      </c>
      <c r="I35" s="3"/>
      <c r="J35" s="20"/>
      <c r="K35" s="3"/>
      <c r="L35" s="3">
        <f t="shared" si="0"/>
        <v>3090.09</v>
      </c>
      <c r="M35" s="3"/>
      <c r="N35" s="20">
        <f t="shared" si="1"/>
        <v>18.898477157360407</v>
      </c>
      <c r="O35" s="12"/>
      <c r="P35" s="3">
        <f>--21600.3</f>
        <v>21600.3</v>
      </c>
      <c r="Q35" s="3"/>
      <c r="R35" s="20"/>
      <c r="S35" s="3"/>
      <c r="T35" s="3">
        <f>--923.72</f>
        <v>923.72</v>
      </c>
      <c r="U35" s="3"/>
      <c r="V35" s="20"/>
      <c r="W35" s="3"/>
      <c r="X35" s="3">
        <f t="shared" si="2"/>
        <v>20676.579999999998</v>
      </c>
      <c r="Y35" s="3"/>
      <c r="Z35" s="20">
        <f t="shared" si="3"/>
        <v>22.384034122894381</v>
      </c>
    </row>
    <row r="36" spans="1:26" s="69" customFormat="1" ht="15" hidden="1" customHeight="1" outlineLevel="1" x14ac:dyDescent="0.3">
      <c r="A36" s="42"/>
      <c r="B36" s="12" t="str">
        <f>CONCATENATE("          ","4055"," - ","TAXABLE SALES-FOOD")</f>
        <v xml:space="preserve">          4055 - TAXABLE SALES-FOOD</v>
      </c>
      <c r="C36" s="12"/>
      <c r="D36" s="3">
        <f>--541.27</f>
        <v>541.27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541.27</v>
      </c>
      <c r="M36" s="3"/>
      <c r="N36" s="20">
        <f t="shared" si="1"/>
        <v>0</v>
      </c>
      <c r="O36" s="12"/>
      <c r="P36" s="3">
        <f>--541.27</f>
        <v>541.27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541.27</v>
      </c>
      <c r="Y36" s="3"/>
      <c r="Z36" s="20">
        <f t="shared" si="3"/>
        <v>0</v>
      </c>
    </row>
    <row r="37" spans="1:26" s="69" customFormat="1" ht="15" hidden="1" customHeight="1" outlineLevel="1" x14ac:dyDescent="0.3">
      <c r="A37" s="42"/>
      <c r="B37" s="12" t="str">
        <f>CONCATENATE("          ","4058"," - ","TAXABLE SALES-FOOD")</f>
        <v xml:space="preserve">          4058 - TAXABLE SALES-FOOD</v>
      </c>
      <c r="C37" s="12"/>
      <c r="D37" s="3">
        <f>0</f>
        <v>0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0</v>
      </c>
      <c r="M37" s="3"/>
      <c r="N37" s="20">
        <f t="shared" si="1"/>
        <v>0</v>
      </c>
      <c r="O37" s="12"/>
      <c r="P37" s="3">
        <f>0</f>
        <v>0</v>
      </c>
      <c r="Q37" s="3"/>
      <c r="R37" s="20"/>
      <c r="S37" s="3"/>
      <c r="T37" s="3">
        <f>--974.91</f>
        <v>974.91</v>
      </c>
      <c r="U37" s="3"/>
      <c r="V37" s="20"/>
      <c r="W37" s="3"/>
      <c r="X37" s="3">
        <f t="shared" si="2"/>
        <v>-974.91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","4081"," - ","TAXABLE SALES-ELECTRONICS")</f>
        <v xml:space="preserve">          4081 - TAXABLE SALES-ELECTRONICS</v>
      </c>
      <c r="C38" s="12"/>
      <c r="D38" s="3">
        <f>0</f>
        <v>0</v>
      </c>
      <c r="E38" s="3"/>
      <c r="F38" s="20"/>
      <c r="G38" s="3"/>
      <c r="H38" s="3">
        <f>--1204.4</f>
        <v>1204.4000000000001</v>
      </c>
      <c r="I38" s="3"/>
      <c r="J38" s="20"/>
      <c r="K38" s="3"/>
      <c r="L38" s="3">
        <f t="shared" si="0"/>
        <v>-1204.4000000000001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--60539.2</f>
        <v>60539.199999999997</v>
      </c>
      <c r="U38" s="3"/>
      <c r="V38" s="20"/>
      <c r="W38" s="3"/>
      <c r="X38" s="3">
        <f t="shared" si="2"/>
        <v>-60539.199999999997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","4082"," - ","TAXABLE SALES-COMPUTER HARDWAR")</f>
        <v xml:space="preserve">          4082 - TAXABLE SALES-COMPUTER HARDWAR</v>
      </c>
      <c r="C39" s="12"/>
      <c r="D39" s="3">
        <f>0</f>
        <v>0</v>
      </c>
      <c r="E39" s="3"/>
      <c r="F39" s="20"/>
      <c r="G39" s="3"/>
      <c r="H39" s="3">
        <f>--407027.89</f>
        <v>407027.89</v>
      </c>
      <c r="I39" s="3"/>
      <c r="J39" s="20"/>
      <c r="K39" s="3"/>
      <c r="L39" s="3">
        <f t="shared" si="0"/>
        <v>-407027.89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--1657866.36</f>
        <v>1657866.36</v>
      </c>
      <c r="U39" s="3"/>
      <c r="V39" s="20"/>
      <c r="W39" s="3"/>
      <c r="X39" s="3">
        <f t="shared" si="2"/>
        <v>-1657866.36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","4083"," - ","TAXABLE SALES-COMPUTER EQUIPME")</f>
        <v xml:space="preserve">          4083 - TAXABLE SALES-COMPUTER EQUIPME</v>
      </c>
      <c r="C40" s="12"/>
      <c r="D40" s="3">
        <f>0</f>
        <v>0</v>
      </c>
      <c r="E40" s="3"/>
      <c r="F40" s="20"/>
      <c r="G40" s="3"/>
      <c r="H40" s="3">
        <f>--22860.44</f>
        <v>22860.44</v>
      </c>
      <c r="I40" s="3"/>
      <c r="J40" s="20"/>
      <c r="K40" s="3"/>
      <c r="L40" s="3">
        <f t="shared" si="0"/>
        <v>-22860.44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--119669.26</f>
        <v>119669.26</v>
      </c>
      <c r="U40" s="3"/>
      <c r="V40" s="20"/>
      <c r="W40" s="3"/>
      <c r="X40" s="3">
        <f t="shared" si="2"/>
        <v>-119669.26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","4085"," - ","TAXABLE SALES-SOFTWARE")</f>
        <v xml:space="preserve">          4085 - TAXABLE SALES-SOFTWARE</v>
      </c>
      <c r="C41" s="12"/>
      <c r="D41" s="3">
        <f>0</f>
        <v>0</v>
      </c>
      <c r="E41" s="3"/>
      <c r="F41" s="20"/>
      <c r="G41" s="3"/>
      <c r="H41" s="3">
        <f>--219.98</f>
        <v>219.98</v>
      </c>
      <c r="I41" s="3"/>
      <c r="J41" s="20"/>
      <c r="K41" s="3"/>
      <c r="L41" s="3">
        <f t="shared" si="0"/>
        <v>-219.98</v>
      </c>
      <c r="M41" s="3"/>
      <c r="N41" s="20">
        <f t="shared" si="1"/>
        <v>-1</v>
      </c>
      <c r="O41" s="12"/>
      <c r="P41" s="3">
        <f>0</f>
        <v>0</v>
      </c>
      <c r="Q41" s="3"/>
      <c r="R41" s="20"/>
      <c r="S41" s="3"/>
      <c r="T41" s="3">
        <f>--3098.91</f>
        <v>3098.91</v>
      </c>
      <c r="U41" s="3"/>
      <c r="V41" s="20"/>
      <c r="W41" s="3"/>
      <c r="X41" s="3">
        <f t="shared" si="2"/>
        <v>-3098.91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","4086"," - ","TAXABLE SALES-COMPUTER SUPPLIE")</f>
        <v xml:space="preserve">          4086 - TAXABLE SALES-COMPUTER SUPPLIE</v>
      </c>
      <c r="C42" s="12"/>
      <c r="D42" s="3">
        <f>0</f>
        <v>0</v>
      </c>
      <c r="E42" s="3"/>
      <c r="F42" s="20"/>
      <c r="G42" s="3"/>
      <c r="H42" s="3">
        <f>--503.73</f>
        <v>503.73</v>
      </c>
      <c r="I42" s="3"/>
      <c r="J42" s="20"/>
      <c r="K42" s="3"/>
      <c r="L42" s="3">
        <f t="shared" si="0"/>
        <v>-503.73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--59450.9</f>
        <v>59450.9</v>
      </c>
      <c r="U42" s="3"/>
      <c r="V42" s="20"/>
      <c r="W42" s="3"/>
      <c r="X42" s="3">
        <f t="shared" si="2"/>
        <v>-59450.9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","4095"," - ","TAXABLE SALES-CUSTOMER SERVICE")</f>
        <v xml:space="preserve">          4095 - TAXABLE SALES-CUSTOMER SERVICE</v>
      </c>
      <c r="C43" s="12"/>
      <c r="D43" s="3">
        <f>0</f>
        <v>0</v>
      </c>
      <c r="E43" s="3"/>
      <c r="F43" s="20"/>
      <c r="G43" s="3"/>
      <c r="H43" s="3">
        <f>--775.28</f>
        <v>775.28</v>
      </c>
      <c r="I43" s="3"/>
      <c r="J43" s="20"/>
      <c r="K43" s="3"/>
      <c r="L43" s="3">
        <f t="shared" si="0"/>
        <v>-775.28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--915.13</f>
        <v>915.13</v>
      </c>
      <c r="U43" s="3"/>
      <c r="V43" s="20"/>
      <c r="W43" s="3"/>
      <c r="X43" s="3">
        <f t="shared" si="2"/>
        <v>-915.13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","4100"," - ","NON-TAXABLE SALES")</f>
        <v xml:space="preserve">          4100 - NON-TAXABLE SALES</v>
      </c>
      <c r="C44" s="12"/>
      <c r="D44" s="3">
        <f>--318217.57</f>
        <v>318217.57</v>
      </c>
      <c r="E44" s="3"/>
      <c r="F44" s="20"/>
      <c r="G44" s="3"/>
      <c r="H44" s="3">
        <f>--53675.54</f>
        <v>53675.54</v>
      </c>
      <c r="I44" s="3"/>
      <c r="J44" s="20"/>
      <c r="K44" s="3"/>
      <c r="L44" s="3">
        <f t="shared" ref="L44:L75" si="4">+D44-H44</f>
        <v>264542.03000000003</v>
      </c>
      <c r="M44" s="3"/>
      <c r="N44" s="20">
        <f t="shared" ref="N44:N75" si="5">IF(H44=0,0,L44/H44)</f>
        <v>4.928539703559573</v>
      </c>
      <c r="O44" s="12"/>
      <c r="P44" s="3">
        <f>--2307830.61</f>
        <v>2307830.61</v>
      </c>
      <c r="Q44" s="3"/>
      <c r="R44" s="20"/>
      <c r="S44" s="3"/>
      <c r="T44" s="3">
        <f>--730103.1</f>
        <v>730103.1</v>
      </c>
      <c r="U44" s="3"/>
      <c r="V44" s="20"/>
      <c r="W44" s="3"/>
      <c r="X44" s="3">
        <f t="shared" ref="X44:X75" si="6">+P44-T44</f>
        <v>1577727.5099999998</v>
      </c>
      <c r="Y44" s="3"/>
      <c r="Z44" s="20">
        <f t="shared" ref="Z44:Z75" si="7">IF(T44=0,0,X44/T44)</f>
        <v>2.1609653622892435</v>
      </c>
    </row>
    <row r="45" spans="1:26" s="69" customFormat="1" ht="15" hidden="1" customHeight="1" outlineLevel="1" x14ac:dyDescent="0.3">
      <c r="A45" s="42"/>
      <c r="B45" s="12" t="str">
        <f>CONCATENATE("          ","4101"," - ","NON-TAXABLE SALES-NEW TEXT")</f>
        <v xml:space="preserve">          4101 - NON-TAXABLE SALES-NEW TEXT</v>
      </c>
      <c r="C45" s="12"/>
      <c r="D45" s="3">
        <f>0</f>
        <v>0</v>
      </c>
      <c r="E45" s="3"/>
      <c r="F45" s="20"/>
      <c r="G45" s="3"/>
      <c r="H45" s="3">
        <f>--1044.17</f>
        <v>1044.17</v>
      </c>
      <c r="I45" s="3"/>
      <c r="J45" s="20"/>
      <c r="K45" s="3"/>
      <c r="L45" s="3">
        <f t="shared" si="4"/>
        <v>-1044.17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--112055.71</f>
        <v>112055.71</v>
      </c>
      <c r="U45" s="3"/>
      <c r="V45" s="20"/>
      <c r="W45" s="3"/>
      <c r="X45" s="3">
        <f t="shared" si="6"/>
        <v>-112055.71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","4102"," - ","NON-TAXABLE SALES-USED TEXT")</f>
        <v xml:space="preserve">          4102 - NON-TAXABLE SALES-USED TEXT</v>
      </c>
      <c r="C46" s="12"/>
      <c r="D46" s="3">
        <f>0</f>
        <v>0</v>
      </c>
      <c r="E46" s="3"/>
      <c r="F46" s="20"/>
      <c r="G46" s="3"/>
      <c r="H46" s="3">
        <f>--1572.06</f>
        <v>1572.06</v>
      </c>
      <c r="I46" s="3"/>
      <c r="J46" s="20"/>
      <c r="K46" s="3"/>
      <c r="L46" s="3">
        <f t="shared" si="4"/>
        <v>-1572.06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--47959.43</f>
        <v>47959.43</v>
      </c>
      <c r="U46" s="3"/>
      <c r="V46" s="20"/>
      <c r="W46" s="3"/>
      <c r="X46" s="3">
        <f t="shared" si="6"/>
        <v>-47959.43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","4103"," - ","NON-TAXABLE SALES-RENTAL TEXT")</f>
        <v xml:space="preserve">          4103 - NON-TAXABLE SALES-RENTAL TEXT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--1138.95</f>
        <v>1138.95</v>
      </c>
      <c r="U47" s="3"/>
      <c r="V47" s="20"/>
      <c r="W47" s="3"/>
      <c r="X47" s="3">
        <f t="shared" si="6"/>
        <v>-1138.95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","4104"," - ","NON-TAXABLE SALES-DIGITAL TEXT")</f>
        <v xml:space="preserve">          4104 - NON-TAXABLE SALES-DIGITAL TEXT</v>
      </c>
      <c r="C48" s="12"/>
      <c r="D48" s="3">
        <f>0</f>
        <v>0</v>
      </c>
      <c r="E48" s="3"/>
      <c r="F48" s="20"/>
      <c r="G48" s="3"/>
      <c r="H48" s="3">
        <f>--1097.13</f>
        <v>1097.1300000000001</v>
      </c>
      <c r="I48" s="3"/>
      <c r="J48" s="20"/>
      <c r="K48" s="3"/>
      <c r="L48" s="3">
        <f t="shared" si="4"/>
        <v>-1097.1300000000001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--476971.18</f>
        <v>476971.18</v>
      </c>
      <c r="U48" s="3"/>
      <c r="V48" s="20"/>
      <c r="W48" s="3"/>
      <c r="X48" s="3">
        <f t="shared" si="6"/>
        <v>-476971.18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","4113"," - ","NON-TAXABLE SALES-TRADE BOOKS")</f>
        <v xml:space="preserve">          4113 - NON-TAXABLE SALES-TRADE BOOKS</v>
      </c>
      <c r="C49" s="12"/>
      <c r="D49" s="3">
        <f>0</f>
        <v>0</v>
      </c>
      <c r="E49" s="3"/>
      <c r="F49" s="20"/>
      <c r="G49" s="3"/>
      <c r="H49" s="3">
        <f>--1250</f>
        <v>1250</v>
      </c>
      <c r="I49" s="3"/>
      <c r="J49" s="20"/>
      <c r="K49" s="3"/>
      <c r="L49" s="3">
        <f t="shared" si="4"/>
        <v>-1250</v>
      </c>
      <c r="M49" s="3"/>
      <c r="N49" s="20">
        <f t="shared" si="5"/>
        <v>-1</v>
      </c>
      <c r="O49" s="12"/>
      <c r="P49" s="3">
        <f>0</f>
        <v>0</v>
      </c>
      <c r="Q49" s="3"/>
      <c r="R49" s="20"/>
      <c r="S49" s="3"/>
      <c r="T49" s="3">
        <f>--11389.25</f>
        <v>11389.25</v>
      </c>
      <c r="U49" s="3"/>
      <c r="V49" s="20"/>
      <c r="W49" s="3"/>
      <c r="X49" s="3">
        <f t="shared" si="6"/>
        <v>-11389.25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","4118"," - ","NON-TAXABLE SALES-STUDY GUIDES")</f>
        <v xml:space="preserve">          4118 - NON-TAXABLE SALES-STUDY GUIDES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--771.73</f>
        <v>771.73</v>
      </c>
      <c r="U50" s="3"/>
      <c r="V50" s="20"/>
      <c r="W50" s="3"/>
      <c r="X50" s="3">
        <f t="shared" si="6"/>
        <v>-771.73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","4126"," - ","NON-TAXABLE SALES-WRITING INST")</f>
        <v xml:space="preserve">          4126 - NON-TAXABLE SALES-WRITING INST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--52.68</f>
        <v>52.68</v>
      </c>
      <c r="U51" s="3"/>
      <c r="V51" s="20"/>
      <c r="W51" s="3"/>
      <c r="X51" s="3">
        <f t="shared" si="6"/>
        <v>-52.68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","4127"," - ","NON-TAXABLE SALES-SCHOOL SUPPL")</f>
        <v xml:space="preserve">          4127 - NON-TAXABLE SALES-SCHOOL SUPPL</v>
      </c>
      <c r="C52" s="12"/>
      <c r="D52" s="3">
        <f>0</f>
        <v>0</v>
      </c>
      <c r="E52" s="3"/>
      <c r="F52" s="20"/>
      <c r="G52" s="3"/>
      <c r="H52" s="3">
        <f>--389.95</f>
        <v>389.95</v>
      </c>
      <c r="I52" s="3"/>
      <c r="J52" s="20"/>
      <c r="K52" s="3"/>
      <c r="L52" s="3">
        <f t="shared" si="4"/>
        <v>-389.95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--6607.31</f>
        <v>6607.31</v>
      </c>
      <c r="U52" s="3"/>
      <c r="V52" s="20"/>
      <c r="W52" s="3"/>
      <c r="X52" s="3">
        <f t="shared" si="6"/>
        <v>-6607.31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","4128"," - ","NON-TAXABLE SALES-ART/TECH")</f>
        <v xml:space="preserve">          4128 - NON-TAXABLE SALES-ART/TECH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4"/>
        <v>0</v>
      </c>
      <c r="M53" s="3"/>
      <c r="N53" s="20">
        <f t="shared" si="5"/>
        <v>0</v>
      </c>
      <c r="O53" s="12"/>
      <c r="P53" s="3">
        <f>0</f>
        <v>0</v>
      </c>
      <c r="Q53" s="3"/>
      <c r="R53" s="20"/>
      <c r="S53" s="3"/>
      <c r="T53" s="3">
        <f>--38.58</f>
        <v>38.58</v>
      </c>
      <c r="U53" s="3"/>
      <c r="V53" s="20"/>
      <c r="W53" s="3"/>
      <c r="X53" s="3">
        <f t="shared" si="6"/>
        <v>-38.58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","4131"," - ","NON-TAXABLE SALES-FOOD")</f>
        <v xml:space="preserve">          4131 - NON-TAXABLE SALES-FOOD</v>
      </c>
      <c r="C54" s="12"/>
      <c r="D54" s="3">
        <f>0</f>
        <v>0</v>
      </c>
      <c r="E54" s="3"/>
      <c r="F54" s="20"/>
      <c r="G54" s="3"/>
      <c r="H54" s="3">
        <f>--829.28</f>
        <v>829.28</v>
      </c>
      <c r="I54" s="3"/>
      <c r="J54" s="20"/>
      <c r="K54" s="3"/>
      <c r="L54" s="3">
        <f t="shared" si="4"/>
        <v>-829.28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--10404.43</f>
        <v>10404.43</v>
      </c>
      <c r="U54" s="3"/>
      <c r="V54" s="20"/>
      <c r="W54" s="3"/>
      <c r="X54" s="3">
        <f t="shared" si="6"/>
        <v>-10404.43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","4132"," - ","NON-TAXABLE SALES-JUICE")</f>
        <v xml:space="preserve">          4132 - NON-TAXABLE SALES-JUICE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--2054.37</f>
        <v>2054.37</v>
      </c>
      <c r="U55" s="3"/>
      <c r="V55" s="20"/>
      <c r="W55" s="3"/>
      <c r="X55" s="3">
        <f t="shared" si="6"/>
        <v>-2054.37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","4133"," - ","NON-TAXABLE SALES-CANDY")</f>
        <v xml:space="preserve">          4133 - NON-TAXABLE SALES-CANDY</v>
      </c>
      <c r="C56" s="12"/>
      <c r="D56" s="3">
        <f>0</f>
        <v>0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4"/>
        <v>0</v>
      </c>
      <c r="M56" s="3"/>
      <c r="N56" s="20">
        <f t="shared" si="5"/>
        <v>0</v>
      </c>
      <c r="O56" s="12"/>
      <c r="P56" s="3">
        <f>0</f>
        <v>0</v>
      </c>
      <c r="Q56" s="3"/>
      <c r="R56" s="20"/>
      <c r="S56" s="3"/>
      <c r="T56" s="3">
        <f>--80.71</f>
        <v>80.709999999999994</v>
      </c>
      <c r="U56" s="3"/>
      <c r="V56" s="20"/>
      <c r="W56" s="3"/>
      <c r="X56" s="3">
        <f t="shared" si="6"/>
        <v>-80.709999999999994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","4134"," - ","NON-TAXABLE SALES-SODA")</f>
        <v xml:space="preserve">          4134 - NON-TAXABLE SALES-SODA</v>
      </c>
      <c r="C57" s="12"/>
      <c r="D57" s="3">
        <f>0</f>
        <v>0</v>
      </c>
      <c r="E57" s="3"/>
      <c r="F57" s="20"/>
      <c r="G57" s="3"/>
      <c r="H57" s="3">
        <f>0</f>
        <v>0</v>
      </c>
      <c r="I57" s="3"/>
      <c r="J57" s="20"/>
      <c r="K57" s="3"/>
      <c r="L57" s="3">
        <f t="shared" si="4"/>
        <v>0</v>
      </c>
      <c r="M57" s="3"/>
      <c r="N57" s="20">
        <f t="shared" si="5"/>
        <v>0</v>
      </c>
      <c r="O57" s="12"/>
      <c r="P57" s="3">
        <f>0</f>
        <v>0</v>
      </c>
      <c r="Q57" s="3"/>
      <c r="R57" s="20"/>
      <c r="S57" s="3"/>
      <c r="T57" s="3">
        <f>--45.53</f>
        <v>45.53</v>
      </c>
      <c r="U57" s="3"/>
      <c r="V57" s="20"/>
      <c r="W57" s="3"/>
      <c r="X57" s="3">
        <f t="shared" si="6"/>
        <v>-45.53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","4137"," - ","NON-TAXABLE SALES-WATER")</f>
        <v xml:space="preserve">          4137 - NON-TAXABLE SALES-WATER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--68.25</f>
        <v>68.25</v>
      </c>
      <c r="U58" s="3"/>
      <c r="V58" s="20"/>
      <c r="W58" s="3"/>
      <c r="X58" s="3">
        <f t="shared" si="6"/>
        <v>-68.25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","4140"," - ","NON-TAXABLE SALES-LOGO CLOTHIN")</f>
        <v xml:space="preserve">          4140 - NON-TAXABLE SALES-LOGO CLOTHIN</v>
      </c>
      <c r="C59" s="12"/>
      <c r="D59" s="3">
        <f>0</f>
        <v>0</v>
      </c>
      <c r="E59" s="3"/>
      <c r="F59" s="20"/>
      <c r="G59" s="3"/>
      <c r="H59" s="3">
        <f>--16626.41</f>
        <v>16626.41</v>
      </c>
      <c r="I59" s="3"/>
      <c r="J59" s="20"/>
      <c r="K59" s="3"/>
      <c r="L59" s="3">
        <f t="shared" si="4"/>
        <v>-16626.41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--131751.69</f>
        <v>131751.69</v>
      </c>
      <c r="U59" s="3"/>
      <c r="V59" s="20"/>
      <c r="W59" s="3"/>
      <c r="X59" s="3">
        <f t="shared" si="6"/>
        <v>-131751.69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","4141"," - ","NON-TAXABLE SALES-LOGO GIFTS")</f>
        <v xml:space="preserve">          4141 - NON-TAXABLE SALES-LOGO GIFTS</v>
      </c>
      <c r="C60" s="12"/>
      <c r="D60" s="3">
        <f>0</f>
        <v>0</v>
      </c>
      <c r="E60" s="3"/>
      <c r="F60" s="20"/>
      <c r="G60" s="3"/>
      <c r="H60" s="3">
        <f>--1055.22</f>
        <v>1055.22</v>
      </c>
      <c r="I60" s="3"/>
      <c r="J60" s="20"/>
      <c r="K60" s="3"/>
      <c r="L60" s="3">
        <f t="shared" si="4"/>
        <v>-1055.22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--9568.24</f>
        <v>9568.24</v>
      </c>
      <c r="U60" s="3"/>
      <c r="V60" s="20"/>
      <c r="W60" s="3"/>
      <c r="X60" s="3">
        <f t="shared" si="6"/>
        <v>-9568.24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","4142"," - ","NON-TAXABLE SALES-EVERYDAY GIF")</f>
        <v xml:space="preserve">          4142 - NON-TAXABLE SALES-EVERYDAY GIF</v>
      </c>
      <c r="C61" s="12"/>
      <c r="D61" s="3">
        <f>0</f>
        <v>0</v>
      </c>
      <c r="E61" s="3"/>
      <c r="F61" s="20"/>
      <c r="G61" s="3"/>
      <c r="H61" s="3">
        <f>--16.9</f>
        <v>16.899999999999999</v>
      </c>
      <c r="I61" s="3"/>
      <c r="J61" s="20"/>
      <c r="K61" s="3"/>
      <c r="L61" s="3">
        <f t="shared" si="4"/>
        <v>-16.899999999999999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--2281.37</f>
        <v>2281.37</v>
      </c>
      <c r="U61" s="3"/>
      <c r="V61" s="20"/>
      <c r="W61" s="3"/>
      <c r="X61" s="3">
        <f t="shared" si="6"/>
        <v>-2281.37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","4143"," - ","NON-TAXABLE SALES-CARDS")</f>
        <v xml:space="preserve">          4143 - NON-TAXABLE SALES-CARDS</v>
      </c>
      <c r="C62" s="12"/>
      <c r="D62" s="3">
        <f>0</f>
        <v>0</v>
      </c>
      <c r="E62" s="3"/>
      <c r="F62" s="20"/>
      <c r="G62" s="3"/>
      <c r="H62" s="3">
        <f>--261.82</f>
        <v>261.82</v>
      </c>
      <c r="I62" s="3"/>
      <c r="J62" s="20"/>
      <c r="K62" s="3"/>
      <c r="L62" s="3">
        <f t="shared" si="4"/>
        <v>-261.82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--2381.48</f>
        <v>2381.48</v>
      </c>
      <c r="U62" s="3"/>
      <c r="V62" s="20"/>
      <c r="W62" s="3"/>
      <c r="X62" s="3">
        <f t="shared" si="6"/>
        <v>-2381.48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","4144"," - ","NON-TAXABLE SALES-ACCESSORIES")</f>
        <v xml:space="preserve">          4144 - NON-TAXABLE SALES-ACCESSORIES</v>
      </c>
      <c r="C63" s="12"/>
      <c r="D63" s="3">
        <f>0</f>
        <v>0</v>
      </c>
      <c r="E63" s="3"/>
      <c r="F63" s="20"/>
      <c r="G63" s="3"/>
      <c r="H63" s="3">
        <f>--29.9</f>
        <v>29.9</v>
      </c>
      <c r="I63" s="3"/>
      <c r="J63" s="20"/>
      <c r="K63" s="3"/>
      <c r="L63" s="3">
        <f t="shared" si="4"/>
        <v>-29.9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--679.25</f>
        <v>679.25</v>
      </c>
      <c r="U63" s="3"/>
      <c r="V63" s="20"/>
      <c r="W63" s="3"/>
      <c r="X63" s="3">
        <f t="shared" si="6"/>
        <v>-679.25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","4145"," - ","NON-TAXABLE SALES-SPECIAL ORDE")</f>
        <v xml:space="preserve">          4145 - NON-TAXABLE SALES-SPECIAL ORDE</v>
      </c>
      <c r="C64" s="12"/>
      <c r="D64" s="3">
        <f>0</f>
        <v>0</v>
      </c>
      <c r="E64" s="3"/>
      <c r="F64" s="20"/>
      <c r="G64" s="3"/>
      <c r="H64" s="3">
        <f>0</f>
        <v>0</v>
      </c>
      <c r="I64" s="3"/>
      <c r="J64" s="20"/>
      <c r="K64" s="3"/>
      <c r="L64" s="3">
        <f t="shared" si="4"/>
        <v>0</v>
      </c>
      <c r="M64" s="3"/>
      <c r="N64" s="20">
        <f t="shared" si="5"/>
        <v>0</v>
      </c>
      <c r="O64" s="12"/>
      <c r="P64" s="3">
        <f>0</f>
        <v>0</v>
      </c>
      <c r="Q64" s="3"/>
      <c r="R64" s="20"/>
      <c r="S64" s="3"/>
      <c r="T64" s="3">
        <f>--53716.09</f>
        <v>53716.09</v>
      </c>
      <c r="U64" s="3"/>
      <c r="V64" s="20"/>
      <c r="W64" s="3"/>
      <c r="X64" s="3">
        <f t="shared" si="6"/>
        <v>-53716.09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","4146"," - ","NON-TAXABLE SALES-COIN OP MACH")</f>
        <v xml:space="preserve">          4146 - NON-TAXABLE SALES-COIN OP MACH</v>
      </c>
      <c r="C65" s="12"/>
      <c r="D65" s="3">
        <f>0</f>
        <v>0</v>
      </c>
      <c r="E65" s="3"/>
      <c r="F65" s="20"/>
      <c r="G65" s="3"/>
      <c r="H65" s="3">
        <f>--90.7</f>
        <v>90.7</v>
      </c>
      <c r="I65" s="3"/>
      <c r="J65" s="20"/>
      <c r="K65" s="3"/>
      <c r="L65" s="3">
        <f t="shared" si="4"/>
        <v>-90.7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--299.1</f>
        <v>299.10000000000002</v>
      </c>
      <c r="U65" s="3"/>
      <c r="V65" s="20"/>
      <c r="W65" s="3"/>
      <c r="X65" s="3">
        <f t="shared" si="6"/>
        <v>-299.10000000000002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","4147"," - ","NON-TAXABLE SALES-MISC")</f>
        <v xml:space="preserve">          4147 - NON-TAXABLE SALES-MISC</v>
      </c>
      <c r="C66" s="12"/>
      <c r="D66" s="3">
        <f>0</f>
        <v>0</v>
      </c>
      <c r="E66" s="3"/>
      <c r="F66" s="20"/>
      <c r="G66" s="3"/>
      <c r="H66" s="3">
        <f>--11</f>
        <v>11</v>
      </c>
      <c r="I66" s="3"/>
      <c r="J66" s="20"/>
      <c r="K66" s="3"/>
      <c r="L66" s="3">
        <f t="shared" si="4"/>
        <v>-11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--143.5</f>
        <v>143.5</v>
      </c>
      <c r="U66" s="3"/>
      <c r="V66" s="20"/>
      <c r="W66" s="3"/>
      <c r="X66" s="3">
        <f t="shared" si="6"/>
        <v>-143.5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","4151"," - ","NON-TAXABLE SALES-FOOD")</f>
        <v xml:space="preserve">          4151 - NON-TAXABLE SALES-FOOD</v>
      </c>
      <c r="C67" s="12"/>
      <c r="D67" s="3">
        <f>--1578769.24</f>
        <v>1578769.24</v>
      </c>
      <c r="E67" s="3"/>
      <c r="F67" s="20"/>
      <c r="G67" s="3"/>
      <c r="H67" s="3">
        <f>--89340.04</f>
        <v>89340.04</v>
      </c>
      <c r="I67" s="3"/>
      <c r="J67" s="20"/>
      <c r="K67" s="3"/>
      <c r="L67" s="3">
        <f t="shared" si="4"/>
        <v>1489429.2</v>
      </c>
      <c r="M67" s="3"/>
      <c r="N67" s="20">
        <f t="shared" si="5"/>
        <v>16.671463321484971</v>
      </c>
      <c r="O67" s="12"/>
      <c r="P67" s="3">
        <f>--9910628.72</f>
        <v>9910628.7200000007</v>
      </c>
      <c r="Q67" s="3"/>
      <c r="R67" s="20"/>
      <c r="S67" s="3"/>
      <c r="T67" s="3">
        <f>--832309.85</f>
        <v>832309.85</v>
      </c>
      <c r="U67" s="3"/>
      <c r="V67" s="20"/>
      <c r="W67" s="3"/>
      <c r="X67" s="3">
        <f t="shared" si="6"/>
        <v>9078318.870000001</v>
      </c>
      <c r="Y67" s="3"/>
      <c r="Z67" s="20">
        <f t="shared" si="7"/>
        <v>10.907378868578812</v>
      </c>
    </row>
    <row r="68" spans="1:26" s="69" customFormat="1" ht="15" hidden="1" customHeight="1" outlineLevel="1" x14ac:dyDescent="0.3">
      <c r="A68" s="42"/>
      <c r="B68" s="12" t="str">
        <f>CONCATENATE("          ","4153"," - ","NON-TAXABLE SALES-FOOD")</f>
        <v xml:space="preserve">          4153 - NON-TAXABLE SALES-FOOD</v>
      </c>
      <c r="C68" s="12"/>
      <c r="D68" s="3">
        <f>--15712.94</f>
        <v>15712.94</v>
      </c>
      <c r="E68" s="3"/>
      <c r="F68" s="20"/>
      <c r="G68" s="3"/>
      <c r="H68" s="3">
        <f>--5271.34</f>
        <v>5271.34</v>
      </c>
      <c r="I68" s="3"/>
      <c r="J68" s="20"/>
      <c r="K68" s="3"/>
      <c r="L68" s="3">
        <f t="shared" si="4"/>
        <v>10441.6</v>
      </c>
      <c r="M68" s="3"/>
      <c r="N68" s="20">
        <f t="shared" si="5"/>
        <v>1.9808246100611988</v>
      </c>
      <c r="O68" s="12"/>
      <c r="P68" s="3">
        <f>--96500.22</f>
        <v>96500.22</v>
      </c>
      <c r="Q68" s="3"/>
      <c r="R68" s="20"/>
      <c r="S68" s="3"/>
      <c r="T68" s="3">
        <f>--43349.91</f>
        <v>43349.91</v>
      </c>
      <c r="U68" s="3"/>
      <c r="V68" s="20"/>
      <c r="W68" s="3"/>
      <c r="X68" s="3">
        <f t="shared" si="6"/>
        <v>53150.31</v>
      </c>
      <c r="Y68" s="3"/>
      <c r="Z68" s="20">
        <f t="shared" si="7"/>
        <v>1.2260765939306446</v>
      </c>
    </row>
    <row r="69" spans="1:26" s="69" customFormat="1" ht="15" hidden="1" customHeight="1" outlineLevel="1" x14ac:dyDescent="0.3">
      <c r="A69" s="42"/>
      <c r="B69" s="12" t="str">
        <f>CONCATENATE("          ","4155"," - ","NON-TAXABLE SALES-FOOD")</f>
        <v xml:space="preserve">          4155 - NON-TAXABLE SALES-FOOD</v>
      </c>
      <c r="C69" s="12"/>
      <c r="D69" s="3">
        <f>--1744.71</f>
        <v>1744.71</v>
      </c>
      <c r="E69" s="3"/>
      <c r="F69" s="20"/>
      <c r="G69" s="3"/>
      <c r="H69" s="3">
        <f>0</f>
        <v>0</v>
      </c>
      <c r="I69" s="3"/>
      <c r="J69" s="20"/>
      <c r="K69" s="3"/>
      <c r="L69" s="3">
        <f t="shared" si="4"/>
        <v>1744.71</v>
      </c>
      <c r="M69" s="3"/>
      <c r="N69" s="20">
        <f t="shared" si="5"/>
        <v>0</v>
      </c>
      <c r="O69" s="12"/>
      <c r="P69" s="3">
        <f>--1744.71</f>
        <v>1744.71</v>
      </c>
      <c r="Q69" s="3"/>
      <c r="R69" s="20"/>
      <c r="S69" s="3"/>
      <c r="T69" s="3">
        <f>0</f>
        <v>0</v>
      </c>
      <c r="U69" s="3"/>
      <c r="V69" s="20"/>
      <c r="W69" s="3"/>
      <c r="X69" s="3">
        <f t="shared" si="6"/>
        <v>1744.71</v>
      </c>
      <c r="Y69" s="3"/>
      <c r="Z69" s="20">
        <f t="shared" si="7"/>
        <v>0</v>
      </c>
    </row>
    <row r="70" spans="1:26" s="69" customFormat="1" ht="15" hidden="1" customHeight="1" outlineLevel="1" x14ac:dyDescent="0.3">
      <c r="A70" s="42"/>
      <c r="B70" s="12" t="str">
        <f>CONCATENATE("          ","4181"," - ","NON-TAXABLE SALES-ELECTRONICS")</f>
        <v xml:space="preserve">          4181 - NON-TAXABLE SALES-ELECTRONICS</v>
      </c>
      <c r="C70" s="12"/>
      <c r="D70" s="3">
        <f>0</f>
        <v>0</v>
      </c>
      <c r="E70" s="3"/>
      <c r="F70" s="20"/>
      <c r="G70" s="3"/>
      <c r="H70" s="3">
        <f>--285.97</f>
        <v>285.97000000000003</v>
      </c>
      <c r="I70" s="3"/>
      <c r="J70" s="20"/>
      <c r="K70" s="3"/>
      <c r="L70" s="3">
        <f t="shared" si="4"/>
        <v>-285.97000000000003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--12478.63</f>
        <v>12478.63</v>
      </c>
      <c r="U70" s="3"/>
      <c r="V70" s="20"/>
      <c r="W70" s="3"/>
      <c r="X70" s="3">
        <f t="shared" si="6"/>
        <v>-12478.63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","4182"," - ","NON-TAXABLE SALES-COMPUTER HAR")</f>
        <v xml:space="preserve">          4182 - NON-TAXABLE SALES-COMPUTER HAR</v>
      </c>
      <c r="C71" s="12"/>
      <c r="D71" s="3">
        <f>0</f>
        <v>0</v>
      </c>
      <c r="E71" s="3"/>
      <c r="F71" s="20"/>
      <c r="G71" s="3"/>
      <c r="H71" s="3">
        <f>--33767.84</f>
        <v>33767.839999999997</v>
      </c>
      <c r="I71" s="3"/>
      <c r="J71" s="20"/>
      <c r="K71" s="3"/>
      <c r="L71" s="3">
        <f t="shared" si="4"/>
        <v>-33767.839999999997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--253414.83</f>
        <v>253414.83</v>
      </c>
      <c r="U71" s="3"/>
      <c r="V71" s="20"/>
      <c r="W71" s="3"/>
      <c r="X71" s="3">
        <f t="shared" si="6"/>
        <v>-253414.83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","4183"," - ","NON-TAXABLE SALES-COMPUTER EQU")</f>
        <v xml:space="preserve">          4183 - NON-TAXABLE SALES-COMPUTER EQU</v>
      </c>
      <c r="C72" s="12"/>
      <c r="D72" s="3">
        <f>0</f>
        <v>0</v>
      </c>
      <c r="E72" s="3"/>
      <c r="F72" s="20"/>
      <c r="G72" s="3"/>
      <c r="H72" s="3">
        <f>--2983.61</f>
        <v>2983.61</v>
      </c>
      <c r="I72" s="3"/>
      <c r="J72" s="20"/>
      <c r="K72" s="3"/>
      <c r="L72" s="3">
        <f t="shared" si="4"/>
        <v>-2983.61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--16606.43</f>
        <v>16606.43</v>
      </c>
      <c r="U72" s="3"/>
      <c r="V72" s="20"/>
      <c r="W72" s="3"/>
      <c r="X72" s="3">
        <f t="shared" si="6"/>
        <v>-16606.43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","4185"," - ","NON-TAXABLE SALES-SOFTWARE")</f>
        <v xml:space="preserve">          4185 - NON-TAXABLE SALES-SOFTWARE</v>
      </c>
      <c r="C73" s="12"/>
      <c r="D73" s="3">
        <f>0</f>
        <v>0</v>
      </c>
      <c r="E73" s="3"/>
      <c r="F73" s="20"/>
      <c r="G73" s="3"/>
      <c r="H73" s="3">
        <f>--3559.59</f>
        <v>3559.59</v>
      </c>
      <c r="I73" s="3"/>
      <c r="J73" s="20"/>
      <c r="K73" s="3"/>
      <c r="L73" s="3">
        <f t="shared" si="4"/>
        <v>-3559.59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--38686.78</f>
        <v>38686.78</v>
      </c>
      <c r="U73" s="3"/>
      <c r="V73" s="20"/>
      <c r="W73" s="3"/>
      <c r="X73" s="3">
        <f t="shared" si="6"/>
        <v>-38686.78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","4186"," - ","NON-TAXABLE SALES-COMPUTER SUP")</f>
        <v xml:space="preserve">          4186 - NON-TAXABLE SALES-COMPUTER SUP</v>
      </c>
      <c r="C74" s="12"/>
      <c r="D74" s="3">
        <f>0</f>
        <v>0</v>
      </c>
      <c r="E74" s="3"/>
      <c r="F74" s="20"/>
      <c r="G74" s="3"/>
      <c r="H74" s="3">
        <f>--424.94</f>
        <v>424.94</v>
      </c>
      <c r="I74" s="3"/>
      <c r="J74" s="20"/>
      <c r="K74" s="3"/>
      <c r="L74" s="3">
        <f t="shared" si="4"/>
        <v>-424.94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--3255.2</f>
        <v>3255.2</v>
      </c>
      <c r="U74" s="3"/>
      <c r="V74" s="20"/>
      <c r="W74" s="3"/>
      <c r="X74" s="3">
        <f t="shared" si="6"/>
        <v>-3255.2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","4200"," - ","TAXABLE RETURNS")</f>
        <v xml:space="preserve">          4200 - TAXABLE RETURNS</v>
      </c>
      <c r="C75" s="12"/>
      <c r="D75" s="3">
        <f>-75345.79</f>
        <v>-75345.789999999994</v>
      </c>
      <c r="E75" s="3"/>
      <c r="F75" s="20"/>
      <c r="G75" s="3"/>
      <c r="H75" s="3">
        <f>0</f>
        <v>0</v>
      </c>
      <c r="I75" s="3"/>
      <c r="J75" s="20"/>
      <c r="K75" s="3"/>
      <c r="L75" s="3">
        <f t="shared" si="4"/>
        <v>-75345.789999999994</v>
      </c>
      <c r="M75" s="3"/>
      <c r="N75" s="20">
        <f t="shared" si="5"/>
        <v>0</v>
      </c>
      <c r="O75" s="12"/>
      <c r="P75" s="3">
        <f>-430918.22</f>
        <v>-430918.22</v>
      </c>
      <c r="Q75" s="3"/>
      <c r="R75" s="20"/>
      <c r="S75" s="3"/>
      <c r="T75" s="3">
        <f>0</f>
        <v>0</v>
      </c>
      <c r="U75" s="3"/>
      <c r="V75" s="20"/>
      <c r="W75" s="3"/>
      <c r="X75" s="3">
        <f t="shared" si="6"/>
        <v>-430918.22</v>
      </c>
      <c r="Y75" s="3"/>
      <c r="Z75" s="20">
        <f t="shared" si="7"/>
        <v>0</v>
      </c>
    </row>
    <row r="76" spans="1:26" s="69" customFormat="1" ht="15" hidden="1" customHeight="1" outlineLevel="1" x14ac:dyDescent="0.3">
      <c r="A76" s="42"/>
      <c r="B76" s="12" t="str">
        <f>CONCATENATE("          ","4201"," - ","SALES RETURN TAXABLE-NEW TEXT")</f>
        <v xml:space="preserve">          4201 - SALES RETURN TAXABLE-NEW TEXT</v>
      </c>
      <c r="C76" s="12"/>
      <c r="D76" s="3">
        <f>0</f>
        <v>0</v>
      </c>
      <c r="E76" s="3"/>
      <c r="F76" s="20"/>
      <c r="G76" s="3"/>
      <c r="H76" s="3">
        <f>-596.94</f>
        <v>-596.94000000000005</v>
      </c>
      <c r="I76" s="3"/>
      <c r="J76" s="20"/>
      <c r="K76" s="3"/>
      <c r="L76" s="3">
        <f t="shared" ref="L76:L103" si="8">+D76-H76</f>
        <v>596.94000000000005</v>
      </c>
      <c r="M76" s="3"/>
      <c r="N76" s="20">
        <f t="shared" ref="N76:N103" si="9">IF(H76=0,0,L76/H76)</f>
        <v>-1</v>
      </c>
      <c r="O76" s="12"/>
      <c r="P76" s="3">
        <f>0</f>
        <v>0</v>
      </c>
      <c r="Q76" s="3"/>
      <c r="R76" s="20"/>
      <c r="S76" s="3"/>
      <c r="T76" s="3">
        <f>-51261.17</f>
        <v>-51261.17</v>
      </c>
      <c r="U76" s="3"/>
      <c r="V76" s="20"/>
      <c r="W76" s="3"/>
      <c r="X76" s="3">
        <f t="shared" ref="X76:X103" si="10">+P76-T76</f>
        <v>51261.17</v>
      </c>
      <c r="Y76" s="3"/>
      <c r="Z76" s="20">
        <f t="shared" ref="Z76:Z103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","4202"," - ","SALES RETURN TAXABLE-USED TEXT")</f>
        <v xml:space="preserve">          4202 - SALES RETURN TAXABLE-USED TEXT</v>
      </c>
      <c r="C77" s="12"/>
      <c r="D77" s="3">
        <f>0</f>
        <v>0</v>
      </c>
      <c r="E77" s="3"/>
      <c r="F77" s="20"/>
      <c r="G77" s="3"/>
      <c r="H77" s="3">
        <f>-153.8</f>
        <v>-153.80000000000001</v>
      </c>
      <c r="I77" s="3"/>
      <c r="J77" s="20"/>
      <c r="K77" s="3"/>
      <c r="L77" s="3">
        <f t="shared" si="8"/>
        <v>153.80000000000001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-19889.31</f>
        <v>-19889.310000000001</v>
      </c>
      <c r="U77" s="3"/>
      <c r="V77" s="20"/>
      <c r="W77" s="3"/>
      <c r="X77" s="3">
        <f t="shared" si="10"/>
        <v>19889.310000000001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","4204"," - ","SALES RETURN TAXABLE-DIGITAL T")</f>
        <v xml:space="preserve">          4204 - SALES RETURN TAXABLE-DIGITAL T</v>
      </c>
      <c r="C78" s="12"/>
      <c r="D78" s="3">
        <f>0</f>
        <v>0</v>
      </c>
      <c r="E78" s="3"/>
      <c r="F78" s="20"/>
      <c r="G78" s="3"/>
      <c r="H78" s="3">
        <f>0</f>
        <v>0</v>
      </c>
      <c r="I78" s="3"/>
      <c r="J78" s="20"/>
      <c r="K78" s="3"/>
      <c r="L78" s="3">
        <f t="shared" si="8"/>
        <v>0</v>
      </c>
      <c r="M78" s="3"/>
      <c r="N78" s="20">
        <f t="shared" si="9"/>
        <v>0</v>
      </c>
      <c r="O78" s="12"/>
      <c r="P78" s="3">
        <f>0</f>
        <v>0</v>
      </c>
      <c r="Q78" s="3"/>
      <c r="R78" s="20"/>
      <c r="S78" s="3"/>
      <c r="T78" s="3">
        <f>-1763.1</f>
        <v>-1763.1</v>
      </c>
      <c r="U78" s="3"/>
      <c r="V78" s="20"/>
      <c r="W78" s="3"/>
      <c r="X78" s="3">
        <f t="shared" si="10"/>
        <v>1763.1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","4213"," - ","NON-TAXABLE SALES-TRADE BOOKS")</f>
        <v xml:space="preserve">          4213 - NON-TAXABLE SALES-TRADE BOOKS</v>
      </c>
      <c r="C79" s="12"/>
      <c r="D79" s="3">
        <f>0</f>
        <v>0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8"/>
        <v>0</v>
      </c>
      <c r="M79" s="3"/>
      <c r="N79" s="20">
        <f t="shared" si="9"/>
        <v>0</v>
      </c>
      <c r="O79" s="12"/>
      <c r="P79" s="3">
        <f>0</f>
        <v>0</v>
      </c>
      <c r="Q79" s="3"/>
      <c r="R79" s="20"/>
      <c r="S79" s="3"/>
      <c r="T79" s="3">
        <f>-69.93</f>
        <v>-69.930000000000007</v>
      </c>
      <c r="U79" s="3"/>
      <c r="V79" s="20"/>
      <c r="W79" s="3"/>
      <c r="X79" s="3">
        <f t="shared" si="10"/>
        <v>69.930000000000007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","4218"," - ","SALES RETURN TAXABLE-STUDY GUI")</f>
        <v xml:space="preserve">          4218 - SALES RETURN TAXABLE-STUDY GUI</v>
      </c>
      <c r="C80" s="12"/>
      <c r="D80" s="3">
        <f>0</f>
        <v>0</v>
      </c>
      <c r="E80" s="3"/>
      <c r="F80" s="20"/>
      <c r="G80" s="3"/>
      <c r="H80" s="3">
        <f>-5.21</f>
        <v>-5.21</v>
      </c>
      <c r="I80" s="3"/>
      <c r="J80" s="20"/>
      <c r="K80" s="3"/>
      <c r="L80" s="3">
        <f t="shared" si="8"/>
        <v>5.21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-5.21</f>
        <v>-5.21</v>
      </c>
      <c r="U80" s="3"/>
      <c r="V80" s="20"/>
      <c r="W80" s="3"/>
      <c r="X80" s="3">
        <f t="shared" si="10"/>
        <v>5.21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","4226"," - ","SALES RETURN TAXABLE-WRITING I")</f>
        <v xml:space="preserve">          4226 - SALES RETURN TAXABLE-WRITING I</v>
      </c>
      <c r="C81" s="12"/>
      <c r="D81" s="3">
        <f>0</f>
        <v>0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0</v>
      </c>
      <c r="M81" s="3"/>
      <c r="N81" s="20">
        <f t="shared" si="9"/>
        <v>0</v>
      </c>
      <c r="O81" s="12"/>
      <c r="P81" s="3">
        <f>0</f>
        <v>0</v>
      </c>
      <c r="Q81" s="3"/>
      <c r="R81" s="20"/>
      <c r="S81" s="3"/>
      <c r="T81" s="3">
        <f>-34.23</f>
        <v>-34.229999999999997</v>
      </c>
      <c r="U81" s="3"/>
      <c r="V81" s="20"/>
      <c r="W81" s="3"/>
      <c r="X81" s="3">
        <f t="shared" si="10"/>
        <v>34.229999999999997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","4227"," - ","SALES RETURN TAXABLE-SCHOOL SU")</f>
        <v xml:space="preserve">          4227 - SALES RETURN TAXABLE-SCHOOL SU</v>
      </c>
      <c r="C82" s="12"/>
      <c r="D82" s="3">
        <f>0</f>
        <v>0</v>
      </c>
      <c r="E82" s="3"/>
      <c r="F82" s="20"/>
      <c r="G82" s="3"/>
      <c r="H82" s="3">
        <f>-64.39</f>
        <v>-64.39</v>
      </c>
      <c r="I82" s="3"/>
      <c r="J82" s="20"/>
      <c r="K82" s="3"/>
      <c r="L82" s="3">
        <f t="shared" si="8"/>
        <v>64.39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-846.12</f>
        <v>-846.12</v>
      </c>
      <c r="U82" s="3"/>
      <c r="V82" s="20"/>
      <c r="W82" s="3"/>
      <c r="X82" s="3">
        <f t="shared" si="10"/>
        <v>846.12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","4228"," - ","SALES RETURN TAXABLE-ART/TECH")</f>
        <v xml:space="preserve">          4228 - SALES RETURN TAXABLE-ART/TECH</v>
      </c>
      <c r="C83" s="12"/>
      <c r="D83" s="3">
        <f>0</f>
        <v>0</v>
      </c>
      <c r="E83" s="3"/>
      <c r="F83" s="20"/>
      <c r="G83" s="3"/>
      <c r="H83" s="3">
        <f>-98.38</f>
        <v>-98.38</v>
      </c>
      <c r="I83" s="3"/>
      <c r="J83" s="20"/>
      <c r="K83" s="3"/>
      <c r="L83" s="3">
        <f t="shared" si="8"/>
        <v>98.38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-12837.62</f>
        <v>-12837.62</v>
      </c>
      <c r="U83" s="3"/>
      <c r="V83" s="20"/>
      <c r="W83" s="3"/>
      <c r="X83" s="3">
        <f t="shared" si="10"/>
        <v>12837.62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","4240"," - ","SALES RETURN TAXABLE-LOGO CLOT")</f>
        <v xml:space="preserve">          4240 - SALES RETURN TAXABLE-LOGO CLOT</v>
      </c>
      <c r="C84" s="12"/>
      <c r="D84" s="3">
        <f>0</f>
        <v>0</v>
      </c>
      <c r="E84" s="3"/>
      <c r="F84" s="20"/>
      <c r="G84" s="3"/>
      <c r="H84" s="3">
        <f>-3924.84</f>
        <v>-3924.84</v>
      </c>
      <c r="I84" s="3"/>
      <c r="J84" s="20"/>
      <c r="K84" s="3"/>
      <c r="L84" s="3">
        <f t="shared" si="8"/>
        <v>3924.84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-35054.35</f>
        <v>-35054.35</v>
      </c>
      <c r="U84" s="3"/>
      <c r="V84" s="20"/>
      <c r="W84" s="3"/>
      <c r="X84" s="3">
        <f t="shared" si="10"/>
        <v>35054.35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","4241"," - ","SALES RETURN TAXABLE-LOGO GIFT")</f>
        <v xml:space="preserve">          4241 - SALES RETURN TAXABLE-LOGO GIFT</v>
      </c>
      <c r="C85" s="12"/>
      <c r="D85" s="3">
        <f>0</f>
        <v>0</v>
      </c>
      <c r="E85" s="3"/>
      <c r="F85" s="20"/>
      <c r="G85" s="3"/>
      <c r="H85" s="3">
        <f>-1222.82</f>
        <v>-1222.82</v>
      </c>
      <c r="I85" s="3"/>
      <c r="J85" s="20"/>
      <c r="K85" s="3"/>
      <c r="L85" s="3">
        <f t="shared" si="8"/>
        <v>1222.82</v>
      </c>
      <c r="M85" s="3"/>
      <c r="N85" s="20">
        <f t="shared" si="9"/>
        <v>-1</v>
      </c>
      <c r="O85" s="12"/>
      <c r="P85" s="3">
        <f>0</f>
        <v>0</v>
      </c>
      <c r="Q85" s="3"/>
      <c r="R85" s="20"/>
      <c r="S85" s="3"/>
      <c r="T85" s="3">
        <f>-6518.34</f>
        <v>-6518.34</v>
      </c>
      <c r="U85" s="3"/>
      <c r="V85" s="20"/>
      <c r="W85" s="3"/>
      <c r="X85" s="3">
        <f t="shared" si="10"/>
        <v>6518.34</v>
      </c>
      <c r="Y85" s="3"/>
      <c r="Z85" s="20">
        <f t="shared" si="11"/>
        <v>-1</v>
      </c>
    </row>
    <row r="86" spans="1:26" s="69" customFormat="1" ht="15" hidden="1" customHeight="1" outlineLevel="1" x14ac:dyDescent="0.3">
      <c r="A86" s="42"/>
      <c r="B86" s="12" t="str">
        <f>CONCATENATE("          ","4242"," - ","SALES RETURN TAXABLE-EVERYDAY")</f>
        <v xml:space="preserve">          4242 - SALES RETURN TAXABLE-EVERYDAY</v>
      </c>
      <c r="C86" s="12"/>
      <c r="D86" s="3">
        <f>0</f>
        <v>0</v>
      </c>
      <c r="E86" s="3"/>
      <c r="F86" s="20"/>
      <c r="G86" s="3"/>
      <c r="H86" s="3">
        <f>-565.08</f>
        <v>-565.08000000000004</v>
      </c>
      <c r="I86" s="3"/>
      <c r="J86" s="20"/>
      <c r="K86" s="3"/>
      <c r="L86" s="3">
        <f t="shared" si="8"/>
        <v>565.08000000000004</v>
      </c>
      <c r="M86" s="3"/>
      <c r="N86" s="20">
        <f t="shared" si="9"/>
        <v>-1</v>
      </c>
      <c r="O86" s="12"/>
      <c r="P86" s="3">
        <f>0</f>
        <v>0</v>
      </c>
      <c r="Q86" s="3"/>
      <c r="R86" s="20"/>
      <c r="S86" s="3"/>
      <c r="T86" s="3">
        <f>-2303.82</f>
        <v>-2303.8200000000002</v>
      </c>
      <c r="U86" s="3"/>
      <c r="V86" s="20"/>
      <c r="W86" s="3"/>
      <c r="X86" s="3">
        <f t="shared" si="10"/>
        <v>2303.8200000000002</v>
      </c>
      <c r="Y86" s="3"/>
      <c r="Z86" s="20">
        <f t="shared" si="11"/>
        <v>-1</v>
      </c>
    </row>
    <row r="87" spans="1:26" s="69" customFormat="1" ht="15" hidden="1" customHeight="1" outlineLevel="1" x14ac:dyDescent="0.3">
      <c r="A87" s="42"/>
      <c r="B87" s="12" t="str">
        <f>CONCATENATE("          ","4243"," - ","SALES RETURN TAXABLE-CARDS")</f>
        <v xml:space="preserve">          4243 - SALES RETURN TAXABLE-CARDS</v>
      </c>
      <c r="C87" s="12"/>
      <c r="D87" s="3">
        <f>0</f>
        <v>0</v>
      </c>
      <c r="E87" s="3"/>
      <c r="F87" s="20"/>
      <c r="G87" s="3"/>
      <c r="H87" s="3">
        <f>-572.63</f>
        <v>-572.63</v>
      </c>
      <c r="I87" s="3"/>
      <c r="J87" s="20"/>
      <c r="K87" s="3"/>
      <c r="L87" s="3">
        <f t="shared" si="8"/>
        <v>572.63</v>
      </c>
      <c r="M87" s="3"/>
      <c r="N87" s="20">
        <f t="shared" si="9"/>
        <v>-1</v>
      </c>
      <c r="O87" s="12"/>
      <c r="P87" s="3">
        <f>0</f>
        <v>0</v>
      </c>
      <c r="Q87" s="3"/>
      <c r="R87" s="20"/>
      <c r="S87" s="3"/>
      <c r="T87" s="3">
        <f>-5942.23</f>
        <v>-5942.23</v>
      </c>
      <c r="U87" s="3"/>
      <c r="V87" s="20"/>
      <c r="W87" s="3"/>
      <c r="X87" s="3">
        <f t="shared" si="10"/>
        <v>5942.23</v>
      </c>
      <c r="Y87" s="3"/>
      <c r="Z87" s="20">
        <f t="shared" si="11"/>
        <v>-1</v>
      </c>
    </row>
    <row r="88" spans="1:26" s="69" customFormat="1" ht="15" hidden="1" customHeight="1" outlineLevel="1" x14ac:dyDescent="0.3">
      <c r="A88" s="42"/>
      <c r="B88" s="12" t="str">
        <f>CONCATENATE("          ","4244"," - ","SALES RETURN TAXABLE-ACCESSORI")</f>
        <v xml:space="preserve">          4244 - SALES RETURN TAXABLE-ACCESSORI</v>
      </c>
      <c r="C88" s="12"/>
      <c r="D88" s="3">
        <f>0</f>
        <v>0</v>
      </c>
      <c r="E88" s="3"/>
      <c r="F88" s="20"/>
      <c r="G88" s="3"/>
      <c r="H88" s="3">
        <f>-240.42</f>
        <v>-240.42</v>
      </c>
      <c r="I88" s="3"/>
      <c r="J88" s="20"/>
      <c r="K88" s="3"/>
      <c r="L88" s="3">
        <f t="shared" si="8"/>
        <v>240.42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-1235.26</f>
        <v>-1235.26</v>
      </c>
      <c r="U88" s="3"/>
      <c r="V88" s="20"/>
      <c r="W88" s="3"/>
      <c r="X88" s="3">
        <f t="shared" si="10"/>
        <v>1235.26</v>
      </c>
      <c r="Y88" s="3"/>
      <c r="Z88" s="20">
        <f t="shared" si="11"/>
        <v>-1</v>
      </c>
    </row>
    <row r="89" spans="1:26" s="69" customFormat="1" ht="15" hidden="1" customHeight="1" outlineLevel="1" x14ac:dyDescent="0.3">
      <c r="A89" s="42"/>
      <c r="B89" s="12" t="str">
        <f>CONCATENATE("          ","4245"," - ","SALES RETURN TAXABLE-SPECIAL O")</f>
        <v xml:space="preserve">          4245 - SALES RETURN TAXABLE-SPECIAL O</v>
      </c>
      <c r="C89" s="12"/>
      <c r="D89" s="3">
        <f>0</f>
        <v>0</v>
      </c>
      <c r="E89" s="3"/>
      <c r="F89" s="20"/>
      <c r="G89" s="3"/>
      <c r="H89" s="3">
        <f>0</f>
        <v>0</v>
      </c>
      <c r="I89" s="3"/>
      <c r="J89" s="20"/>
      <c r="K89" s="3"/>
      <c r="L89" s="3">
        <f t="shared" si="8"/>
        <v>0</v>
      </c>
      <c r="M89" s="3"/>
      <c r="N89" s="20">
        <f t="shared" si="9"/>
        <v>0</v>
      </c>
      <c r="O89" s="12"/>
      <c r="P89" s="3">
        <f>0</f>
        <v>0</v>
      </c>
      <c r="Q89" s="3"/>
      <c r="R89" s="20"/>
      <c r="S89" s="3"/>
      <c r="T89" s="3">
        <f>-11353.59</f>
        <v>-11353.59</v>
      </c>
      <c r="U89" s="3"/>
      <c r="V89" s="20"/>
      <c r="W89" s="3"/>
      <c r="X89" s="3">
        <f t="shared" si="10"/>
        <v>11353.59</v>
      </c>
      <c r="Y89" s="3"/>
      <c r="Z89" s="20">
        <f t="shared" si="11"/>
        <v>-1</v>
      </c>
    </row>
    <row r="90" spans="1:26" s="69" customFormat="1" ht="15" hidden="1" customHeight="1" outlineLevel="1" x14ac:dyDescent="0.3">
      <c r="A90" s="42"/>
      <c r="B90" s="12" t="str">
        <f>CONCATENATE("          ","4281"," - ","SALES RETURN TAXABLE-ELECTRONI")</f>
        <v xml:space="preserve">          4281 - SALES RETURN TAXABLE-ELECTRONI</v>
      </c>
      <c r="C90" s="12"/>
      <c r="D90" s="3">
        <f>0</f>
        <v>0</v>
      </c>
      <c r="E90" s="3"/>
      <c r="F90" s="20"/>
      <c r="G90" s="3"/>
      <c r="H90" s="3">
        <f>0</f>
        <v>0</v>
      </c>
      <c r="I90" s="3"/>
      <c r="J90" s="20"/>
      <c r="K90" s="3"/>
      <c r="L90" s="3">
        <f t="shared" si="8"/>
        <v>0</v>
      </c>
      <c r="M90" s="3"/>
      <c r="N90" s="20">
        <f t="shared" si="9"/>
        <v>0</v>
      </c>
      <c r="O90" s="12"/>
      <c r="P90" s="3">
        <f>0</f>
        <v>0</v>
      </c>
      <c r="Q90" s="3"/>
      <c r="R90" s="20"/>
      <c r="S90" s="3"/>
      <c r="T90" s="3">
        <f>-14762.14</f>
        <v>-14762.14</v>
      </c>
      <c r="U90" s="3"/>
      <c r="V90" s="20"/>
      <c r="W90" s="3"/>
      <c r="X90" s="3">
        <f t="shared" si="10"/>
        <v>14762.14</v>
      </c>
      <c r="Y90" s="3"/>
      <c r="Z90" s="20">
        <f t="shared" si="11"/>
        <v>-1</v>
      </c>
    </row>
    <row r="91" spans="1:26" s="69" customFormat="1" ht="15" hidden="1" customHeight="1" outlineLevel="1" x14ac:dyDescent="0.3">
      <c r="A91" s="42"/>
      <c r="B91" s="12" t="str">
        <f>CONCATENATE("          ","4282"," - ","SALES RETURN TAXABLE-COMPUTER")</f>
        <v xml:space="preserve">          4282 - SALES RETURN TAXABLE-COMPUTER</v>
      </c>
      <c r="C91" s="12"/>
      <c r="D91" s="3">
        <f>0</f>
        <v>0</v>
      </c>
      <c r="E91" s="3"/>
      <c r="F91" s="20"/>
      <c r="G91" s="3"/>
      <c r="H91" s="3">
        <f>-43137</f>
        <v>-43137</v>
      </c>
      <c r="I91" s="3"/>
      <c r="J91" s="20"/>
      <c r="K91" s="3"/>
      <c r="L91" s="3">
        <f t="shared" si="8"/>
        <v>43137</v>
      </c>
      <c r="M91" s="3"/>
      <c r="N91" s="20">
        <f t="shared" si="9"/>
        <v>-1</v>
      </c>
      <c r="O91" s="12"/>
      <c r="P91" s="3">
        <f>0</f>
        <v>0</v>
      </c>
      <c r="Q91" s="3"/>
      <c r="R91" s="20"/>
      <c r="S91" s="3"/>
      <c r="T91" s="3">
        <f>-172765.16</f>
        <v>-172765.16</v>
      </c>
      <c r="U91" s="3"/>
      <c r="V91" s="20"/>
      <c r="W91" s="3"/>
      <c r="X91" s="3">
        <f t="shared" si="10"/>
        <v>172765.16</v>
      </c>
      <c r="Y91" s="3"/>
      <c r="Z91" s="20">
        <f t="shared" si="11"/>
        <v>-1</v>
      </c>
    </row>
    <row r="92" spans="1:26" s="69" customFormat="1" ht="15" hidden="1" customHeight="1" outlineLevel="1" x14ac:dyDescent="0.3">
      <c r="A92" s="42"/>
      <c r="B92" s="12" t="str">
        <f>CONCATENATE("          ","4283"," - ","SALES RETURN TAXABLE-COMPUTER")</f>
        <v xml:space="preserve">          4283 - SALES RETURN TAXABLE-COMPUTER</v>
      </c>
      <c r="C92" s="12"/>
      <c r="D92" s="3">
        <f>0</f>
        <v>0</v>
      </c>
      <c r="E92" s="3"/>
      <c r="F92" s="20"/>
      <c r="G92" s="3"/>
      <c r="H92" s="3">
        <f>-389.97</f>
        <v>-389.97</v>
      </c>
      <c r="I92" s="3"/>
      <c r="J92" s="20"/>
      <c r="K92" s="3"/>
      <c r="L92" s="3">
        <f t="shared" si="8"/>
        <v>389.97</v>
      </c>
      <c r="M92" s="3"/>
      <c r="N92" s="20">
        <f t="shared" si="9"/>
        <v>-1</v>
      </c>
      <c r="O92" s="12"/>
      <c r="P92" s="3">
        <f>0</f>
        <v>0</v>
      </c>
      <c r="Q92" s="3"/>
      <c r="R92" s="20"/>
      <c r="S92" s="3"/>
      <c r="T92" s="3">
        <f>-3749.25</f>
        <v>-3749.25</v>
      </c>
      <c r="U92" s="3"/>
      <c r="V92" s="20"/>
      <c r="W92" s="3"/>
      <c r="X92" s="3">
        <f t="shared" si="10"/>
        <v>3749.25</v>
      </c>
      <c r="Y92" s="3"/>
      <c r="Z92" s="20">
        <f t="shared" si="11"/>
        <v>-1</v>
      </c>
    </row>
    <row r="93" spans="1:26" s="69" customFormat="1" ht="15" hidden="1" customHeight="1" outlineLevel="1" x14ac:dyDescent="0.3">
      <c r="A93" s="42"/>
      <c r="B93" s="12" t="str">
        <f>CONCATENATE("          ","4285"," - ","SALES RETURN TAXABLE-SOFTWARE")</f>
        <v xml:space="preserve">          4285 - SALES RETURN TAXABLE-SOFTWARE</v>
      </c>
      <c r="C93" s="12"/>
      <c r="D93" s="3">
        <f>0</f>
        <v>0</v>
      </c>
      <c r="E93" s="3"/>
      <c r="F93" s="20"/>
      <c r="G93" s="3"/>
      <c r="H93" s="3">
        <f>-149.99</f>
        <v>-149.99</v>
      </c>
      <c r="I93" s="3"/>
      <c r="J93" s="20"/>
      <c r="K93" s="3"/>
      <c r="L93" s="3">
        <f t="shared" si="8"/>
        <v>149.99</v>
      </c>
      <c r="M93" s="3"/>
      <c r="N93" s="20">
        <f t="shared" si="9"/>
        <v>-1</v>
      </c>
      <c r="O93" s="12"/>
      <c r="P93" s="3">
        <f>0</f>
        <v>0</v>
      </c>
      <c r="Q93" s="3"/>
      <c r="R93" s="20"/>
      <c r="S93" s="3"/>
      <c r="T93" s="3">
        <f>-991.96</f>
        <v>-991.96</v>
      </c>
      <c r="U93" s="3"/>
      <c r="V93" s="20"/>
      <c r="W93" s="3"/>
      <c r="X93" s="3">
        <f t="shared" si="10"/>
        <v>991.96</v>
      </c>
      <c r="Y93" s="3"/>
      <c r="Z93" s="20">
        <f t="shared" si="11"/>
        <v>-1</v>
      </c>
    </row>
    <row r="94" spans="1:26" s="69" customFormat="1" ht="15" hidden="1" customHeight="1" outlineLevel="1" x14ac:dyDescent="0.3">
      <c r="A94" s="42"/>
      <c r="B94" s="12" t="str">
        <f>CONCATENATE("          ","4286"," - ","SALES RETURN TAXABLE-COMPUTER")</f>
        <v xml:space="preserve">          4286 - SALES RETURN TAXABLE-COMPUTER</v>
      </c>
      <c r="C94" s="12"/>
      <c r="D94" s="3">
        <f>0</f>
        <v>0</v>
      </c>
      <c r="E94" s="3"/>
      <c r="F94" s="20"/>
      <c r="G94" s="3"/>
      <c r="H94" s="3">
        <f>-39.98</f>
        <v>-39.979999999999997</v>
      </c>
      <c r="I94" s="3"/>
      <c r="J94" s="20"/>
      <c r="K94" s="3"/>
      <c r="L94" s="3">
        <f t="shared" si="8"/>
        <v>39.979999999999997</v>
      </c>
      <c r="M94" s="3"/>
      <c r="N94" s="20">
        <f t="shared" si="9"/>
        <v>-1</v>
      </c>
      <c r="O94" s="12"/>
      <c r="P94" s="3">
        <f>0</f>
        <v>0</v>
      </c>
      <c r="Q94" s="3"/>
      <c r="R94" s="20"/>
      <c r="S94" s="3"/>
      <c r="T94" s="3">
        <f>-4802.29</f>
        <v>-4802.29</v>
      </c>
      <c r="U94" s="3"/>
      <c r="V94" s="20"/>
      <c r="W94" s="3"/>
      <c r="X94" s="3">
        <f t="shared" si="10"/>
        <v>4802.29</v>
      </c>
      <c r="Y94" s="3"/>
      <c r="Z94" s="20">
        <f t="shared" si="11"/>
        <v>-1</v>
      </c>
    </row>
    <row r="95" spans="1:26" s="69" customFormat="1" ht="15" hidden="1" customHeight="1" outlineLevel="1" x14ac:dyDescent="0.3">
      <c r="A95" s="42"/>
      <c r="B95" s="12" t="str">
        <f>CONCATENATE("          ","4300"," - ","NON-TAX RETURNS")</f>
        <v xml:space="preserve">          4300 - NON-TAX RETURNS</v>
      </c>
      <c r="C95" s="12"/>
      <c r="D95" s="3">
        <f>0</f>
        <v>0</v>
      </c>
      <c r="E95" s="3"/>
      <c r="F95" s="20"/>
      <c r="G95" s="3"/>
      <c r="H95" s="3">
        <f>0</f>
        <v>0</v>
      </c>
      <c r="I95" s="3"/>
      <c r="J95" s="20"/>
      <c r="K95" s="3"/>
      <c r="L95" s="3">
        <f t="shared" si="8"/>
        <v>0</v>
      </c>
      <c r="M95" s="3"/>
      <c r="N95" s="20">
        <f t="shared" si="9"/>
        <v>0</v>
      </c>
      <c r="O95" s="12"/>
      <c r="P95" s="3">
        <f>-32361.72</f>
        <v>-32361.72</v>
      </c>
      <c r="Q95" s="3"/>
      <c r="R95" s="20"/>
      <c r="S95" s="3"/>
      <c r="T95" s="3">
        <f>0</f>
        <v>0</v>
      </c>
      <c r="U95" s="3"/>
      <c r="V95" s="20"/>
      <c r="W95" s="3"/>
      <c r="X95" s="3">
        <f t="shared" si="10"/>
        <v>-32361.72</v>
      </c>
      <c r="Y95" s="3"/>
      <c r="Z95" s="20">
        <f t="shared" si="11"/>
        <v>0</v>
      </c>
    </row>
    <row r="96" spans="1:26" s="69" customFormat="1" ht="15" hidden="1" customHeight="1" outlineLevel="1" x14ac:dyDescent="0.3">
      <c r="A96" s="42"/>
      <c r="B96" s="12" t="str">
        <f>CONCATENATE("          ","4301"," - ","SALES RETURN NON TAXABLE-NEW T")</f>
        <v xml:space="preserve">          4301 - SALES RETURN NON TAXABLE-NEW T</v>
      </c>
      <c r="C96" s="12"/>
      <c r="D96" s="3">
        <f>0</f>
        <v>0</v>
      </c>
      <c r="E96" s="3"/>
      <c r="F96" s="20"/>
      <c r="G96" s="3"/>
      <c r="H96" s="3">
        <f>0</f>
        <v>0</v>
      </c>
      <c r="I96" s="3"/>
      <c r="J96" s="20"/>
      <c r="K96" s="3"/>
      <c r="L96" s="3">
        <f t="shared" si="8"/>
        <v>0</v>
      </c>
      <c r="M96" s="3"/>
      <c r="N96" s="20">
        <f t="shared" si="9"/>
        <v>0</v>
      </c>
      <c r="O96" s="12"/>
      <c r="P96" s="3">
        <f>0</f>
        <v>0</v>
      </c>
      <c r="Q96" s="3"/>
      <c r="R96" s="20"/>
      <c r="S96" s="3"/>
      <c r="T96" s="3">
        <f>-3237.29</f>
        <v>-3237.29</v>
      </c>
      <c r="U96" s="3"/>
      <c r="V96" s="20"/>
      <c r="W96" s="3"/>
      <c r="X96" s="3">
        <f t="shared" si="10"/>
        <v>3237.29</v>
      </c>
      <c r="Y96" s="3"/>
      <c r="Z96" s="20">
        <f t="shared" si="11"/>
        <v>-1</v>
      </c>
    </row>
    <row r="97" spans="1:26" s="69" customFormat="1" ht="15" hidden="1" customHeight="1" outlineLevel="1" x14ac:dyDescent="0.3">
      <c r="A97" s="42"/>
      <c r="B97" s="12" t="str">
        <f>CONCATENATE("          ","4302"," - ","SALES RETURN NON TAXABLE-TEXT")</f>
        <v xml:space="preserve">          4302 - SALES RETURN NON TAXABLE-TEXT</v>
      </c>
      <c r="C97" s="12"/>
      <c r="D97" s="3">
        <f>0</f>
        <v>0</v>
      </c>
      <c r="E97" s="3"/>
      <c r="F97" s="20"/>
      <c r="G97" s="3"/>
      <c r="H97" s="3">
        <f>-270.87</f>
        <v>-270.87</v>
      </c>
      <c r="I97" s="3"/>
      <c r="J97" s="20"/>
      <c r="K97" s="3"/>
      <c r="L97" s="3">
        <f t="shared" si="8"/>
        <v>270.87</v>
      </c>
      <c r="M97" s="3"/>
      <c r="N97" s="20">
        <f t="shared" si="9"/>
        <v>-1</v>
      </c>
      <c r="O97" s="12"/>
      <c r="P97" s="3">
        <f>0</f>
        <v>0</v>
      </c>
      <c r="Q97" s="3"/>
      <c r="R97" s="20"/>
      <c r="S97" s="3"/>
      <c r="T97" s="3">
        <f>-2344.35</f>
        <v>-2344.35</v>
      </c>
      <c r="U97" s="3"/>
      <c r="V97" s="20"/>
      <c r="W97" s="3"/>
      <c r="X97" s="3">
        <f t="shared" si="10"/>
        <v>2344.35</v>
      </c>
      <c r="Y97" s="3"/>
      <c r="Z97" s="20">
        <f t="shared" si="11"/>
        <v>-1</v>
      </c>
    </row>
    <row r="98" spans="1:26" s="69" customFormat="1" ht="15" hidden="1" customHeight="1" outlineLevel="1" x14ac:dyDescent="0.3">
      <c r="A98" s="42"/>
      <c r="B98" s="12" t="str">
        <f>CONCATENATE("          ","4304"," - ","SALES RETURN NON TAXABLE-DIGIT")</f>
        <v xml:space="preserve">          4304 - SALES RETURN NON TAXABLE-DIGIT</v>
      </c>
      <c r="C98" s="12"/>
      <c r="D98" s="3">
        <f>0</f>
        <v>0</v>
      </c>
      <c r="E98" s="3"/>
      <c r="F98" s="20"/>
      <c r="G98" s="3"/>
      <c r="H98" s="3">
        <f>-275.04</f>
        <v>-275.04000000000002</v>
      </c>
      <c r="I98" s="3"/>
      <c r="J98" s="20"/>
      <c r="K98" s="3"/>
      <c r="L98" s="3">
        <f t="shared" si="8"/>
        <v>275.04000000000002</v>
      </c>
      <c r="M98" s="3"/>
      <c r="N98" s="20">
        <f t="shared" si="9"/>
        <v>-1</v>
      </c>
      <c r="O98" s="12"/>
      <c r="P98" s="3">
        <f>0</f>
        <v>0</v>
      </c>
      <c r="Q98" s="3"/>
      <c r="R98" s="20"/>
      <c r="S98" s="3"/>
      <c r="T98" s="3">
        <f>-27543.76</f>
        <v>-27543.759999999998</v>
      </c>
      <c r="U98" s="3"/>
      <c r="V98" s="20"/>
      <c r="W98" s="3"/>
      <c r="X98" s="3">
        <f t="shared" si="10"/>
        <v>27543.759999999998</v>
      </c>
      <c r="Y98" s="3"/>
      <c r="Z98" s="20">
        <f t="shared" si="11"/>
        <v>-1</v>
      </c>
    </row>
    <row r="99" spans="1:26" s="69" customFormat="1" ht="15" hidden="1" customHeight="1" outlineLevel="1" x14ac:dyDescent="0.3">
      <c r="A99" s="42"/>
      <c r="B99" s="12" t="str">
        <f>CONCATENATE("          ","4340"," - ","SALES RETURN NON TAXABLE-LOGO")</f>
        <v xml:space="preserve">          4340 - SALES RETURN NON TAXABLE-LOGO</v>
      </c>
      <c r="C99" s="12"/>
      <c r="D99" s="3">
        <f>0</f>
        <v>0</v>
      </c>
      <c r="E99" s="3"/>
      <c r="F99" s="20"/>
      <c r="G99" s="3"/>
      <c r="H99" s="3">
        <f>-350.55</f>
        <v>-350.55</v>
      </c>
      <c r="I99" s="3"/>
      <c r="J99" s="20"/>
      <c r="K99" s="3"/>
      <c r="L99" s="3">
        <f t="shared" si="8"/>
        <v>350.55</v>
      </c>
      <c r="M99" s="3"/>
      <c r="N99" s="20">
        <f t="shared" si="9"/>
        <v>-1</v>
      </c>
      <c r="O99" s="12"/>
      <c r="P99" s="3">
        <f>0</f>
        <v>0</v>
      </c>
      <c r="Q99" s="3"/>
      <c r="R99" s="20"/>
      <c r="S99" s="3"/>
      <c r="T99" s="3">
        <f>-2643.39</f>
        <v>-2643.39</v>
      </c>
      <c r="U99" s="3"/>
      <c r="V99" s="20"/>
      <c r="W99" s="3"/>
      <c r="X99" s="3">
        <f t="shared" si="10"/>
        <v>2643.39</v>
      </c>
      <c r="Y99" s="3"/>
      <c r="Z99" s="20">
        <f t="shared" si="11"/>
        <v>-1</v>
      </c>
    </row>
    <row r="100" spans="1:26" s="69" customFormat="1" ht="15" hidden="1" customHeight="1" outlineLevel="1" x14ac:dyDescent="0.3">
      <c r="A100" s="42"/>
      <c r="B100" s="12" t="str">
        <f>CONCATENATE("          ","4341"," - ","SALES RETURN NON TAXABLE-LOGO")</f>
        <v xml:space="preserve">          4341 - SALES RETURN NON TAXABLE-LOGO</v>
      </c>
      <c r="C100" s="12"/>
      <c r="D100" s="3">
        <f>0</f>
        <v>0</v>
      </c>
      <c r="E100" s="3"/>
      <c r="F100" s="20"/>
      <c r="G100" s="3"/>
      <c r="H100" s="3">
        <f>-29.9</f>
        <v>-29.9</v>
      </c>
      <c r="I100" s="3"/>
      <c r="J100" s="20"/>
      <c r="K100" s="3"/>
      <c r="L100" s="3">
        <f t="shared" si="8"/>
        <v>29.9</v>
      </c>
      <c r="M100" s="3"/>
      <c r="N100" s="20">
        <f t="shared" si="9"/>
        <v>-1</v>
      </c>
      <c r="O100" s="12"/>
      <c r="P100" s="3">
        <f>0</f>
        <v>0</v>
      </c>
      <c r="Q100" s="3"/>
      <c r="R100" s="20"/>
      <c r="S100" s="3"/>
      <c r="T100" s="3">
        <f>-392.54</f>
        <v>-392.54</v>
      </c>
      <c r="U100" s="3"/>
      <c r="V100" s="20"/>
      <c r="W100" s="3"/>
      <c r="X100" s="3">
        <f t="shared" si="10"/>
        <v>392.54</v>
      </c>
      <c r="Y100" s="3"/>
      <c r="Z100" s="20">
        <f t="shared" si="11"/>
        <v>-1</v>
      </c>
    </row>
    <row r="101" spans="1:26" s="69" customFormat="1" ht="15" hidden="1" customHeight="1" outlineLevel="1" x14ac:dyDescent="0.3">
      <c r="A101" s="42"/>
      <c r="B101" s="12" t="str">
        <f>CONCATENATE("          ","4342"," - ","SALES RETURN NON TAXABLE-EVERY")</f>
        <v xml:space="preserve">          4342 - SALES RETURN NON TAXABLE-EVERY</v>
      </c>
      <c r="C101" s="12"/>
      <c r="D101" s="3">
        <f>0</f>
        <v>0</v>
      </c>
      <c r="E101" s="3"/>
      <c r="F101" s="20"/>
      <c r="G101" s="3"/>
      <c r="H101" s="3">
        <f>0</f>
        <v>0</v>
      </c>
      <c r="I101" s="3"/>
      <c r="J101" s="20"/>
      <c r="K101" s="3"/>
      <c r="L101" s="3">
        <f t="shared" si="8"/>
        <v>0</v>
      </c>
      <c r="M101" s="3"/>
      <c r="N101" s="20">
        <f t="shared" si="9"/>
        <v>0</v>
      </c>
      <c r="O101" s="12"/>
      <c r="P101" s="3">
        <f>0</f>
        <v>0</v>
      </c>
      <c r="Q101" s="3"/>
      <c r="R101" s="20"/>
      <c r="S101" s="3"/>
      <c r="T101" s="3">
        <f>-118.7</f>
        <v>-118.7</v>
      </c>
      <c r="U101" s="3"/>
      <c r="V101" s="20"/>
      <c r="W101" s="3"/>
      <c r="X101" s="3">
        <f t="shared" si="10"/>
        <v>118.7</v>
      </c>
      <c r="Y101" s="3"/>
      <c r="Z101" s="20">
        <f t="shared" si="11"/>
        <v>-1</v>
      </c>
    </row>
    <row r="102" spans="1:26" s="69" customFormat="1" ht="15" hidden="1" customHeight="1" outlineLevel="1" x14ac:dyDescent="0.3">
      <c r="A102" s="42"/>
      <c r="B102" s="12" t="str">
        <f>CONCATENATE("          ","4381"," - ","SALES RETURN NON TAXABLE-ELECT")</f>
        <v xml:space="preserve">          4381 - SALES RETURN NON TAXABLE-ELECT</v>
      </c>
      <c r="C102" s="12"/>
      <c r="D102" s="3">
        <f>0</f>
        <v>0</v>
      </c>
      <c r="E102" s="3"/>
      <c r="F102" s="20"/>
      <c r="G102" s="3"/>
      <c r="H102" s="3">
        <f>0</f>
        <v>0</v>
      </c>
      <c r="I102" s="3"/>
      <c r="J102" s="20"/>
      <c r="K102" s="3"/>
      <c r="L102" s="3">
        <f t="shared" si="8"/>
        <v>0</v>
      </c>
      <c r="M102" s="3"/>
      <c r="N102" s="20">
        <f t="shared" si="9"/>
        <v>0</v>
      </c>
      <c r="O102" s="12"/>
      <c r="P102" s="3">
        <f>0</f>
        <v>0</v>
      </c>
      <c r="Q102" s="3"/>
      <c r="R102" s="20"/>
      <c r="S102" s="3"/>
      <c r="T102" s="3">
        <f>-5624.15</f>
        <v>-5624.15</v>
      </c>
      <c r="U102" s="3"/>
      <c r="V102" s="20"/>
      <c r="W102" s="3"/>
      <c r="X102" s="3">
        <f t="shared" si="10"/>
        <v>5624.15</v>
      </c>
      <c r="Y102" s="3"/>
      <c r="Z102" s="20">
        <f t="shared" si="11"/>
        <v>-1</v>
      </c>
    </row>
    <row r="103" spans="1:26" s="69" customFormat="1" ht="15" hidden="1" customHeight="1" outlineLevel="1" x14ac:dyDescent="0.3">
      <c r="A103" s="42"/>
      <c r="B103" s="12" t="str">
        <f>CONCATENATE("          ","4500"," - ","SALES DISCOUNT")</f>
        <v xml:space="preserve">          4500 - SALES DISCOUNT</v>
      </c>
      <c r="C103" s="12"/>
      <c r="D103" s="3">
        <f>-9600.86</f>
        <v>-9600.86</v>
      </c>
      <c r="E103" s="3"/>
      <c r="F103" s="20"/>
      <c r="G103" s="3"/>
      <c r="H103" s="3">
        <f>0</f>
        <v>0</v>
      </c>
      <c r="I103" s="3"/>
      <c r="J103" s="20"/>
      <c r="K103" s="3"/>
      <c r="L103" s="3">
        <f t="shared" si="8"/>
        <v>-9600.86</v>
      </c>
      <c r="M103" s="3"/>
      <c r="N103" s="20">
        <f t="shared" si="9"/>
        <v>0</v>
      </c>
      <c r="O103" s="12"/>
      <c r="P103" s="3">
        <f>-93065.56</f>
        <v>-93065.56</v>
      </c>
      <c r="Q103" s="3"/>
      <c r="R103" s="20"/>
      <c r="S103" s="3"/>
      <c r="T103" s="3">
        <f>0</f>
        <v>0</v>
      </c>
      <c r="U103" s="3"/>
      <c r="V103" s="20"/>
      <c r="W103" s="3"/>
      <c r="X103" s="3">
        <f t="shared" si="10"/>
        <v>-93065.56</v>
      </c>
      <c r="Y103" s="3"/>
      <c r="Z103" s="20">
        <f t="shared" si="11"/>
        <v>0</v>
      </c>
    </row>
    <row r="104" spans="1:26" ht="15" customHeight="1" x14ac:dyDescent="0.3">
      <c r="A104" s="10"/>
      <c r="B104" s="11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collapsed="1" x14ac:dyDescent="0.3">
      <c r="A105" s="11"/>
      <c r="B105" s="28" t="s">
        <v>287</v>
      </c>
      <c r="C105" s="11"/>
      <c r="D105" s="5">
        <f>SUM(OSRRefD16x_0)</f>
        <v>1101014.44</v>
      </c>
      <c r="E105" s="5"/>
      <c r="F105" s="13">
        <f t="shared" ref="F105:F136" si="12">IF(D$12=0,0,D105/D$12)</f>
        <v>0.38387522212041741</v>
      </c>
      <c r="G105" s="5"/>
      <c r="H105" s="5">
        <f>SUM(OSRRefH16x_0)</f>
        <v>492354.00000000006</v>
      </c>
      <c r="I105" s="5"/>
      <c r="J105" s="13">
        <f t="shared" ref="J105:J136" si="13">IF(H$12=0,0,H105/H$12)</f>
        <v>0.60503089392781884</v>
      </c>
      <c r="K105" s="5"/>
      <c r="L105" s="5">
        <f t="shared" ref="L105:L136" si="14">+D105-H105</f>
        <v>608660.43999999994</v>
      </c>
      <c r="M105" s="5"/>
      <c r="N105" s="13">
        <f t="shared" ref="N105:N136" si="15">IF(H105=0,0,L105/H105)</f>
        <v>1.236225236313709</v>
      </c>
      <c r="O105" s="11"/>
      <c r="P105" s="5">
        <f>SUM(OSRRefP16x_0)</f>
        <v>7597634.3300000001</v>
      </c>
      <c r="Q105" s="5"/>
      <c r="R105" s="13">
        <f t="shared" ref="R105:R136" si="16">IF(P$12=0,0,P105/P$12)</f>
        <v>0.41035814782081076</v>
      </c>
      <c r="S105" s="5"/>
      <c r="T105" s="5">
        <f>SUM(OSRRefT16x_0)</f>
        <v>4992344.28</v>
      </c>
      <c r="U105" s="5"/>
      <c r="V105" s="13">
        <f t="shared" ref="V105:V136" si="17">IF(T$12=0,0,T105/T$12)</f>
        <v>0.62677320423499217</v>
      </c>
      <c r="W105" s="5"/>
      <c r="X105" s="5">
        <f t="shared" ref="X105:X136" si="18">+P105-T105</f>
        <v>2605290.0499999998</v>
      </c>
      <c r="Y105" s="5"/>
      <c r="Z105" s="13">
        <f t="shared" ref="Z105:Z136" si="19">IF(T105=0,0,X105/T105)</f>
        <v>0.52185704828834434</v>
      </c>
    </row>
    <row r="106" spans="1:26" s="69" customFormat="1" ht="15" hidden="1" customHeight="1" outlineLevel="1" x14ac:dyDescent="0.3">
      <c r="A106" s="42"/>
      <c r="B106" s="12" t="str">
        <f>CONCATENATE("          ","5000"," - ","PURCHASES @ COST")</f>
        <v xml:space="preserve">          5000 - PURCHASES @ COST</v>
      </c>
      <c r="C106" s="12"/>
      <c r="D106" s="3">
        <v>496131.13</v>
      </c>
      <c r="E106" s="3"/>
      <c r="F106" s="20">
        <f t="shared" si="12"/>
        <v>0.1729790644068244</v>
      </c>
      <c r="G106" s="3"/>
      <c r="H106" s="3">
        <v>0</v>
      </c>
      <c r="I106" s="3"/>
      <c r="J106" s="20">
        <f t="shared" si="13"/>
        <v>0</v>
      </c>
      <c r="K106" s="3"/>
      <c r="L106" s="3">
        <f t="shared" si="14"/>
        <v>496131.13</v>
      </c>
      <c r="M106" s="3"/>
      <c r="N106" s="20">
        <f t="shared" si="15"/>
        <v>0</v>
      </c>
      <c r="O106" s="12"/>
      <c r="P106" s="3">
        <v>5071603.03</v>
      </c>
      <c r="Q106" s="3"/>
      <c r="R106" s="20">
        <f t="shared" si="16"/>
        <v>0.27392389992441396</v>
      </c>
      <c r="S106" s="3"/>
      <c r="T106" s="3">
        <v>0</v>
      </c>
      <c r="U106" s="3"/>
      <c r="V106" s="20">
        <f t="shared" si="17"/>
        <v>0</v>
      </c>
      <c r="W106" s="3"/>
      <c r="X106" s="3">
        <f t="shared" si="18"/>
        <v>5071603.03</v>
      </c>
      <c r="Y106" s="3"/>
      <c r="Z106" s="20">
        <f t="shared" si="19"/>
        <v>0</v>
      </c>
    </row>
    <row r="107" spans="1:26" s="69" customFormat="1" ht="15" hidden="1" customHeight="1" outlineLevel="1" x14ac:dyDescent="0.3">
      <c r="A107" s="42"/>
      <c r="B107" s="12" t="str">
        <f>CONCATENATE("          ","5001"," - ","PURCHASES @ COST-NEW TEXT")</f>
        <v xml:space="preserve">          5001 - PURCHASES @ COST-NEW TEXT</v>
      </c>
      <c r="C107" s="12"/>
      <c r="D107" s="3"/>
      <c r="E107" s="3"/>
      <c r="F107" s="20">
        <f t="shared" si="12"/>
        <v>0</v>
      </c>
      <c r="G107" s="3"/>
      <c r="H107" s="3">
        <v>-290899.24</v>
      </c>
      <c r="I107" s="3"/>
      <c r="J107" s="20">
        <f t="shared" si="13"/>
        <v>-0.35747252428155979</v>
      </c>
      <c r="K107" s="3"/>
      <c r="L107" s="3">
        <f t="shared" si="14"/>
        <v>290899.24</v>
      </c>
      <c r="M107" s="3"/>
      <c r="N107" s="20">
        <f t="shared" si="15"/>
        <v>-1</v>
      </c>
      <c r="O107" s="12"/>
      <c r="P107" s="3">
        <v>0</v>
      </c>
      <c r="Q107" s="3"/>
      <c r="R107" s="20">
        <f t="shared" si="16"/>
        <v>0</v>
      </c>
      <c r="S107" s="3"/>
      <c r="T107" s="3">
        <v>1035516.4</v>
      </c>
      <c r="U107" s="3"/>
      <c r="V107" s="20">
        <f t="shared" si="17"/>
        <v>0.1300058440813068</v>
      </c>
      <c r="W107" s="3"/>
      <c r="X107" s="3">
        <f t="shared" si="18"/>
        <v>-1035516.4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","5002"," - ","PURCHASES @ COST-USED TEXT")</f>
        <v xml:space="preserve">          5002 - PURCHASES @ COST-USED TEXT</v>
      </c>
      <c r="C108" s="12"/>
      <c r="D108" s="3"/>
      <c r="E108" s="3"/>
      <c r="F108" s="20">
        <f t="shared" si="12"/>
        <v>0</v>
      </c>
      <c r="G108" s="3"/>
      <c r="H108" s="3">
        <v>14728.45</v>
      </c>
      <c r="I108" s="3"/>
      <c r="J108" s="20">
        <f t="shared" si="13"/>
        <v>1.8099106069354939E-2</v>
      </c>
      <c r="K108" s="3"/>
      <c r="L108" s="3">
        <f t="shared" si="14"/>
        <v>-14728.45</v>
      </c>
      <c r="M108" s="3"/>
      <c r="N108" s="20">
        <f t="shared" si="15"/>
        <v>-1</v>
      </c>
      <c r="O108" s="12"/>
      <c r="P108" s="3">
        <v>0</v>
      </c>
      <c r="Q108" s="3"/>
      <c r="R108" s="20">
        <f t="shared" si="16"/>
        <v>0</v>
      </c>
      <c r="S108" s="3"/>
      <c r="T108" s="3">
        <v>397052.67</v>
      </c>
      <c r="U108" s="3"/>
      <c r="V108" s="20">
        <f t="shared" si="17"/>
        <v>4.9848720414361912E-2</v>
      </c>
      <c r="W108" s="3"/>
      <c r="X108" s="3">
        <f t="shared" si="18"/>
        <v>-397052.67</v>
      </c>
      <c r="Y108" s="3"/>
      <c r="Z108" s="20">
        <f t="shared" si="19"/>
        <v>-1</v>
      </c>
    </row>
    <row r="109" spans="1:26" s="69" customFormat="1" ht="15" hidden="1" customHeight="1" outlineLevel="1" x14ac:dyDescent="0.3">
      <c r="A109" s="42"/>
      <c r="B109" s="12" t="str">
        <f>CONCATENATE("          ","5003"," - ","PURCHASES @ COST-RENTAL TEXT")</f>
        <v xml:space="preserve">          5003 - PURCHASES @ COST-RENTAL TEXT</v>
      </c>
      <c r="C109" s="12"/>
      <c r="D109" s="3"/>
      <c r="E109" s="3"/>
      <c r="F109" s="20">
        <f t="shared" si="12"/>
        <v>0</v>
      </c>
      <c r="G109" s="3"/>
      <c r="H109" s="3"/>
      <c r="I109" s="3"/>
      <c r="J109" s="20">
        <f t="shared" si="13"/>
        <v>0</v>
      </c>
      <c r="K109" s="3"/>
      <c r="L109" s="3">
        <f t="shared" si="14"/>
        <v>0</v>
      </c>
      <c r="M109" s="3"/>
      <c r="N109" s="20">
        <f t="shared" si="15"/>
        <v>0</v>
      </c>
      <c r="O109" s="12"/>
      <c r="P109" s="3"/>
      <c r="Q109" s="3"/>
      <c r="R109" s="20">
        <f t="shared" si="16"/>
        <v>0</v>
      </c>
      <c r="S109" s="3"/>
      <c r="T109" s="3">
        <v>32.520000000000003</v>
      </c>
      <c r="U109" s="3"/>
      <c r="V109" s="20">
        <f t="shared" si="17"/>
        <v>4.0827842509535316E-6</v>
      </c>
      <c r="W109" s="3"/>
      <c r="X109" s="3">
        <f t="shared" si="18"/>
        <v>-32.520000000000003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","5004"," - ","PURCHASES @ COST-DIGITAL TEXT")</f>
        <v xml:space="preserve">          5004 - PURCHASES @ COST-DIGITAL TEXT</v>
      </c>
      <c r="C110" s="12"/>
      <c r="D110" s="3"/>
      <c r="E110" s="3"/>
      <c r="F110" s="20">
        <f t="shared" si="12"/>
        <v>0</v>
      </c>
      <c r="G110" s="3"/>
      <c r="H110" s="3">
        <v>-13446.08</v>
      </c>
      <c r="I110" s="3"/>
      <c r="J110" s="20">
        <f t="shared" si="13"/>
        <v>-1.6523261316501878E-2</v>
      </c>
      <c r="K110" s="3"/>
      <c r="L110" s="3">
        <f t="shared" si="14"/>
        <v>13446.08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206562.5</v>
      </c>
      <c r="U110" s="3"/>
      <c r="V110" s="20">
        <f t="shared" si="17"/>
        <v>2.5933275579261648E-2</v>
      </c>
      <c r="W110" s="3"/>
      <c r="X110" s="3">
        <f t="shared" si="18"/>
        <v>-206562.5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","5011"," - ","PURCHASES @ COST-NO VALUE TEXT")</f>
        <v xml:space="preserve">          5011 - PURCHASES @ COST-NO VALUE TEXT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67.17</v>
      </c>
      <c r="U111" s="3"/>
      <c r="V111" s="20">
        <f t="shared" si="17"/>
        <v>8.4329833375322471E-6</v>
      </c>
      <c r="W111" s="3"/>
      <c r="X111" s="3">
        <f t="shared" si="18"/>
        <v>-67.17</v>
      </c>
      <c r="Y111" s="3"/>
      <c r="Z111" s="20">
        <f t="shared" si="19"/>
        <v>-1</v>
      </c>
    </row>
    <row r="112" spans="1:26" s="69" customFormat="1" ht="15" hidden="1" customHeight="1" outlineLevel="1" x14ac:dyDescent="0.3">
      <c r="A112" s="42"/>
      <c r="B112" s="12" t="str">
        <f>CONCATENATE("          ","5013"," - ","PURCHASES @ COST-TRADE BOOKS")</f>
        <v xml:space="preserve">          5013 - PURCHASES @ COST-TRADE BOOKS</v>
      </c>
      <c r="C112" s="12"/>
      <c r="D112" s="3"/>
      <c r="E112" s="3"/>
      <c r="F112" s="20">
        <f t="shared" si="12"/>
        <v>0</v>
      </c>
      <c r="G112" s="3"/>
      <c r="H112" s="3">
        <v>2907.93</v>
      </c>
      <c r="I112" s="3"/>
      <c r="J112" s="20">
        <f t="shared" si="13"/>
        <v>3.5734197089482807E-3</v>
      </c>
      <c r="K112" s="3"/>
      <c r="L112" s="3">
        <f t="shared" si="14"/>
        <v>-2907.93</v>
      </c>
      <c r="M112" s="3"/>
      <c r="N112" s="20">
        <f t="shared" si="15"/>
        <v>-1</v>
      </c>
      <c r="O112" s="12"/>
      <c r="P112" s="3"/>
      <c r="Q112" s="3"/>
      <c r="R112" s="20">
        <f t="shared" si="16"/>
        <v>0</v>
      </c>
      <c r="S112" s="3"/>
      <c r="T112" s="3">
        <v>8870.02</v>
      </c>
      <c r="U112" s="3"/>
      <c r="V112" s="20">
        <f t="shared" si="17"/>
        <v>1.113603258353101E-3</v>
      </c>
      <c r="W112" s="3"/>
      <c r="X112" s="3">
        <f t="shared" si="18"/>
        <v>-8870.02</v>
      </c>
      <c r="Y112" s="3"/>
      <c r="Z112" s="20">
        <f t="shared" si="19"/>
        <v>-1</v>
      </c>
    </row>
    <row r="113" spans="1:26" s="69" customFormat="1" ht="15" hidden="1" customHeight="1" outlineLevel="1" x14ac:dyDescent="0.3">
      <c r="A113" s="42"/>
      <c r="B113" s="12" t="str">
        <f>CONCATENATE("          ","5014"," - ","PURCHASES @ COST-REMAINDERS")</f>
        <v xml:space="preserve">          5014 - PURCHASES @ COST-REMAINDERS</v>
      </c>
      <c r="C113" s="12"/>
      <c r="D113" s="3"/>
      <c r="E113" s="3"/>
      <c r="F113" s="20">
        <f t="shared" si="12"/>
        <v>0</v>
      </c>
      <c r="G113" s="3"/>
      <c r="H113" s="3"/>
      <c r="I113" s="3"/>
      <c r="J113" s="20">
        <f t="shared" si="13"/>
        <v>0</v>
      </c>
      <c r="K113" s="3"/>
      <c r="L113" s="3">
        <f t="shared" si="14"/>
        <v>0</v>
      </c>
      <c r="M113" s="3"/>
      <c r="N113" s="20">
        <f t="shared" si="15"/>
        <v>0</v>
      </c>
      <c r="O113" s="12"/>
      <c r="P113" s="3"/>
      <c r="Q113" s="3"/>
      <c r="R113" s="20">
        <f t="shared" si="16"/>
        <v>0</v>
      </c>
      <c r="S113" s="3"/>
      <c r="T113" s="3">
        <v>111.57</v>
      </c>
      <c r="U113" s="3"/>
      <c r="V113" s="20">
        <f t="shared" si="17"/>
        <v>1.4007264418169909E-5</v>
      </c>
      <c r="W113" s="3"/>
      <c r="X113" s="3">
        <f t="shared" si="18"/>
        <v>-111.57</v>
      </c>
      <c r="Y113" s="3"/>
      <c r="Z113" s="20">
        <f t="shared" si="19"/>
        <v>-1</v>
      </c>
    </row>
    <row r="114" spans="1:26" s="69" customFormat="1" ht="15" hidden="1" customHeight="1" outlineLevel="1" x14ac:dyDescent="0.3">
      <c r="A114" s="42"/>
      <c r="B114" s="12" t="str">
        <f>CONCATENATE("          ","5018"," - ","PURCHASES @ COST-STUDY GUIDES")</f>
        <v xml:space="preserve">          5018 - PURCHASES @ COST-STUDY GUIDES</v>
      </c>
      <c r="C114" s="12"/>
      <c r="D114" s="3"/>
      <c r="E114" s="3"/>
      <c r="F114" s="20">
        <f t="shared" si="12"/>
        <v>0</v>
      </c>
      <c r="G114" s="3"/>
      <c r="H114" s="3">
        <v>444.87</v>
      </c>
      <c r="I114" s="3"/>
      <c r="J114" s="20">
        <f t="shared" si="13"/>
        <v>5.4668001840478336E-4</v>
      </c>
      <c r="K114" s="3"/>
      <c r="L114" s="3">
        <f t="shared" si="14"/>
        <v>-444.87</v>
      </c>
      <c r="M114" s="3"/>
      <c r="N114" s="20">
        <f t="shared" si="15"/>
        <v>-1</v>
      </c>
      <c r="O114" s="12"/>
      <c r="P114" s="3"/>
      <c r="Q114" s="3"/>
      <c r="R114" s="20">
        <f t="shared" si="16"/>
        <v>0</v>
      </c>
      <c r="S114" s="3"/>
      <c r="T114" s="3">
        <v>967.21</v>
      </c>
      <c r="U114" s="3"/>
      <c r="V114" s="20">
        <f t="shared" si="17"/>
        <v>1.2143018927935931E-4</v>
      </c>
      <c r="W114" s="3"/>
      <c r="X114" s="3">
        <f t="shared" si="18"/>
        <v>-967.21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","5025"," - ","PURCHASES @ COST-TEST FORMS")</f>
        <v xml:space="preserve">          5025 - PURCHASES @ COST-TEST FORMS</v>
      </c>
      <c r="C115" s="12"/>
      <c r="D115" s="3"/>
      <c r="E115" s="3"/>
      <c r="F115" s="20">
        <f t="shared" si="12"/>
        <v>0</v>
      </c>
      <c r="G115" s="3"/>
      <c r="H115" s="3"/>
      <c r="I115" s="3"/>
      <c r="J115" s="20">
        <f t="shared" si="13"/>
        <v>0</v>
      </c>
      <c r="K115" s="3"/>
      <c r="L115" s="3">
        <f t="shared" si="14"/>
        <v>0</v>
      </c>
      <c r="M115" s="3"/>
      <c r="N115" s="20">
        <f t="shared" si="15"/>
        <v>0</v>
      </c>
      <c r="O115" s="12"/>
      <c r="P115" s="3"/>
      <c r="Q115" s="3"/>
      <c r="R115" s="20">
        <f t="shared" si="16"/>
        <v>0</v>
      </c>
      <c r="S115" s="3"/>
      <c r="T115" s="3">
        <v>599.29</v>
      </c>
      <c r="U115" s="3"/>
      <c r="V115" s="20">
        <f t="shared" si="17"/>
        <v>7.5238984432778025E-5</v>
      </c>
      <c r="W115" s="3"/>
      <c r="X115" s="3">
        <f t="shared" si="18"/>
        <v>-599.29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","5026"," - ","PURCHASES @ COST-WRITING INSTR")</f>
        <v xml:space="preserve">          5026 - PURCHASES @ COST-WRITING INSTR</v>
      </c>
      <c r="C116" s="12"/>
      <c r="D116" s="3"/>
      <c r="E116" s="3"/>
      <c r="F116" s="20">
        <f t="shared" si="12"/>
        <v>0</v>
      </c>
      <c r="G116" s="3"/>
      <c r="H116" s="3">
        <v>209.64</v>
      </c>
      <c r="I116" s="3"/>
      <c r="J116" s="20">
        <f t="shared" si="13"/>
        <v>2.5761682976685051E-4</v>
      </c>
      <c r="K116" s="3"/>
      <c r="L116" s="3">
        <f t="shared" si="14"/>
        <v>-209.64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584.54999999999995</v>
      </c>
      <c r="U116" s="3"/>
      <c r="V116" s="20">
        <f t="shared" si="17"/>
        <v>7.3388423551503274E-5</v>
      </c>
      <c r="W116" s="3"/>
      <c r="X116" s="3">
        <f t="shared" si="18"/>
        <v>-584.54999999999995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","5027"," - ","PURCHASES @ COST-SCHOOL SUPPLI")</f>
        <v xml:space="preserve">          5027 - PURCHASES @ COST-SCHOOL SUPPLI</v>
      </c>
      <c r="C117" s="12"/>
      <c r="D117" s="3"/>
      <c r="E117" s="3"/>
      <c r="F117" s="20">
        <f t="shared" si="12"/>
        <v>0</v>
      </c>
      <c r="G117" s="3"/>
      <c r="H117" s="3">
        <v>2824.53</v>
      </c>
      <c r="I117" s="3"/>
      <c r="J117" s="20">
        <f t="shared" si="13"/>
        <v>3.4709333341984465E-3</v>
      </c>
      <c r="K117" s="3"/>
      <c r="L117" s="3">
        <f t="shared" si="14"/>
        <v>-2824.53</v>
      </c>
      <c r="M117" s="3"/>
      <c r="N117" s="20">
        <f t="shared" si="15"/>
        <v>-1</v>
      </c>
      <c r="O117" s="12"/>
      <c r="P117" s="3">
        <v>0</v>
      </c>
      <c r="Q117" s="3"/>
      <c r="R117" s="20">
        <f t="shared" si="16"/>
        <v>0</v>
      </c>
      <c r="S117" s="3"/>
      <c r="T117" s="3">
        <v>21895.88</v>
      </c>
      <c r="U117" s="3"/>
      <c r="V117" s="20">
        <f t="shared" si="17"/>
        <v>2.7489592258538868E-3</v>
      </c>
      <c r="W117" s="3"/>
      <c r="X117" s="3">
        <f t="shared" si="18"/>
        <v>-21895.88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","5028"," - ","PURCHASES @ COST-ART/TECH")</f>
        <v xml:space="preserve">          5028 - PURCHASES @ COST-ART/TECH</v>
      </c>
      <c r="C118" s="12"/>
      <c r="D118" s="3"/>
      <c r="E118" s="3"/>
      <c r="F118" s="20">
        <f t="shared" si="12"/>
        <v>0</v>
      </c>
      <c r="G118" s="3"/>
      <c r="H118" s="3">
        <v>3443.78</v>
      </c>
      <c r="I118" s="3"/>
      <c r="J118" s="20">
        <f t="shared" si="13"/>
        <v>4.2319008109830396E-3</v>
      </c>
      <c r="K118" s="3"/>
      <c r="L118" s="3">
        <f t="shared" si="14"/>
        <v>-3443.78</v>
      </c>
      <c r="M118" s="3"/>
      <c r="N118" s="20">
        <f t="shared" si="15"/>
        <v>-1</v>
      </c>
      <c r="O118" s="12"/>
      <c r="P118" s="3">
        <v>0</v>
      </c>
      <c r="Q118" s="3"/>
      <c r="R118" s="20">
        <f t="shared" si="16"/>
        <v>0</v>
      </c>
      <c r="S118" s="3"/>
      <c r="T118" s="3">
        <v>45635.360000000001</v>
      </c>
      <c r="U118" s="3"/>
      <c r="V118" s="20">
        <f t="shared" si="17"/>
        <v>5.7293766634254227E-3</v>
      </c>
      <c r="W118" s="3"/>
      <c r="X118" s="3">
        <f t="shared" si="18"/>
        <v>-45635.360000000001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","5031"," - ","PURCHASES @ COST-FOOD")</f>
        <v xml:space="preserve">          5031 - PURCHASES @ COST-FOOD</v>
      </c>
      <c r="C119" s="12"/>
      <c r="D119" s="3"/>
      <c r="E119" s="3"/>
      <c r="F119" s="20">
        <f t="shared" si="12"/>
        <v>0</v>
      </c>
      <c r="G119" s="3"/>
      <c r="H119" s="3"/>
      <c r="I119" s="3"/>
      <c r="J119" s="20">
        <f t="shared" si="13"/>
        <v>0</v>
      </c>
      <c r="K119" s="3"/>
      <c r="L119" s="3">
        <f t="shared" si="14"/>
        <v>0</v>
      </c>
      <c r="M119" s="3"/>
      <c r="N119" s="20">
        <f t="shared" si="15"/>
        <v>0</v>
      </c>
      <c r="O119" s="12"/>
      <c r="P119" s="3">
        <v>0</v>
      </c>
      <c r="Q119" s="3"/>
      <c r="R119" s="20">
        <f t="shared" si="16"/>
        <v>0</v>
      </c>
      <c r="S119" s="3"/>
      <c r="T119" s="3">
        <v>7785.72</v>
      </c>
      <c r="U119" s="3"/>
      <c r="V119" s="20">
        <f t="shared" si="17"/>
        <v>9.7747278592662744E-4</v>
      </c>
      <c r="W119" s="3"/>
      <c r="X119" s="3">
        <f t="shared" si="18"/>
        <v>-7785.72</v>
      </c>
      <c r="Y119" s="3"/>
      <c r="Z119" s="20">
        <f t="shared" si="19"/>
        <v>-1</v>
      </c>
    </row>
    <row r="120" spans="1:26" s="69" customFormat="1" ht="15" hidden="1" customHeight="1" outlineLevel="1" x14ac:dyDescent="0.3">
      <c r="A120" s="42"/>
      <c r="B120" s="12" t="str">
        <f>CONCATENATE("          ","5040"," - ","PURCHASES @ COST-LOGO CLOTHING")</f>
        <v xml:space="preserve">          5040 - PURCHASES @ COST-LOGO CLOTHING</v>
      </c>
      <c r="C120" s="12"/>
      <c r="D120" s="3"/>
      <c r="E120" s="3"/>
      <c r="F120" s="20">
        <f t="shared" si="12"/>
        <v>0</v>
      </c>
      <c r="G120" s="3"/>
      <c r="H120" s="3">
        <v>45900.51</v>
      </c>
      <c r="I120" s="3"/>
      <c r="J120" s="20">
        <f t="shared" si="13"/>
        <v>5.6404998430078325E-2</v>
      </c>
      <c r="K120" s="3"/>
      <c r="L120" s="3">
        <f t="shared" si="14"/>
        <v>-45900.51</v>
      </c>
      <c r="M120" s="3"/>
      <c r="N120" s="20">
        <f t="shared" si="15"/>
        <v>-1</v>
      </c>
      <c r="O120" s="12"/>
      <c r="P120" s="3">
        <v>0</v>
      </c>
      <c r="Q120" s="3"/>
      <c r="R120" s="20">
        <f t="shared" si="16"/>
        <v>0</v>
      </c>
      <c r="S120" s="3"/>
      <c r="T120" s="3">
        <v>239871.6</v>
      </c>
      <c r="U120" s="3"/>
      <c r="V120" s="20">
        <f t="shared" si="17"/>
        <v>3.0115128866267684E-2</v>
      </c>
      <c r="W120" s="3"/>
      <c r="X120" s="3">
        <f t="shared" si="18"/>
        <v>-239871.6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","5041"," - ","PURCHASES @ COST-LOGO GIFTS")</f>
        <v xml:space="preserve">          5041 - PURCHASES @ COST-LOGO GIFTS</v>
      </c>
      <c r="C121" s="12"/>
      <c r="D121" s="3"/>
      <c r="E121" s="3"/>
      <c r="F121" s="20">
        <f t="shared" si="12"/>
        <v>0</v>
      </c>
      <c r="G121" s="3"/>
      <c r="H121" s="3">
        <v>899.63</v>
      </c>
      <c r="I121" s="3"/>
      <c r="J121" s="20">
        <f t="shared" si="13"/>
        <v>1.1055133970766635E-3</v>
      </c>
      <c r="K121" s="3"/>
      <c r="L121" s="3">
        <f t="shared" si="14"/>
        <v>-899.63</v>
      </c>
      <c r="M121" s="3"/>
      <c r="N121" s="20">
        <f t="shared" si="15"/>
        <v>-1</v>
      </c>
      <c r="O121" s="12"/>
      <c r="P121" s="3">
        <v>0</v>
      </c>
      <c r="Q121" s="3"/>
      <c r="R121" s="20">
        <f t="shared" si="16"/>
        <v>0</v>
      </c>
      <c r="S121" s="3"/>
      <c r="T121" s="3">
        <v>68463.44</v>
      </c>
      <c r="U121" s="3"/>
      <c r="V121" s="20">
        <f t="shared" si="17"/>
        <v>8.5953706825984636E-3</v>
      </c>
      <c r="W121" s="3"/>
      <c r="X121" s="3">
        <f t="shared" si="18"/>
        <v>-68463.44</v>
      </c>
      <c r="Y121" s="3"/>
      <c r="Z121" s="20">
        <f t="shared" si="19"/>
        <v>-1</v>
      </c>
    </row>
    <row r="122" spans="1:26" s="69" customFormat="1" ht="15" hidden="1" customHeight="1" outlineLevel="1" x14ac:dyDescent="0.3">
      <c r="A122" s="42"/>
      <c r="B122" s="12" t="str">
        <f>CONCATENATE("          ","5042"," - ","PURCHASES @ COST-EVERYDAY GIFT")</f>
        <v xml:space="preserve">          5042 - PURCHASES @ COST-EVERYDAY GIFT</v>
      </c>
      <c r="C122" s="12"/>
      <c r="D122" s="3"/>
      <c r="E122" s="3"/>
      <c r="F122" s="20">
        <f t="shared" si="12"/>
        <v>0</v>
      </c>
      <c r="G122" s="3"/>
      <c r="H122" s="3">
        <v>-270</v>
      </c>
      <c r="I122" s="3"/>
      <c r="J122" s="20">
        <f t="shared" si="13"/>
        <v>-3.3179042185198265E-4</v>
      </c>
      <c r="K122" s="3"/>
      <c r="L122" s="3">
        <f t="shared" si="14"/>
        <v>270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18748.18</v>
      </c>
      <c r="U122" s="3"/>
      <c r="V122" s="20">
        <f t="shared" si="17"/>
        <v>2.3537753394231851E-3</v>
      </c>
      <c r="W122" s="3"/>
      <c r="X122" s="3">
        <f t="shared" si="18"/>
        <v>-18748.18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","5043"," - ","PURCHASES @ COST-CARDS")</f>
        <v xml:space="preserve">          5043 - PURCHASES @ COST-CARDS</v>
      </c>
      <c r="C123" s="12"/>
      <c r="D123" s="3"/>
      <c r="E123" s="3"/>
      <c r="F123" s="20">
        <f t="shared" si="12"/>
        <v>0</v>
      </c>
      <c r="G123" s="3"/>
      <c r="H123" s="3"/>
      <c r="I123" s="3"/>
      <c r="J123" s="20">
        <f t="shared" si="13"/>
        <v>0</v>
      </c>
      <c r="K123" s="3"/>
      <c r="L123" s="3">
        <f t="shared" si="14"/>
        <v>0</v>
      </c>
      <c r="M123" s="3"/>
      <c r="N123" s="20">
        <f t="shared" si="15"/>
        <v>0</v>
      </c>
      <c r="O123" s="12"/>
      <c r="P123" s="3">
        <v>0</v>
      </c>
      <c r="Q123" s="3"/>
      <c r="R123" s="20">
        <f t="shared" si="16"/>
        <v>0</v>
      </c>
      <c r="S123" s="3"/>
      <c r="T123" s="3">
        <v>55364.33</v>
      </c>
      <c r="U123" s="3"/>
      <c r="V123" s="20">
        <f t="shared" si="17"/>
        <v>6.9508184067833372E-3</v>
      </c>
      <c r="W123" s="3"/>
      <c r="X123" s="3">
        <f t="shared" si="18"/>
        <v>-55364.33</v>
      </c>
      <c r="Y123" s="3"/>
      <c r="Z123" s="20">
        <f t="shared" si="19"/>
        <v>-1</v>
      </c>
    </row>
    <row r="124" spans="1:26" s="69" customFormat="1" ht="15" hidden="1" customHeight="1" outlineLevel="1" x14ac:dyDescent="0.3">
      <c r="A124" s="42"/>
      <c r="B124" s="12" t="str">
        <f>CONCATENATE("          ","5044"," - ","PURCHASES @ COST-ACCESSORIES")</f>
        <v xml:space="preserve">          5044 - PURCHASES @ COST-ACCESSORIES</v>
      </c>
      <c r="C124" s="12"/>
      <c r="D124" s="3"/>
      <c r="E124" s="3"/>
      <c r="F124" s="20">
        <f t="shared" si="12"/>
        <v>0</v>
      </c>
      <c r="G124" s="3"/>
      <c r="H124" s="3"/>
      <c r="I124" s="3"/>
      <c r="J124" s="20">
        <f t="shared" si="13"/>
        <v>0</v>
      </c>
      <c r="K124" s="3"/>
      <c r="L124" s="3">
        <f t="shared" si="14"/>
        <v>0</v>
      </c>
      <c r="M124" s="3"/>
      <c r="N124" s="20">
        <f t="shared" si="15"/>
        <v>0</v>
      </c>
      <c r="O124" s="12"/>
      <c r="P124" s="3">
        <v>0</v>
      </c>
      <c r="Q124" s="3"/>
      <c r="R124" s="20">
        <f t="shared" si="16"/>
        <v>0</v>
      </c>
      <c r="S124" s="3"/>
      <c r="T124" s="3">
        <v>1064.83</v>
      </c>
      <c r="U124" s="3"/>
      <c r="V124" s="20">
        <f t="shared" si="17"/>
        <v>1.3368607484449103E-4</v>
      </c>
      <c r="W124" s="3"/>
      <c r="X124" s="3">
        <f t="shared" si="18"/>
        <v>-1064.83</v>
      </c>
      <c r="Y124" s="3"/>
      <c r="Z124" s="20">
        <f t="shared" si="19"/>
        <v>-1</v>
      </c>
    </row>
    <row r="125" spans="1:26" s="69" customFormat="1" ht="15" hidden="1" customHeight="1" outlineLevel="1" x14ac:dyDescent="0.3">
      <c r="A125" s="42"/>
      <c r="B125" s="12" t="str">
        <f>CONCATENATE("          ","5045"," - ","PURCHASES @ COST-SPECIAL ORDER")</f>
        <v xml:space="preserve">          5045 - PURCHASES @ COST-SPECIAL ORDER</v>
      </c>
      <c r="C125" s="12"/>
      <c r="D125" s="3"/>
      <c r="E125" s="3"/>
      <c r="F125" s="20">
        <f t="shared" si="12"/>
        <v>0</v>
      </c>
      <c r="G125" s="3"/>
      <c r="H125" s="3">
        <v>13853.18</v>
      </c>
      <c r="I125" s="3"/>
      <c r="J125" s="20">
        <f t="shared" si="13"/>
        <v>1.7023527541449812E-2</v>
      </c>
      <c r="K125" s="3"/>
      <c r="L125" s="3">
        <f t="shared" si="14"/>
        <v>-13853.18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109226.69</v>
      </c>
      <c r="U125" s="3"/>
      <c r="V125" s="20">
        <f t="shared" si="17"/>
        <v>1.3713069179452139E-2</v>
      </c>
      <c r="W125" s="3"/>
      <c r="X125" s="3">
        <f t="shared" si="18"/>
        <v>-109226.69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","5053"," - ","PURCHASES @ COST-FOOD")</f>
        <v xml:space="preserve">          5053 - PURCHASES @ COST-FOOD</v>
      </c>
      <c r="C126" s="12"/>
      <c r="D126" s="3">
        <v>378504.96000000002</v>
      </c>
      <c r="E126" s="3"/>
      <c r="F126" s="20">
        <f t="shared" si="12"/>
        <v>0.13196800179449028</v>
      </c>
      <c r="G126" s="3"/>
      <c r="H126" s="3">
        <v>32724.15</v>
      </c>
      <c r="I126" s="3"/>
      <c r="J126" s="20">
        <f t="shared" si="13"/>
        <v>4.0213183456472436E-2</v>
      </c>
      <c r="K126" s="3"/>
      <c r="L126" s="3">
        <f t="shared" si="14"/>
        <v>345780.81</v>
      </c>
      <c r="M126" s="3"/>
      <c r="N126" s="20">
        <f t="shared" si="15"/>
        <v>10.566532973354541</v>
      </c>
      <c r="O126" s="12"/>
      <c r="P126" s="3">
        <v>2682701.69</v>
      </c>
      <c r="Q126" s="3"/>
      <c r="R126" s="20">
        <f t="shared" si="16"/>
        <v>0.14489622017175427</v>
      </c>
      <c r="S126" s="3"/>
      <c r="T126" s="3">
        <v>375005.39</v>
      </c>
      <c r="U126" s="3"/>
      <c r="V126" s="20">
        <f t="shared" si="17"/>
        <v>4.7080753392210545E-2</v>
      </c>
      <c r="W126" s="3"/>
      <c r="X126" s="3">
        <f t="shared" si="18"/>
        <v>2307696.2999999998</v>
      </c>
      <c r="Y126" s="3"/>
      <c r="Z126" s="20">
        <f t="shared" si="19"/>
        <v>6.153768349836251</v>
      </c>
    </row>
    <row r="127" spans="1:26" s="69" customFormat="1" ht="15" hidden="1" customHeight="1" outlineLevel="1" x14ac:dyDescent="0.3">
      <c r="A127" s="42"/>
      <c r="B127" s="12" t="str">
        <f>CONCATENATE("          ","5059"," - ","PURCHASES @ COST-FOOD")</f>
        <v xml:space="preserve">          5059 - PURCHASES @ COST-FOOD</v>
      </c>
      <c r="C127" s="12"/>
      <c r="D127" s="3">
        <v>87866.36</v>
      </c>
      <c r="E127" s="3"/>
      <c r="F127" s="20">
        <f t="shared" si="12"/>
        <v>3.0635128147740335E-2</v>
      </c>
      <c r="G127" s="3"/>
      <c r="H127" s="3">
        <v>5155</v>
      </c>
      <c r="I127" s="3"/>
      <c r="J127" s="20">
        <f t="shared" si="13"/>
        <v>6.3347393505443347E-3</v>
      </c>
      <c r="K127" s="3"/>
      <c r="L127" s="3">
        <f t="shared" si="14"/>
        <v>82711.360000000001</v>
      </c>
      <c r="M127" s="3"/>
      <c r="N127" s="20">
        <f t="shared" si="15"/>
        <v>16.044880698351115</v>
      </c>
      <c r="O127" s="12"/>
      <c r="P127" s="3">
        <v>124190.97</v>
      </c>
      <c r="Q127" s="3"/>
      <c r="R127" s="20">
        <f t="shared" si="16"/>
        <v>6.7077164037808957E-3</v>
      </c>
      <c r="S127" s="3"/>
      <c r="T127" s="3">
        <v>31841.29</v>
      </c>
      <c r="U127" s="3"/>
      <c r="V127" s="20">
        <f t="shared" si="17"/>
        <v>3.9975743340111983E-3</v>
      </c>
      <c r="W127" s="3"/>
      <c r="X127" s="3">
        <f t="shared" si="18"/>
        <v>92349.68</v>
      </c>
      <c r="Y127" s="3"/>
      <c r="Z127" s="20">
        <f t="shared" si="19"/>
        <v>2.900312141876161</v>
      </c>
    </row>
    <row r="128" spans="1:26" s="69" customFormat="1" ht="15" hidden="1" customHeight="1" outlineLevel="1" x14ac:dyDescent="0.3">
      <c r="A128" s="42"/>
      <c r="B128" s="12" t="str">
        <f>CONCATENATE("          ","5081"," - ","PURCHASES @ COST-ELECTRONICS")</f>
        <v xml:space="preserve">          5081 - PURCHASES @ COST-ELECTRONICS</v>
      </c>
      <c r="C128" s="12"/>
      <c r="D128" s="3"/>
      <c r="E128" s="3"/>
      <c r="F128" s="20">
        <f t="shared" si="12"/>
        <v>0</v>
      </c>
      <c r="G128" s="3"/>
      <c r="H128" s="3">
        <v>309.97000000000003</v>
      </c>
      <c r="I128" s="3"/>
      <c r="J128" s="20">
        <f t="shared" si="13"/>
        <v>3.8090769282021877E-4</v>
      </c>
      <c r="K128" s="3"/>
      <c r="L128" s="3">
        <f t="shared" si="14"/>
        <v>-309.97000000000003</v>
      </c>
      <c r="M128" s="3"/>
      <c r="N128" s="20">
        <f t="shared" si="15"/>
        <v>-1</v>
      </c>
      <c r="O128" s="12"/>
      <c r="P128" s="3">
        <v>0</v>
      </c>
      <c r="Q128" s="3"/>
      <c r="R128" s="20">
        <f t="shared" si="16"/>
        <v>0</v>
      </c>
      <c r="S128" s="3"/>
      <c r="T128" s="3">
        <v>32467.87</v>
      </c>
      <c r="U128" s="3"/>
      <c r="V128" s="20">
        <f t="shared" si="17"/>
        <v>4.076239492558629E-3</v>
      </c>
      <c r="W128" s="3"/>
      <c r="X128" s="3">
        <f t="shared" si="18"/>
        <v>-32467.87</v>
      </c>
      <c r="Y128" s="3"/>
      <c r="Z128" s="20">
        <f t="shared" si="19"/>
        <v>-1</v>
      </c>
    </row>
    <row r="129" spans="1:26" s="69" customFormat="1" ht="15" hidden="1" customHeight="1" outlineLevel="1" x14ac:dyDescent="0.3">
      <c r="A129" s="42"/>
      <c r="B129" s="12" t="str">
        <f>CONCATENATE("          ","5082"," - ","PURCHASES @ COST-COMPUTER HARD")</f>
        <v xml:space="preserve">          5082 - PURCHASES @ COST-COMPUTER HARD</v>
      </c>
      <c r="C129" s="12"/>
      <c r="D129" s="3">
        <v>-16384.86</v>
      </c>
      <c r="E129" s="3"/>
      <c r="F129" s="20">
        <f t="shared" si="12"/>
        <v>-5.7126787291835544E-3</v>
      </c>
      <c r="G129" s="3"/>
      <c r="H129" s="3">
        <v>132715.92000000001</v>
      </c>
      <c r="I129" s="3"/>
      <c r="J129" s="20">
        <f t="shared" si="13"/>
        <v>0.16308841141953326</v>
      </c>
      <c r="K129" s="3"/>
      <c r="L129" s="3">
        <f t="shared" si="14"/>
        <v>-149100.78000000003</v>
      </c>
      <c r="M129" s="3"/>
      <c r="N129" s="20">
        <f t="shared" si="15"/>
        <v>-1.1234581352410473</v>
      </c>
      <c r="O129" s="12"/>
      <c r="P129" s="3">
        <v>-110193.26</v>
      </c>
      <c r="Q129" s="3"/>
      <c r="R129" s="20">
        <f t="shared" si="16"/>
        <v>-5.9516818146125531E-3</v>
      </c>
      <c r="S129" s="3"/>
      <c r="T129" s="3">
        <v>1396293.76</v>
      </c>
      <c r="U129" s="3"/>
      <c r="V129" s="20">
        <f t="shared" si="17"/>
        <v>0.17530031282388345</v>
      </c>
      <c r="W129" s="3"/>
      <c r="X129" s="3">
        <f t="shared" si="18"/>
        <v>-1506487.02</v>
      </c>
      <c r="Y129" s="3"/>
      <c r="Z129" s="20">
        <f t="shared" si="19"/>
        <v>-1.0789183932183439</v>
      </c>
    </row>
    <row r="130" spans="1:26" s="69" customFormat="1" ht="15" hidden="1" customHeight="1" outlineLevel="1" x14ac:dyDescent="0.3">
      <c r="A130" s="42"/>
      <c r="B130" s="12" t="str">
        <f>CONCATENATE("          ","5083"," - ","PURCHASES @ COST-COMPUTER EQUI")</f>
        <v xml:space="preserve">          5083 - PURCHASES @ COST-COMPUTER EQUI</v>
      </c>
      <c r="C130" s="12"/>
      <c r="D130" s="3"/>
      <c r="E130" s="3"/>
      <c r="F130" s="20">
        <f t="shared" si="12"/>
        <v>0</v>
      </c>
      <c r="G130" s="3"/>
      <c r="H130" s="3">
        <v>6015.06</v>
      </c>
      <c r="I130" s="3"/>
      <c r="J130" s="20">
        <f t="shared" si="13"/>
        <v>7.39162701801847E-3</v>
      </c>
      <c r="K130" s="3"/>
      <c r="L130" s="3">
        <f t="shared" si="14"/>
        <v>-6015.06</v>
      </c>
      <c r="M130" s="3"/>
      <c r="N130" s="20">
        <f t="shared" si="15"/>
        <v>-1</v>
      </c>
      <c r="O130" s="12"/>
      <c r="P130" s="3">
        <v>0</v>
      </c>
      <c r="Q130" s="3"/>
      <c r="R130" s="20">
        <f t="shared" si="16"/>
        <v>0</v>
      </c>
      <c r="S130" s="3"/>
      <c r="T130" s="3">
        <v>105203.33</v>
      </c>
      <c r="U130" s="3"/>
      <c r="V130" s="20">
        <f t="shared" si="17"/>
        <v>1.3207948919799112E-2</v>
      </c>
      <c r="W130" s="3"/>
      <c r="X130" s="3">
        <f t="shared" si="18"/>
        <v>-105203.33</v>
      </c>
      <c r="Y130" s="3"/>
      <c r="Z130" s="20">
        <f t="shared" si="19"/>
        <v>-1</v>
      </c>
    </row>
    <row r="131" spans="1:26" s="69" customFormat="1" ht="15" hidden="1" customHeight="1" outlineLevel="1" x14ac:dyDescent="0.3">
      <c r="A131" s="42"/>
      <c r="B131" s="12" t="str">
        <f>CONCATENATE("          ","5085"," - ","PURCHASES @ COST-SOFTWARE")</f>
        <v xml:space="preserve">          5085 - PURCHASES @ COST-SOFTWARE</v>
      </c>
      <c r="C131" s="12"/>
      <c r="D131" s="3"/>
      <c r="E131" s="3"/>
      <c r="F131" s="20">
        <f t="shared" si="12"/>
        <v>0</v>
      </c>
      <c r="G131" s="3"/>
      <c r="H131" s="3">
        <v>3753.26</v>
      </c>
      <c r="I131" s="3"/>
      <c r="J131" s="20">
        <f t="shared" si="13"/>
        <v>4.612206365630268E-3</v>
      </c>
      <c r="K131" s="3"/>
      <c r="L131" s="3">
        <f t="shared" si="14"/>
        <v>-3753.26</v>
      </c>
      <c r="M131" s="3"/>
      <c r="N131" s="20">
        <f t="shared" si="15"/>
        <v>-1</v>
      </c>
      <c r="O131" s="12"/>
      <c r="P131" s="3">
        <v>0</v>
      </c>
      <c r="Q131" s="3"/>
      <c r="R131" s="20">
        <f t="shared" si="16"/>
        <v>0</v>
      </c>
      <c r="S131" s="3"/>
      <c r="T131" s="3">
        <v>33898.71</v>
      </c>
      <c r="U131" s="3"/>
      <c r="V131" s="20">
        <f t="shared" si="17"/>
        <v>4.2558769777257368E-3</v>
      </c>
      <c r="W131" s="3"/>
      <c r="X131" s="3">
        <f t="shared" si="18"/>
        <v>-33898.71</v>
      </c>
      <c r="Y131" s="3"/>
      <c r="Z131" s="20">
        <f t="shared" si="19"/>
        <v>-1</v>
      </c>
    </row>
    <row r="132" spans="1:26" s="69" customFormat="1" ht="15" hidden="1" customHeight="1" outlineLevel="1" x14ac:dyDescent="0.3">
      <c r="A132" s="42"/>
      <c r="B132" s="12" t="str">
        <f>CONCATENATE("          ","5086"," - ","PURCHASES @ COST-COMPUTER SUPP")</f>
        <v xml:space="preserve">          5086 - PURCHASES @ COST-COMPUTER SUPP</v>
      </c>
      <c r="C132" s="12"/>
      <c r="D132" s="3"/>
      <c r="E132" s="3"/>
      <c r="F132" s="20">
        <f t="shared" si="12"/>
        <v>0</v>
      </c>
      <c r="G132" s="3"/>
      <c r="H132" s="3">
        <v>525.71</v>
      </c>
      <c r="I132" s="3"/>
      <c r="J132" s="20">
        <f t="shared" si="13"/>
        <v>6.4602052841409555E-4</v>
      </c>
      <c r="K132" s="3"/>
      <c r="L132" s="3">
        <f t="shared" si="14"/>
        <v>-525.71</v>
      </c>
      <c r="M132" s="3"/>
      <c r="N132" s="20">
        <f t="shared" si="15"/>
        <v>-1</v>
      </c>
      <c r="O132" s="12"/>
      <c r="P132" s="3">
        <v>0</v>
      </c>
      <c r="Q132" s="3"/>
      <c r="R132" s="20">
        <f t="shared" si="16"/>
        <v>0</v>
      </c>
      <c r="S132" s="3"/>
      <c r="T132" s="3">
        <v>23664.2</v>
      </c>
      <c r="U132" s="3"/>
      <c r="V132" s="20">
        <f t="shared" si="17"/>
        <v>2.9709662691086887E-3</v>
      </c>
      <c r="W132" s="3"/>
      <c r="X132" s="3">
        <f t="shared" si="18"/>
        <v>-23664.2</v>
      </c>
      <c r="Y132" s="3"/>
      <c r="Z132" s="20">
        <f t="shared" si="19"/>
        <v>-1</v>
      </c>
    </row>
    <row r="133" spans="1:26" s="69" customFormat="1" ht="15" hidden="1" customHeight="1" outlineLevel="1" x14ac:dyDescent="0.3">
      <c r="A133" s="42"/>
      <c r="B133" s="12" t="str">
        <f>CONCATENATE("          ","5092"," - ","PURCHASES @ COST-GRAD MERCH")</f>
        <v xml:space="preserve">          5092 - PURCHASES @ COST-GRAD MERCH</v>
      </c>
      <c r="C133" s="12"/>
      <c r="D133" s="3"/>
      <c r="E133" s="3"/>
      <c r="F133" s="20">
        <f t="shared" si="12"/>
        <v>0</v>
      </c>
      <c r="G133" s="3"/>
      <c r="H133" s="3"/>
      <c r="I133" s="3"/>
      <c r="J133" s="20">
        <f t="shared" si="13"/>
        <v>0</v>
      </c>
      <c r="K133" s="3"/>
      <c r="L133" s="3">
        <f t="shared" si="14"/>
        <v>0</v>
      </c>
      <c r="M133" s="3"/>
      <c r="N133" s="20">
        <f t="shared" si="15"/>
        <v>0</v>
      </c>
      <c r="O133" s="12"/>
      <c r="P133" s="3"/>
      <c r="Q133" s="3"/>
      <c r="R133" s="20">
        <f t="shared" si="16"/>
        <v>0</v>
      </c>
      <c r="S133" s="3"/>
      <c r="T133" s="3">
        <v>0</v>
      </c>
      <c r="U133" s="3"/>
      <c r="V133" s="20">
        <f t="shared" si="17"/>
        <v>0</v>
      </c>
      <c r="W133" s="3"/>
      <c r="X133" s="3">
        <f t="shared" si="18"/>
        <v>0</v>
      </c>
      <c r="Y133" s="3"/>
      <c r="Z133" s="20">
        <f t="shared" si="19"/>
        <v>0</v>
      </c>
    </row>
    <row r="134" spans="1:26" s="69" customFormat="1" ht="15" hidden="1" customHeight="1" outlineLevel="1" x14ac:dyDescent="0.3">
      <c r="A134" s="42"/>
      <c r="B134" s="12" t="str">
        <f>CONCATENATE("          ","5200"," - ","PURCHASES OFFSET")</f>
        <v xml:space="preserve">          5200 - PURCHASES OFFSET</v>
      </c>
      <c r="C134" s="12"/>
      <c r="D134" s="3">
        <v>-516882.53</v>
      </c>
      <c r="E134" s="3"/>
      <c r="F134" s="20">
        <f t="shared" si="12"/>
        <v>-0.1802141632346923</v>
      </c>
      <c r="G134" s="3"/>
      <c r="H134" s="3">
        <v>73739.19</v>
      </c>
      <c r="I134" s="3"/>
      <c r="J134" s="20">
        <f t="shared" si="13"/>
        <v>9.0614655396753702E-2</v>
      </c>
      <c r="K134" s="3"/>
      <c r="L134" s="3">
        <f t="shared" si="14"/>
        <v>-590621.72</v>
      </c>
      <c r="M134" s="3"/>
      <c r="N134" s="20">
        <f t="shared" si="15"/>
        <v>-8.0096041196004446</v>
      </c>
      <c r="O134" s="12"/>
      <c r="P134" s="3">
        <v>-4903335.74</v>
      </c>
      <c r="Q134" s="3"/>
      <c r="R134" s="20">
        <f t="shared" si="16"/>
        <v>-0.26483556394191249</v>
      </c>
      <c r="S134" s="3"/>
      <c r="T134" s="3">
        <v>-3351949.73</v>
      </c>
      <c r="U134" s="3"/>
      <c r="V134" s="20">
        <f t="shared" si="17"/>
        <v>-0.42082680097269187</v>
      </c>
      <c r="W134" s="3"/>
      <c r="X134" s="3">
        <f t="shared" si="18"/>
        <v>-1551386.0100000002</v>
      </c>
      <c r="Y134" s="3"/>
      <c r="Z134" s="20">
        <f t="shared" si="19"/>
        <v>0.46283092974667023</v>
      </c>
    </row>
    <row r="135" spans="1:26" s="69" customFormat="1" ht="15" hidden="1" customHeight="1" outlineLevel="1" x14ac:dyDescent="0.3">
      <c r="A135" s="42"/>
      <c r="B135" s="12" t="str">
        <f>CONCATENATE("          ","5300"," - ","COG$ OFFSET")</f>
        <v xml:space="preserve">          5300 - COG$ OFFSET</v>
      </c>
      <c r="C135" s="12"/>
      <c r="D135" s="3">
        <v>647373.84</v>
      </c>
      <c r="E135" s="3"/>
      <c r="F135" s="20">
        <f t="shared" si="12"/>
        <v>0.22571073329878177</v>
      </c>
      <c r="G135" s="3"/>
      <c r="H135" s="3">
        <v>453621</v>
      </c>
      <c r="I135" s="3"/>
      <c r="J135" s="20">
        <f t="shared" si="13"/>
        <v>0.55743371463303037</v>
      </c>
      <c r="K135" s="3"/>
      <c r="L135" s="3">
        <f t="shared" si="14"/>
        <v>193752.83999999997</v>
      </c>
      <c r="M135" s="3"/>
      <c r="N135" s="20">
        <f t="shared" si="15"/>
        <v>0.42712493469217688</v>
      </c>
      <c r="O135" s="12"/>
      <c r="P135" s="3">
        <v>4584379.68</v>
      </c>
      <c r="Q135" s="3"/>
      <c r="R135" s="20">
        <f t="shared" si="16"/>
        <v>0.24760833078842859</v>
      </c>
      <c r="S135" s="3"/>
      <c r="T135" s="3">
        <v>4038084</v>
      </c>
      <c r="U135" s="3"/>
      <c r="V135" s="20">
        <f t="shared" si="17"/>
        <v>0.50696881178436159</v>
      </c>
      <c r="W135" s="3"/>
      <c r="X135" s="3">
        <f t="shared" si="18"/>
        <v>546295.6799999997</v>
      </c>
      <c r="Y135" s="3"/>
      <c r="Z135" s="20">
        <f t="shared" si="19"/>
        <v>0.13528586329556286</v>
      </c>
    </row>
    <row r="136" spans="1:26" s="69" customFormat="1" ht="15" hidden="1" customHeight="1" outlineLevel="1" x14ac:dyDescent="0.3">
      <c r="A136" s="42"/>
      <c r="B136" s="12" t="str">
        <f>CONCATENATE("          ","5500"," - ","FREIGHT-IN")</f>
        <v xml:space="preserve">          5500 - FREIGHT-IN</v>
      </c>
      <c r="C136" s="12"/>
      <c r="D136" s="3">
        <v>24405.54</v>
      </c>
      <c r="E136" s="3"/>
      <c r="F136" s="20">
        <f t="shared" si="12"/>
        <v>8.5091364364564843E-3</v>
      </c>
      <c r="G136" s="3"/>
      <c r="H136" s="3"/>
      <c r="I136" s="3"/>
      <c r="J136" s="20">
        <f t="shared" si="13"/>
        <v>0</v>
      </c>
      <c r="K136" s="3"/>
      <c r="L136" s="3">
        <f t="shared" si="14"/>
        <v>24405.54</v>
      </c>
      <c r="M136" s="3"/>
      <c r="N136" s="20">
        <f t="shared" si="15"/>
        <v>0</v>
      </c>
      <c r="O136" s="12"/>
      <c r="P136" s="3">
        <v>148287.96</v>
      </c>
      <c r="Q136" s="3"/>
      <c r="R136" s="20">
        <f t="shared" si="16"/>
        <v>8.0092262889580879E-3</v>
      </c>
      <c r="S136" s="3"/>
      <c r="T136" s="3">
        <v>0</v>
      </c>
      <c r="U136" s="3"/>
      <c r="V136" s="20">
        <f t="shared" si="17"/>
        <v>0</v>
      </c>
      <c r="W136" s="3"/>
      <c r="X136" s="3">
        <f t="shared" si="18"/>
        <v>148287.96</v>
      </c>
      <c r="Y136" s="3"/>
      <c r="Z136" s="20">
        <f t="shared" si="19"/>
        <v>0</v>
      </c>
    </row>
    <row r="137" spans="1:26" s="69" customFormat="1" ht="15" hidden="1" customHeight="1" outlineLevel="1" x14ac:dyDescent="0.3">
      <c r="A137" s="42"/>
      <c r="B137" s="12" t="str">
        <f>CONCATENATE("          ","5501"," - ","FREIGHT-IN-NEW TEXT")</f>
        <v xml:space="preserve">          5501 - FREIGHT-IN-NEW TEXT</v>
      </c>
      <c r="C137" s="12"/>
      <c r="D137" s="3"/>
      <c r="E137" s="3"/>
      <c r="F137" s="20">
        <f t="shared" ref="F137:F157" si="20">IF(D$12=0,0,D137/D$12)</f>
        <v>0</v>
      </c>
      <c r="G137" s="3"/>
      <c r="H137" s="3">
        <v>785.54</v>
      </c>
      <c r="I137" s="3"/>
      <c r="J137" s="20">
        <f t="shared" ref="J137:J157" si="21">IF(H$12=0,0,H137/H$12)</f>
        <v>9.6531351104298677E-4</v>
      </c>
      <c r="K137" s="3"/>
      <c r="L137" s="3">
        <f t="shared" ref="L137:L157" si="22">+D137-H137</f>
        <v>-785.54</v>
      </c>
      <c r="M137" s="3"/>
      <c r="N137" s="20">
        <f t="shared" ref="N137:N157" si="23">IF(H137=0,0,L137/H137)</f>
        <v>-1</v>
      </c>
      <c r="O137" s="12"/>
      <c r="P137" s="3">
        <v>0</v>
      </c>
      <c r="Q137" s="3"/>
      <c r="R137" s="20">
        <f t="shared" ref="R137:R157" si="24">IF(P$12=0,0,P137/P$12)</f>
        <v>0</v>
      </c>
      <c r="S137" s="3"/>
      <c r="T137" s="3">
        <v>50042.46</v>
      </c>
      <c r="U137" s="3"/>
      <c r="V137" s="20">
        <f t="shared" ref="V137:V157" si="25">IF(T$12=0,0,T137/T$12)</f>
        <v>6.2826742794271848E-3</v>
      </c>
      <c r="W137" s="3"/>
      <c r="X137" s="3">
        <f t="shared" ref="X137:X157" si="26">+P137-T137</f>
        <v>-50042.46</v>
      </c>
      <c r="Y137" s="3"/>
      <c r="Z137" s="20">
        <f t="shared" ref="Z137:Z157" si="27">IF(T137=0,0,X137/T137)</f>
        <v>-1</v>
      </c>
    </row>
    <row r="138" spans="1:26" s="69" customFormat="1" ht="15" hidden="1" customHeight="1" outlineLevel="1" x14ac:dyDescent="0.3">
      <c r="A138" s="42"/>
      <c r="B138" s="12" t="str">
        <f>CONCATENATE("          ","5502"," - ","FREIGHT-IN-USED TEXT")</f>
        <v xml:space="preserve">          5502 - FREIGHT-IN-USED TEXT</v>
      </c>
      <c r="C138" s="12"/>
      <c r="D138" s="3"/>
      <c r="E138" s="3"/>
      <c r="F138" s="20">
        <f t="shared" si="20"/>
        <v>0</v>
      </c>
      <c r="G138" s="3"/>
      <c r="H138" s="3">
        <v>663.37</v>
      </c>
      <c r="I138" s="3"/>
      <c r="J138" s="20">
        <f t="shared" si="21"/>
        <v>8.1518448942203604E-4</v>
      </c>
      <c r="K138" s="3"/>
      <c r="L138" s="3">
        <f t="shared" si="22"/>
        <v>-663.37</v>
      </c>
      <c r="M138" s="3"/>
      <c r="N138" s="20">
        <f t="shared" si="23"/>
        <v>-1</v>
      </c>
      <c r="O138" s="12"/>
      <c r="P138" s="3">
        <v>0</v>
      </c>
      <c r="Q138" s="3"/>
      <c r="R138" s="20">
        <f t="shared" si="24"/>
        <v>0</v>
      </c>
      <c r="S138" s="3"/>
      <c r="T138" s="3">
        <v>17800.13</v>
      </c>
      <c r="U138" s="3"/>
      <c r="V138" s="20">
        <f t="shared" si="25"/>
        <v>2.2347506281957404E-3</v>
      </c>
      <c r="W138" s="3"/>
      <c r="X138" s="3">
        <f t="shared" si="26"/>
        <v>-17800.13</v>
      </c>
      <c r="Y138" s="3"/>
      <c r="Z138" s="20">
        <f t="shared" si="27"/>
        <v>-1</v>
      </c>
    </row>
    <row r="139" spans="1:26" s="69" customFormat="1" ht="15" hidden="1" customHeight="1" outlineLevel="1" x14ac:dyDescent="0.3">
      <c r="A139" s="42"/>
      <c r="B139" s="12" t="str">
        <f>CONCATENATE("          ","5504"," - ","FREIGHT-IN-DIGITAL TEXT")</f>
        <v xml:space="preserve">          5504 - FREIGHT-IN-DIGITAL TEXT</v>
      </c>
      <c r="C139" s="12"/>
      <c r="D139" s="3"/>
      <c r="E139" s="3"/>
      <c r="F139" s="20">
        <f t="shared" si="20"/>
        <v>0</v>
      </c>
      <c r="G139" s="3"/>
      <c r="H139" s="3"/>
      <c r="I139" s="3"/>
      <c r="J139" s="20">
        <f t="shared" si="21"/>
        <v>0</v>
      </c>
      <c r="K139" s="3"/>
      <c r="L139" s="3">
        <f t="shared" si="22"/>
        <v>0</v>
      </c>
      <c r="M139" s="3"/>
      <c r="N139" s="20">
        <f t="shared" si="23"/>
        <v>0</v>
      </c>
      <c r="O139" s="12"/>
      <c r="P139" s="3"/>
      <c r="Q139" s="3"/>
      <c r="R139" s="20">
        <f t="shared" si="24"/>
        <v>0</v>
      </c>
      <c r="S139" s="3"/>
      <c r="T139" s="3">
        <v>28.92</v>
      </c>
      <c r="U139" s="3"/>
      <c r="V139" s="20">
        <f t="shared" si="25"/>
        <v>3.6308155146856128E-6</v>
      </c>
      <c r="W139" s="3"/>
      <c r="X139" s="3">
        <f t="shared" si="26"/>
        <v>-28.92</v>
      </c>
      <c r="Y139" s="3"/>
      <c r="Z139" s="20">
        <f t="shared" si="27"/>
        <v>-1</v>
      </c>
    </row>
    <row r="140" spans="1:26" s="69" customFormat="1" ht="15" hidden="1" customHeight="1" outlineLevel="1" x14ac:dyDescent="0.3">
      <c r="A140" s="42"/>
      <c r="B140" s="12" t="str">
        <f>CONCATENATE("          ","5513"," - ","FREIGHT-IN-TRADE BOOKS")</f>
        <v xml:space="preserve">          5513 - FREIGHT-IN-TRADE BOOKS</v>
      </c>
      <c r="C140" s="12"/>
      <c r="D140" s="3"/>
      <c r="E140" s="3"/>
      <c r="F140" s="20">
        <f t="shared" si="20"/>
        <v>0</v>
      </c>
      <c r="G140" s="3"/>
      <c r="H140" s="3">
        <v>51.76</v>
      </c>
      <c r="I140" s="3"/>
      <c r="J140" s="20">
        <f t="shared" si="21"/>
        <v>6.3605452722439329E-5</v>
      </c>
      <c r="K140" s="3"/>
      <c r="L140" s="3">
        <f t="shared" si="22"/>
        <v>-51.76</v>
      </c>
      <c r="M140" s="3"/>
      <c r="N140" s="20">
        <f t="shared" si="23"/>
        <v>-1</v>
      </c>
      <c r="O140" s="12"/>
      <c r="P140" s="3"/>
      <c r="Q140" s="3"/>
      <c r="R140" s="20">
        <f t="shared" si="24"/>
        <v>0</v>
      </c>
      <c r="S140" s="3"/>
      <c r="T140" s="3">
        <v>85.28</v>
      </c>
      <c r="U140" s="3"/>
      <c r="V140" s="20">
        <f t="shared" si="25"/>
        <v>1.0706637174702249E-5</v>
      </c>
      <c r="W140" s="3"/>
      <c r="X140" s="3">
        <f t="shared" si="26"/>
        <v>-85.28</v>
      </c>
      <c r="Y140" s="3"/>
      <c r="Z140" s="20">
        <f t="shared" si="27"/>
        <v>-1</v>
      </c>
    </row>
    <row r="141" spans="1:26" s="69" customFormat="1" ht="15" hidden="1" customHeight="1" outlineLevel="1" x14ac:dyDescent="0.3">
      <c r="A141" s="42"/>
      <c r="B141" s="12" t="str">
        <f>CONCATENATE("          ","5518"," - ","FREIGHT-IN-STUDY GUIDES")</f>
        <v xml:space="preserve">          5518 - FREIGHT-IN-STUDY GUIDES</v>
      </c>
      <c r="C141" s="12"/>
      <c r="D141" s="3"/>
      <c r="E141" s="3"/>
      <c r="F141" s="20">
        <f t="shared" si="20"/>
        <v>0</v>
      </c>
      <c r="G141" s="3"/>
      <c r="H141" s="3"/>
      <c r="I141" s="3"/>
      <c r="J141" s="20">
        <f t="shared" si="21"/>
        <v>0</v>
      </c>
      <c r="K141" s="3"/>
      <c r="L141" s="3">
        <f t="shared" si="22"/>
        <v>0</v>
      </c>
      <c r="M141" s="3"/>
      <c r="N141" s="20">
        <f t="shared" si="23"/>
        <v>0</v>
      </c>
      <c r="O141" s="12"/>
      <c r="P141" s="3">
        <v>0</v>
      </c>
      <c r="Q141" s="3"/>
      <c r="R141" s="20">
        <f t="shared" si="24"/>
        <v>0</v>
      </c>
      <c r="S141" s="3"/>
      <c r="T141" s="3"/>
      <c r="U141" s="3"/>
      <c r="V141" s="20">
        <f t="shared" si="25"/>
        <v>0</v>
      </c>
      <c r="W141" s="3"/>
      <c r="X141" s="3">
        <f t="shared" si="26"/>
        <v>0</v>
      </c>
      <c r="Y141" s="3"/>
      <c r="Z141" s="20">
        <f t="shared" si="27"/>
        <v>0</v>
      </c>
    </row>
    <row r="142" spans="1:26" s="69" customFormat="1" ht="15" hidden="1" customHeight="1" outlineLevel="1" x14ac:dyDescent="0.3">
      <c r="A142" s="42"/>
      <c r="B142" s="12" t="str">
        <f>CONCATENATE("          ","5525"," - ","FREIGHT-IN-TEST FORMS")</f>
        <v xml:space="preserve">          5525 - FREIGHT-IN-TEST FORMS</v>
      </c>
      <c r="C142" s="12"/>
      <c r="D142" s="3"/>
      <c r="E142" s="3"/>
      <c r="F142" s="20">
        <f t="shared" si="20"/>
        <v>0</v>
      </c>
      <c r="G142" s="3"/>
      <c r="H142" s="3"/>
      <c r="I142" s="3"/>
      <c r="J142" s="20">
        <f t="shared" si="21"/>
        <v>0</v>
      </c>
      <c r="K142" s="3"/>
      <c r="L142" s="3">
        <f t="shared" si="22"/>
        <v>0</v>
      </c>
      <c r="M142" s="3"/>
      <c r="N142" s="20">
        <f t="shared" si="23"/>
        <v>0</v>
      </c>
      <c r="O142" s="12"/>
      <c r="P142" s="3"/>
      <c r="Q142" s="3"/>
      <c r="R142" s="20">
        <f t="shared" si="24"/>
        <v>0</v>
      </c>
      <c r="S142" s="3"/>
      <c r="T142" s="3">
        <v>48.14</v>
      </c>
      <c r="U142" s="3"/>
      <c r="V142" s="20">
        <f t="shared" si="25"/>
        <v>6.0438263788715556E-6</v>
      </c>
      <c r="W142" s="3"/>
      <c r="X142" s="3">
        <f t="shared" si="26"/>
        <v>-48.14</v>
      </c>
      <c r="Y142" s="3"/>
      <c r="Z142" s="20">
        <f t="shared" si="27"/>
        <v>-1</v>
      </c>
    </row>
    <row r="143" spans="1:26" s="69" customFormat="1" ht="15" hidden="1" customHeight="1" outlineLevel="1" x14ac:dyDescent="0.3">
      <c r="A143" s="42"/>
      <c r="B143" s="12" t="str">
        <f>CONCATENATE("          ","5526"," - ","FREIGHT-IN-WRITING INSTRUMENTS")</f>
        <v xml:space="preserve">          5526 - FREIGHT-IN-WRITING INSTRUMENTS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/>
      <c r="Q143" s="3"/>
      <c r="R143" s="20">
        <f t="shared" si="24"/>
        <v>0</v>
      </c>
      <c r="S143" s="3"/>
      <c r="T143" s="3">
        <v>0</v>
      </c>
      <c r="U143" s="3"/>
      <c r="V143" s="20">
        <f t="shared" si="25"/>
        <v>0</v>
      </c>
      <c r="W143" s="3"/>
      <c r="X143" s="3">
        <f t="shared" si="26"/>
        <v>0</v>
      </c>
      <c r="Y143" s="3"/>
      <c r="Z143" s="20">
        <f t="shared" si="27"/>
        <v>0</v>
      </c>
    </row>
    <row r="144" spans="1:26" s="69" customFormat="1" ht="15" hidden="1" customHeight="1" outlineLevel="1" x14ac:dyDescent="0.3">
      <c r="A144" s="42"/>
      <c r="B144" s="12" t="str">
        <f>CONCATENATE("          ","5527"," - ","FREIGHT-IN-SCHOOL SUPPLIES")</f>
        <v xml:space="preserve">          5527 - FREIGHT-IN-SCHOOL SUPPLIES</v>
      </c>
      <c r="C144" s="12"/>
      <c r="D144" s="3"/>
      <c r="E144" s="3"/>
      <c r="F144" s="20">
        <f t="shared" si="20"/>
        <v>0</v>
      </c>
      <c r="G144" s="3"/>
      <c r="H144" s="3">
        <v>41.12</v>
      </c>
      <c r="I144" s="3"/>
      <c r="J144" s="20">
        <f t="shared" si="21"/>
        <v>5.0530452394642688E-5</v>
      </c>
      <c r="K144" s="3"/>
      <c r="L144" s="3">
        <f t="shared" si="22"/>
        <v>-41.12</v>
      </c>
      <c r="M144" s="3"/>
      <c r="N144" s="20">
        <f t="shared" si="23"/>
        <v>-1</v>
      </c>
      <c r="O144" s="12"/>
      <c r="P144" s="3">
        <v>0</v>
      </c>
      <c r="Q144" s="3"/>
      <c r="R144" s="20">
        <f t="shared" si="24"/>
        <v>0</v>
      </c>
      <c r="S144" s="3"/>
      <c r="T144" s="3">
        <v>218.62</v>
      </c>
      <c r="U144" s="3"/>
      <c r="V144" s="20">
        <f t="shared" si="25"/>
        <v>2.7447056978581209E-5</v>
      </c>
      <c r="W144" s="3"/>
      <c r="X144" s="3">
        <f t="shared" si="26"/>
        <v>-218.62</v>
      </c>
      <c r="Y144" s="3"/>
      <c r="Z144" s="20">
        <f t="shared" si="27"/>
        <v>-1</v>
      </c>
    </row>
    <row r="145" spans="1:26" s="69" customFormat="1" ht="15" hidden="1" customHeight="1" outlineLevel="1" x14ac:dyDescent="0.3">
      <c r="A145" s="42"/>
      <c r="B145" s="12" t="str">
        <f>CONCATENATE("          ","5528"," - ","FREIGHT-IN-ART/TECH")</f>
        <v xml:space="preserve">          5528 - FREIGHT-IN-ART/TECH</v>
      </c>
      <c r="C145" s="12"/>
      <c r="D145" s="3"/>
      <c r="E145" s="3"/>
      <c r="F145" s="20">
        <f t="shared" si="20"/>
        <v>0</v>
      </c>
      <c r="G145" s="3"/>
      <c r="H145" s="3">
        <v>103.71</v>
      </c>
      <c r="I145" s="3"/>
      <c r="J145" s="20">
        <f t="shared" si="21"/>
        <v>1.2744438759358933E-4</v>
      </c>
      <c r="K145" s="3"/>
      <c r="L145" s="3">
        <f t="shared" si="22"/>
        <v>-103.71</v>
      </c>
      <c r="M145" s="3"/>
      <c r="N145" s="20">
        <f t="shared" si="23"/>
        <v>-1</v>
      </c>
      <c r="O145" s="12"/>
      <c r="P145" s="3">
        <v>0</v>
      </c>
      <c r="Q145" s="3"/>
      <c r="R145" s="20">
        <f t="shared" si="24"/>
        <v>0</v>
      </c>
      <c r="S145" s="3"/>
      <c r="T145" s="3">
        <v>455.21</v>
      </c>
      <c r="U145" s="3"/>
      <c r="V145" s="20">
        <f t="shared" si="25"/>
        <v>5.7150191232366443E-5</v>
      </c>
      <c r="W145" s="3"/>
      <c r="X145" s="3">
        <f t="shared" si="26"/>
        <v>-455.21</v>
      </c>
      <c r="Y145" s="3"/>
      <c r="Z145" s="20">
        <f t="shared" si="27"/>
        <v>-1</v>
      </c>
    </row>
    <row r="146" spans="1:26" s="69" customFormat="1" ht="15" hidden="1" customHeight="1" outlineLevel="1" x14ac:dyDescent="0.3">
      <c r="A146" s="42"/>
      <c r="B146" s="12" t="str">
        <f>CONCATENATE("          ","5540"," - ","FREIGHT-IN-LOGO CLOTHING")</f>
        <v xml:space="preserve">          5540 - FREIGHT-IN-LOGO CLOTHING</v>
      </c>
      <c r="C146" s="12"/>
      <c r="D146" s="3"/>
      <c r="E146" s="3"/>
      <c r="F146" s="20">
        <f t="shared" si="20"/>
        <v>0</v>
      </c>
      <c r="G146" s="3"/>
      <c r="H146" s="3">
        <v>1167.1400000000001</v>
      </c>
      <c r="I146" s="3"/>
      <c r="J146" s="20">
        <f t="shared" si="21"/>
        <v>1.4342439739271223E-3</v>
      </c>
      <c r="K146" s="3"/>
      <c r="L146" s="3">
        <f t="shared" si="22"/>
        <v>-1167.1400000000001</v>
      </c>
      <c r="M146" s="3"/>
      <c r="N146" s="20">
        <f t="shared" si="23"/>
        <v>-1</v>
      </c>
      <c r="O146" s="12"/>
      <c r="P146" s="3">
        <v>0</v>
      </c>
      <c r="Q146" s="3"/>
      <c r="R146" s="20">
        <f t="shared" si="24"/>
        <v>0</v>
      </c>
      <c r="S146" s="3"/>
      <c r="T146" s="3">
        <v>7108.37</v>
      </c>
      <c r="U146" s="3"/>
      <c r="V146" s="20">
        <f t="shared" si="25"/>
        <v>8.924336127291067E-4</v>
      </c>
      <c r="W146" s="3"/>
      <c r="X146" s="3">
        <f t="shared" si="26"/>
        <v>-7108.37</v>
      </c>
      <c r="Y146" s="3"/>
      <c r="Z146" s="20">
        <f t="shared" si="27"/>
        <v>-1</v>
      </c>
    </row>
    <row r="147" spans="1:26" s="69" customFormat="1" ht="15" hidden="1" customHeight="1" outlineLevel="1" x14ac:dyDescent="0.3">
      <c r="A147" s="42"/>
      <c r="B147" s="12" t="str">
        <f>CONCATENATE("          ","5541"," - ","FREIGHT-IN-LOGO GIFTS")</f>
        <v xml:space="preserve">          5541 - FREIGHT-IN-LOGO GIFTS</v>
      </c>
      <c r="C147" s="12"/>
      <c r="D147" s="3"/>
      <c r="E147" s="3"/>
      <c r="F147" s="20">
        <f t="shared" si="20"/>
        <v>0</v>
      </c>
      <c r="G147" s="3"/>
      <c r="H147" s="3">
        <v>60.07</v>
      </c>
      <c r="I147" s="3"/>
      <c r="J147" s="20">
        <f t="shared" si="21"/>
        <v>7.3817224594994798E-5</v>
      </c>
      <c r="K147" s="3"/>
      <c r="L147" s="3">
        <f t="shared" si="22"/>
        <v>-60.07</v>
      </c>
      <c r="M147" s="3"/>
      <c r="N147" s="20">
        <f t="shared" si="23"/>
        <v>-1</v>
      </c>
      <c r="O147" s="12"/>
      <c r="P147" s="3">
        <v>0</v>
      </c>
      <c r="Q147" s="3"/>
      <c r="R147" s="20">
        <f t="shared" si="24"/>
        <v>0</v>
      </c>
      <c r="S147" s="3"/>
      <c r="T147" s="3">
        <v>2138</v>
      </c>
      <c r="U147" s="3"/>
      <c r="V147" s="20">
        <f t="shared" si="25"/>
        <v>2.6841921059466941E-4</v>
      </c>
      <c r="W147" s="3"/>
      <c r="X147" s="3">
        <f t="shared" si="26"/>
        <v>-2138</v>
      </c>
      <c r="Y147" s="3"/>
      <c r="Z147" s="20">
        <f t="shared" si="27"/>
        <v>-1</v>
      </c>
    </row>
    <row r="148" spans="1:26" s="69" customFormat="1" ht="15" hidden="1" customHeight="1" outlineLevel="1" x14ac:dyDescent="0.3">
      <c r="A148" s="42"/>
      <c r="B148" s="12" t="str">
        <f>CONCATENATE("          ","5542"," - ","FREIGHT-IN-EVERYDAY GIFTS")</f>
        <v xml:space="preserve">          5542 - FREIGHT-IN-EVERYDAY GIFTS</v>
      </c>
      <c r="C148" s="12"/>
      <c r="D148" s="3"/>
      <c r="E148" s="3"/>
      <c r="F148" s="20">
        <f t="shared" si="20"/>
        <v>0</v>
      </c>
      <c r="G148" s="3"/>
      <c r="H148" s="3">
        <v>297.79000000000002</v>
      </c>
      <c r="I148" s="3"/>
      <c r="J148" s="20">
        <f t="shared" si="21"/>
        <v>3.6594025823445155E-4</v>
      </c>
      <c r="K148" s="3"/>
      <c r="L148" s="3">
        <f t="shared" si="22"/>
        <v>-297.79000000000002</v>
      </c>
      <c r="M148" s="3"/>
      <c r="N148" s="20">
        <f t="shared" si="23"/>
        <v>-1</v>
      </c>
      <c r="O148" s="12"/>
      <c r="P148" s="3">
        <v>0</v>
      </c>
      <c r="Q148" s="3"/>
      <c r="R148" s="20">
        <f t="shared" si="24"/>
        <v>0</v>
      </c>
      <c r="S148" s="3"/>
      <c r="T148" s="3">
        <v>681.72</v>
      </c>
      <c r="U148" s="3"/>
      <c r="V148" s="20">
        <f t="shared" si="25"/>
        <v>8.5587813024601519E-5</v>
      </c>
      <c r="W148" s="3"/>
      <c r="X148" s="3">
        <f t="shared" si="26"/>
        <v>-681.72</v>
      </c>
      <c r="Y148" s="3"/>
      <c r="Z148" s="20">
        <f t="shared" si="27"/>
        <v>-1</v>
      </c>
    </row>
    <row r="149" spans="1:26" s="69" customFormat="1" ht="15" hidden="1" customHeight="1" outlineLevel="1" x14ac:dyDescent="0.3">
      <c r="A149" s="42"/>
      <c r="B149" s="12" t="str">
        <f>CONCATENATE("          ","5543"," - ","FREIGHT-IN-CARDS")</f>
        <v xml:space="preserve">          5543 - FREIGHT-IN-CARDS</v>
      </c>
      <c r="C149" s="12"/>
      <c r="D149" s="3"/>
      <c r="E149" s="3"/>
      <c r="F149" s="20">
        <f t="shared" si="20"/>
        <v>0</v>
      </c>
      <c r="G149" s="3"/>
      <c r="H149" s="3"/>
      <c r="I149" s="3"/>
      <c r="J149" s="20">
        <f t="shared" si="21"/>
        <v>0</v>
      </c>
      <c r="K149" s="3"/>
      <c r="L149" s="3">
        <f t="shared" si="22"/>
        <v>0</v>
      </c>
      <c r="M149" s="3"/>
      <c r="N149" s="20">
        <f t="shared" si="23"/>
        <v>0</v>
      </c>
      <c r="O149" s="12"/>
      <c r="P149" s="3"/>
      <c r="Q149" s="3"/>
      <c r="R149" s="20">
        <f t="shared" si="24"/>
        <v>0</v>
      </c>
      <c r="S149" s="3"/>
      <c r="T149" s="3">
        <v>9110.5300000000007</v>
      </c>
      <c r="U149" s="3"/>
      <c r="V149" s="20">
        <f t="shared" si="25"/>
        <v>1.1437985363419334E-3</v>
      </c>
      <c r="W149" s="3"/>
      <c r="X149" s="3">
        <f t="shared" si="26"/>
        <v>-9110.5300000000007</v>
      </c>
      <c r="Y149" s="3"/>
      <c r="Z149" s="20">
        <f t="shared" si="27"/>
        <v>-1</v>
      </c>
    </row>
    <row r="150" spans="1:26" s="69" customFormat="1" ht="15" hidden="1" customHeight="1" outlineLevel="1" x14ac:dyDescent="0.3">
      <c r="A150" s="42"/>
      <c r="B150" s="12" t="str">
        <f>CONCATENATE("          ","5544"," - ","FREIGHT-IN-ACCESSORIES")</f>
        <v xml:space="preserve">          5544 - FREIGHT-IN-ACCESSORIES</v>
      </c>
      <c r="C150" s="12"/>
      <c r="D150" s="3"/>
      <c r="E150" s="3"/>
      <c r="F150" s="20">
        <f t="shared" si="20"/>
        <v>0</v>
      </c>
      <c r="G150" s="3"/>
      <c r="H150" s="3"/>
      <c r="I150" s="3"/>
      <c r="J150" s="20">
        <f t="shared" si="21"/>
        <v>0</v>
      </c>
      <c r="K150" s="3"/>
      <c r="L150" s="3">
        <f t="shared" si="22"/>
        <v>0</v>
      </c>
      <c r="M150" s="3"/>
      <c r="N150" s="20">
        <f t="shared" si="23"/>
        <v>0</v>
      </c>
      <c r="O150" s="12"/>
      <c r="P150" s="3">
        <v>0</v>
      </c>
      <c r="Q150" s="3"/>
      <c r="R150" s="20">
        <f t="shared" si="24"/>
        <v>0</v>
      </c>
      <c r="S150" s="3"/>
      <c r="T150" s="3"/>
      <c r="U150" s="3"/>
      <c r="V150" s="20">
        <f t="shared" si="25"/>
        <v>0</v>
      </c>
      <c r="W150" s="3"/>
      <c r="X150" s="3">
        <f t="shared" si="26"/>
        <v>0</v>
      </c>
      <c r="Y150" s="3"/>
      <c r="Z150" s="20">
        <f t="shared" si="27"/>
        <v>0</v>
      </c>
    </row>
    <row r="151" spans="1:26" s="69" customFormat="1" ht="15" hidden="1" customHeight="1" outlineLevel="1" x14ac:dyDescent="0.3">
      <c r="A151" s="42"/>
      <c r="B151" s="12" t="str">
        <f>CONCATENATE("          ","5545"," - ","FREIGHT-IN-SPECIAL ORDERS")</f>
        <v xml:space="preserve">          5545 - FREIGHT-IN-SPECIAL ORDERS</v>
      </c>
      <c r="C151" s="12"/>
      <c r="D151" s="3"/>
      <c r="E151" s="3"/>
      <c r="F151" s="20">
        <f t="shared" si="20"/>
        <v>0</v>
      </c>
      <c r="G151" s="3"/>
      <c r="H151" s="3">
        <v>17.63</v>
      </c>
      <c r="I151" s="3"/>
      <c r="J151" s="20">
        <f t="shared" si="21"/>
        <v>2.1664685693520198E-5</v>
      </c>
      <c r="K151" s="3"/>
      <c r="L151" s="3">
        <f t="shared" si="22"/>
        <v>-17.63</v>
      </c>
      <c r="M151" s="3"/>
      <c r="N151" s="20">
        <f t="shared" si="23"/>
        <v>-1</v>
      </c>
      <c r="O151" s="12"/>
      <c r="P151" s="3">
        <v>0</v>
      </c>
      <c r="Q151" s="3"/>
      <c r="R151" s="20">
        <f t="shared" si="24"/>
        <v>0</v>
      </c>
      <c r="S151" s="3"/>
      <c r="T151" s="3">
        <v>1266.1600000000001</v>
      </c>
      <c r="U151" s="3"/>
      <c r="V151" s="20">
        <f t="shared" si="25"/>
        <v>1.589624264202744E-4</v>
      </c>
      <c r="W151" s="3"/>
      <c r="X151" s="3">
        <f t="shared" si="26"/>
        <v>-1266.1600000000001</v>
      </c>
      <c r="Y151" s="3"/>
      <c r="Z151" s="20">
        <f t="shared" si="27"/>
        <v>-1</v>
      </c>
    </row>
    <row r="152" spans="1:26" s="69" customFormat="1" ht="15" hidden="1" customHeight="1" outlineLevel="1" x14ac:dyDescent="0.3">
      <c r="A152" s="42"/>
      <c r="B152" s="12" t="str">
        <f>CONCATENATE("          ","5581"," - ","FREIGHT-IN-ELECTRONICS")</f>
        <v xml:space="preserve">          5581 - FREIGHT-IN-ELECTRONICS</v>
      </c>
      <c r="C152" s="12"/>
      <c r="D152" s="3"/>
      <c r="E152" s="3"/>
      <c r="F152" s="20">
        <f t="shared" si="20"/>
        <v>0</v>
      </c>
      <c r="G152" s="3"/>
      <c r="H152" s="3"/>
      <c r="I152" s="3"/>
      <c r="J152" s="20">
        <f t="shared" si="21"/>
        <v>0</v>
      </c>
      <c r="K152" s="3"/>
      <c r="L152" s="3">
        <f t="shared" si="22"/>
        <v>0</v>
      </c>
      <c r="M152" s="3"/>
      <c r="N152" s="20">
        <f t="shared" si="23"/>
        <v>0</v>
      </c>
      <c r="O152" s="12"/>
      <c r="P152" s="3"/>
      <c r="Q152" s="3"/>
      <c r="R152" s="20">
        <f t="shared" si="24"/>
        <v>0</v>
      </c>
      <c r="S152" s="3"/>
      <c r="T152" s="3">
        <v>31</v>
      </c>
      <c r="U152" s="3"/>
      <c r="V152" s="20">
        <f t="shared" si="25"/>
        <v>3.8919530067515208E-6</v>
      </c>
      <c r="W152" s="3"/>
      <c r="X152" s="3">
        <f t="shared" si="26"/>
        <v>-31</v>
      </c>
      <c r="Y152" s="3"/>
      <c r="Z152" s="20">
        <f t="shared" si="27"/>
        <v>-1</v>
      </c>
    </row>
    <row r="153" spans="1:26" s="69" customFormat="1" ht="15" hidden="1" customHeight="1" outlineLevel="1" x14ac:dyDescent="0.3">
      <c r="A153" s="42"/>
      <c r="B153" s="12" t="str">
        <f>CONCATENATE("          ","5582"," - ","FREIGHT-IN-COMPUTER HARDWARE")</f>
        <v xml:space="preserve">          5582 - FREIGHT-IN-COMPUTER HARDWARE</v>
      </c>
      <c r="C153" s="12"/>
      <c r="D153" s="3"/>
      <c r="E153" s="3"/>
      <c r="F153" s="20">
        <f t="shared" si="20"/>
        <v>0</v>
      </c>
      <c r="G153" s="3"/>
      <c r="H153" s="3"/>
      <c r="I153" s="3"/>
      <c r="J153" s="20">
        <f t="shared" si="21"/>
        <v>0</v>
      </c>
      <c r="K153" s="3"/>
      <c r="L153" s="3">
        <f t="shared" si="22"/>
        <v>0</v>
      </c>
      <c r="M153" s="3"/>
      <c r="N153" s="20">
        <f t="shared" si="23"/>
        <v>0</v>
      </c>
      <c r="O153" s="12"/>
      <c r="P153" s="3"/>
      <c r="Q153" s="3"/>
      <c r="R153" s="20">
        <f t="shared" si="24"/>
        <v>0</v>
      </c>
      <c r="S153" s="3"/>
      <c r="T153" s="3">
        <v>125</v>
      </c>
      <c r="U153" s="3"/>
      <c r="V153" s="20">
        <f t="shared" si="25"/>
        <v>1.5693358898191616E-5</v>
      </c>
      <c r="W153" s="3"/>
      <c r="X153" s="3">
        <f t="shared" si="26"/>
        <v>-125</v>
      </c>
      <c r="Y153" s="3"/>
      <c r="Z153" s="20">
        <f t="shared" si="27"/>
        <v>-1</v>
      </c>
    </row>
    <row r="154" spans="1:26" s="69" customFormat="1" ht="15" hidden="1" customHeight="1" outlineLevel="1" x14ac:dyDescent="0.3">
      <c r="A154" s="42"/>
      <c r="B154" s="12" t="str">
        <f>CONCATENATE("          ","5583"," - ","FREIGHT-IN-COMPUTER EQUIPMENT")</f>
        <v xml:space="preserve">          5583 - FREIGHT-IN-COMPUTER EQUIPMENT</v>
      </c>
      <c r="C154" s="12"/>
      <c r="D154" s="3"/>
      <c r="E154" s="3"/>
      <c r="F154" s="20">
        <f t="shared" si="20"/>
        <v>0</v>
      </c>
      <c r="G154" s="3"/>
      <c r="H154" s="3"/>
      <c r="I154" s="3"/>
      <c r="J154" s="20">
        <f t="shared" si="21"/>
        <v>0</v>
      </c>
      <c r="K154" s="3"/>
      <c r="L154" s="3">
        <f t="shared" si="22"/>
        <v>0</v>
      </c>
      <c r="M154" s="3"/>
      <c r="N154" s="20">
        <f t="shared" si="23"/>
        <v>0</v>
      </c>
      <c r="O154" s="12"/>
      <c r="P154" s="3">
        <v>0</v>
      </c>
      <c r="Q154" s="3"/>
      <c r="R154" s="20">
        <f t="shared" si="24"/>
        <v>0</v>
      </c>
      <c r="S154" s="3"/>
      <c r="T154" s="3">
        <v>242.46</v>
      </c>
      <c r="U154" s="3"/>
      <c r="V154" s="20">
        <f t="shared" si="25"/>
        <v>3.0440094387644317E-5</v>
      </c>
      <c r="W154" s="3"/>
      <c r="X154" s="3">
        <f t="shared" si="26"/>
        <v>-242.46</v>
      </c>
      <c r="Y154" s="3"/>
      <c r="Z154" s="20">
        <f t="shared" si="27"/>
        <v>-1</v>
      </c>
    </row>
    <row r="155" spans="1:26" s="69" customFormat="1" ht="15" hidden="1" customHeight="1" outlineLevel="1" x14ac:dyDescent="0.3">
      <c r="A155" s="42"/>
      <c r="B155" s="12" t="str">
        <f>CONCATENATE("          ","5585"," - ","FREIGHT-IN-SOFTWARE")</f>
        <v xml:space="preserve">          5585 - FREIGHT-IN-SOFTWARE</v>
      </c>
      <c r="C155" s="12"/>
      <c r="D155" s="3"/>
      <c r="E155" s="3"/>
      <c r="F155" s="20">
        <f t="shared" si="20"/>
        <v>0</v>
      </c>
      <c r="G155" s="3"/>
      <c r="H155" s="3">
        <v>9.41</v>
      </c>
      <c r="I155" s="3"/>
      <c r="J155" s="20">
        <f t="shared" si="21"/>
        <v>1.1563510628248727E-5</v>
      </c>
      <c r="K155" s="3"/>
      <c r="L155" s="3">
        <f t="shared" si="22"/>
        <v>-9.41</v>
      </c>
      <c r="M155" s="3"/>
      <c r="N155" s="20">
        <f t="shared" si="23"/>
        <v>-1</v>
      </c>
      <c r="O155" s="12"/>
      <c r="P155" s="3"/>
      <c r="Q155" s="3"/>
      <c r="R155" s="20">
        <f t="shared" si="24"/>
        <v>0</v>
      </c>
      <c r="S155" s="3"/>
      <c r="T155" s="3">
        <v>9.41</v>
      </c>
      <c r="U155" s="3"/>
      <c r="V155" s="20">
        <f t="shared" si="25"/>
        <v>1.181396057855865E-6</v>
      </c>
      <c r="W155" s="3"/>
      <c r="X155" s="3">
        <f t="shared" si="26"/>
        <v>-9.41</v>
      </c>
      <c r="Y155" s="3"/>
      <c r="Z155" s="20">
        <f t="shared" si="27"/>
        <v>-1</v>
      </c>
    </row>
    <row r="156" spans="1:26" s="69" customFormat="1" ht="15" hidden="1" customHeight="1" outlineLevel="1" x14ac:dyDescent="0.3">
      <c r="A156" s="42"/>
      <c r="B156" s="12" t="str">
        <f>CONCATENATE("          ","5586"," - ","FREIGHT-IN-COMPUTER SUPPLIES")</f>
        <v xml:space="preserve">          5586 - FREIGHT-IN-COMPUTER SUPPLIES</v>
      </c>
      <c r="C156" s="12"/>
      <c r="D156" s="3"/>
      <c r="E156" s="3"/>
      <c r="F156" s="20">
        <f t="shared" si="20"/>
        <v>0</v>
      </c>
      <c r="G156" s="3"/>
      <c r="H156" s="3"/>
      <c r="I156" s="3"/>
      <c r="J156" s="20">
        <f t="shared" si="21"/>
        <v>0</v>
      </c>
      <c r="K156" s="3"/>
      <c r="L156" s="3">
        <f t="shared" si="22"/>
        <v>0</v>
      </c>
      <c r="M156" s="3"/>
      <c r="N156" s="20">
        <f t="shared" si="23"/>
        <v>0</v>
      </c>
      <c r="O156" s="12"/>
      <c r="P156" s="3"/>
      <c r="Q156" s="3"/>
      <c r="R156" s="20">
        <f t="shared" si="24"/>
        <v>0</v>
      </c>
      <c r="S156" s="3"/>
      <c r="T156" s="3">
        <v>24.12</v>
      </c>
      <c r="U156" s="3"/>
      <c r="V156" s="20">
        <f t="shared" si="25"/>
        <v>3.0281905329950545E-6</v>
      </c>
      <c r="W156" s="3"/>
      <c r="X156" s="3">
        <f t="shared" si="26"/>
        <v>-24.12</v>
      </c>
      <c r="Y156" s="3"/>
      <c r="Z156" s="20">
        <f t="shared" si="27"/>
        <v>-1</v>
      </c>
    </row>
    <row r="157" spans="1:26" s="69" customFormat="1" ht="15" hidden="1" customHeight="1" outlineLevel="1" x14ac:dyDescent="0.3">
      <c r="A157" s="42"/>
      <c r="B157" s="12" t="str">
        <f>CONCATENATE("          ","5592"," - ","FREIGHT-IN-GRAD MERCH")</f>
        <v xml:space="preserve">          5592 - FREIGHT-IN-GRAD MERCH</v>
      </c>
      <c r="C157" s="12"/>
      <c r="D157" s="3"/>
      <c r="E157" s="3"/>
      <c r="F157" s="20">
        <f t="shared" si="20"/>
        <v>0</v>
      </c>
      <c r="G157" s="3"/>
      <c r="H157" s="3"/>
      <c r="I157" s="3"/>
      <c r="J157" s="20">
        <f t="shared" si="21"/>
        <v>0</v>
      </c>
      <c r="K157" s="3"/>
      <c r="L157" s="3">
        <f t="shared" si="22"/>
        <v>0</v>
      </c>
      <c r="M157" s="3"/>
      <c r="N157" s="20">
        <f t="shared" si="23"/>
        <v>0</v>
      </c>
      <c r="O157" s="12"/>
      <c r="P157" s="3"/>
      <c r="Q157" s="3"/>
      <c r="R157" s="20">
        <f t="shared" si="24"/>
        <v>0</v>
      </c>
      <c r="S157" s="3"/>
      <c r="T157" s="3">
        <v>0</v>
      </c>
      <c r="U157" s="3"/>
      <c r="V157" s="20">
        <f t="shared" si="25"/>
        <v>0</v>
      </c>
      <c r="W157" s="3"/>
      <c r="X157" s="3">
        <f t="shared" si="26"/>
        <v>0</v>
      </c>
      <c r="Y157" s="3"/>
      <c r="Z157" s="20">
        <f t="shared" si="27"/>
        <v>0</v>
      </c>
    </row>
    <row r="158" spans="1:26" ht="15" customHeight="1" x14ac:dyDescent="0.3">
      <c r="A158" s="10"/>
      <c r="B158" s="11"/>
      <c r="C158" s="11"/>
      <c r="D158" s="4"/>
      <c r="E158" s="4"/>
      <c r="F158" s="9"/>
      <c r="G158" s="4"/>
      <c r="H158" s="4"/>
      <c r="I158" s="4"/>
      <c r="J158" s="9"/>
      <c r="K158" s="4"/>
      <c r="L158" s="4"/>
      <c r="M158" s="4"/>
      <c r="N158" s="9"/>
      <c r="O158" s="11"/>
      <c r="P158" s="4"/>
      <c r="Q158" s="4"/>
      <c r="R158" s="9"/>
      <c r="S158" s="4"/>
      <c r="T158" s="4"/>
      <c r="U158" s="4"/>
      <c r="V158" s="9"/>
      <c r="W158" s="4"/>
      <c r="X158" s="4"/>
      <c r="Y158" s="4"/>
      <c r="Z158" s="9"/>
    </row>
    <row r="159" spans="1:26" s="62" customFormat="1" ht="15" customHeight="1" x14ac:dyDescent="0.3">
      <c r="A159" s="11"/>
      <c r="B159" s="27" t="s">
        <v>288</v>
      </c>
      <c r="C159" s="27"/>
      <c r="D159" s="22">
        <f>D12-D105</f>
        <v>1767142.65</v>
      </c>
      <c r="E159" s="15"/>
      <c r="F159" s="21">
        <f>IF(D$12=0,0,D159/D$12)</f>
        <v>0.61612477787958264</v>
      </c>
      <c r="G159" s="15"/>
      <c r="H159" s="22">
        <f>H12-H105</f>
        <v>321412.7099999999</v>
      </c>
      <c r="I159" s="15"/>
      <c r="J159" s="21">
        <f>IF(H$12=0,0,H159/H$12)</f>
        <v>0.39496910607218122</v>
      </c>
      <c r="K159" s="17"/>
      <c r="L159" s="22">
        <f>+D159-H159</f>
        <v>1445729.94</v>
      </c>
      <c r="M159" s="17"/>
      <c r="N159" s="21">
        <f>IF(H159=0,0,L159/H159)</f>
        <v>4.4980484436972032</v>
      </c>
      <c r="O159" s="28"/>
      <c r="P159" s="22">
        <f>P12-P105</f>
        <v>10917007.990000004</v>
      </c>
      <c r="Q159" s="15"/>
      <c r="R159" s="21">
        <f>IF(P$12=0,0,P159/P$12)</f>
        <v>0.5896418521791893</v>
      </c>
      <c r="S159" s="15"/>
      <c r="T159" s="22">
        <f>T12-T105</f>
        <v>2972808.4200000009</v>
      </c>
      <c r="U159" s="15"/>
      <c r="V159" s="21">
        <f>IF(T$12=0,0,T159/T$12)</f>
        <v>0.37322679576500778</v>
      </c>
      <c r="W159" s="17"/>
      <c r="X159" s="22">
        <f>+P159-T159</f>
        <v>7944199.5700000031</v>
      </c>
      <c r="Y159" s="17"/>
      <c r="Z159" s="21">
        <f>IF(T159=0,0,X159/T159)</f>
        <v>2.6722877655197173</v>
      </c>
    </row>
    <row r="160" spans="1:26" ht="15" customHeight="1" x14ac:dyDescent="0.3">
      <c r="A160" s="10"/>
      <c r="B160" s="11"/>
      <c r="C160" s="10"/>
      <c r="D160" s="2"/>
      <c r="E160" s="2"/>
      <c r="F160" s="6"/>
      <c r="G160" s="2"/>
      <c r="H160" s="2"/>
      <c r="I160" s="2"/>
      <c r="J160" s="6"/>
      <c r="K160" s="2"/>
      <c r="L160" s="2"/>
      <c r="M160" s="2"/>
      <c r="N160" s="6"/>
      <c r="O160" s="36"/>
      <c r="P160" s="2"/>
      <c r="Q160" s="2"/>
      <c r="R160" s="6"/>
      <c r="S160" s="2"/>
      <c r="T160" s="2"/>
      <c r="U160" s="2"/>
      <c r="V160" s="6"/>
      <c r="W160" s="2"/>
      <c r="X160" s="2"/>
      <c r="Y160" s="2"/>
      <c r="Z160" s="6"/>
    </row>
    <row r="161" spans="1:26" s="62" customFormat="1" ht="15" customHeight="1" x14ac:dyDescent="0.3">
      <c r="A161" s="11"/>
      <c r="B161" s="28" t="s">
        <v>289</v>
      </c>
      <c r="C161" s="11"/>
      <c r="D161" s="23" cm="1">
        <f t="array" ref="D161">SUM(OSRRefD22x_0)</f>
        <v>1185685.0600000003</v>
      </c>
      <c r="E161" s="23"/>
      <c r="F161" s="35">
        <f t="shared" ref="F161:F192" si="28">IF(D$12=0,0,D161/D$12)</f>
        <v>0.41339613654146129</v>
      </c>
      <c r="G161" s="23"/>
      <c r="H161" s="23" cm="1">
        <f t="array" ref="H161">SUM(OSRRefH22x_0)</f>
        <v>620951.03999999969</v>
      </c>
      <c r="I161" s="23"/>
      <c r="J161" s="35">
        <f t="shared" ref="J161:J192" si="29">IF(H$12=0,0,H161/H$12)</f>
        <v>0.76305780559639713</v>
      </c>
      <c r="K161" s="5"/>
      <c r="L161" s="23">
        <f t="shared" ref="L161:L192" si="30">+D161-H161</f>
        <v>564734.0200000006</v>
      </c>
      <c r="M161" s="5"/>
      <c r="N161" s="35">
        <f t="shared" ref="N161:N192" si="31">IF(H161=0,0,L161/H161)</f>
        <v>0.90946626001302922</v>
      </c>
      <c r="O161" s="11"/>
      <c r="P161" s="23" cm="1">
        <f t="array" ref="P161">SUM(OSRRefP22x_0)</f>
        <v>9382187.9900000021</v>
      </c>
      <c r="Q161" s="23"/>
      <c r="R161" s="35">
        <f t="shared" ref="R161:R192" si="32">IF(P$12=0,0,P161/P$12)</f>
        <v>0.50674422048462231</v>
      </c>
      <c r="S161" s="23"/>
      <c r="T161" s="23" cm="1">
        <f t="array" ref="T161">SUM(OSRRefT22x_0)</f>
        <v>6106232.3500000006</v>
      </c>
      <c r="U161" s="23"/>
      <c r="V161" s="35">
        <f t="shared" ref="V161:V192" si="33">IF(T$12=0,0,T161/T$12)</f>
        <v>0.76661836627438418</v>
      </c>
      <c r="W161" s="5"/>
      <c r="X161" s="23">
        <f t="shared" ref="X161:X192" si="34">+P161-T161</f>
        <v>3275955.6400000015</v>
      </c>
      <c r="Y161" s="5"/>
      <c r="Z161" s="35">
        <f t="shared" ref="Z161:Z192" si="35">IF(T161=0,0,X161/T161)</f>
        <v>0.53649377426654932</v>
      </c>
    </row>
    <row r="162" spans="1:26" s="68" customFormat="1" ht="15" customHeight="1" outlineLevel="1" collapsed="1" x14ac:dyDescent="0.3">
      <c r="A162" s="26"/>
      <c r="B162" s="14" t="str">
        <f>CONCATENATE("     ","*Benefits                                         ")</f>
        <v xml:space="preserve">     *Benefits                                         </v>
      </c>
      <c r="C162" s="14"/>
      <c r="D162" s="2">
        <f>SUM(OSRRefD22_0x_0)</f>
        <v>173524.73000000004</v>
      </c>
      <c r="E162" s="2"/>
      <c r="F162" s="6">
        <f t="shared" si="28"/>
        <v>6.0500427471355846E-2</v>
      </c>
      <c r="G162" s="2"/>
      <c r="H162" s="2">
        <f>SUM(OSRRefH22_0x_0)</f>
        <v>147159.49</v>
      </c>
      <c r="I162" s="2"/>
      <c r="J162" s="6">
        <f t="shared" si="29"/>
        <v>0.18083744172823191</v>
      </c>
      <c r="K162" s="2"/>
      <c r="L162" s="2">
        <f t="shared" si="30"/>
        <v>26365.240000000049</v>
      </c>
      <c r="M162" s="2"/>
      <c r="N162" s="6">
        <f t="shared" si="31"/>
        <v>0.1791609905688043</v>
      </c>
      <c r="O162" s="14"/>
      <c r="P162" s="2">
        <f>SUM(OSRRefP22_0x_0)</f>
        <v>1554810.3599999999</v>
      </c>
      <c r="Q162" s="2"/>
      <c r="R162" s="6">
        <f t="shared" si="32"/>
        <v>8.3977337132808277E-2</v>
      </c>
      <c r="S162" s="2"/>
      <c r="T162" s="2">
        <f>SUM(OSRRefT22_0x_0)</f>
        <v>1387220.61</v>
      </c>
      <c r="U162" s="2"/>
      <c r="V162" s="6">
        <f t="shared" si="33"/>
        <v>0.17416120722958645</v>
      </c>
      <c r="W162" s="2"/>
      <c r="X162" s="2">
        <f t="shared" si="34"/>
        <v>167589.74999999977</v>
      </c>
      <c r="Y162" s="2"/>
      <c r="Z162" s="6">
        <f t="shared" si="35"/>
        <v>0.12080973191423371</v>
      </c>
    </row>
    <row r="163" spans="1:26" s="69" customFormat="1" ht="15" hidden="1" customHeight="1" outlineLevel="2" x14ac:dyDescent="0.3">
      <c r="A163" s="25"/>
      <c r="B163" s="12" t="str">
        <f>CONCATENATE("          ","6111"," - ","F.I.C.A.")</f>
        <v xml:space="preserve">          6111 - F.I.C.A.</v>
      </c>
      <c r="C163" s="12"/>
      <c r="D163" s="8">
        <v>27167.93</v>
      </c>
      <c r="E163" s="3"/>
      <c r="F163" s="7">
        <f t="shared" si="28"/>
        <v>9.4722601125031124E-3</v>
      </c>
      <c r="G163" s="3"/>
      <c r="H163" s="8">
        <v>18662.14</v>
      </c>
      <c r="I163" s="3"/>
      <c r="J163" s="7">
        <f t="shared" si="29"/>
        <v>2.2933034456521329E-2</v>
      </c>
      <c r="K163" s="3"/>
      <c r="L163" s="8">
        <f t="shared" si="30"/>
        <v>8505.7900000000009</v>
      </c>
      <c r="M163" s="3"/>
      <c r="N163" s="7">
        <f t="shared" si="31"/>
        <v>0.45577784755660394</v>
      </c>
      <c r="O163" s="12"/>
      <c r="P163" s="8">
        <v>242913.64</v>
      </c>
      <c r="Q163" s="3"/>
      <c r="R163" s="7">
        <f t="shared" si="32"/>
        <v>1.3120082786454821E-2</v>
      </c>
      <c r="S163" s="3"/>
      <c r="T163" s="8">
        <v>189428.97</v>
      </c>
      <c r="U163" s="3"/>
      <c r="V163" s="7">
        <f t="shared" si="33"/>
        <v>2.3782214495398184E-2</v>
      </c>
      <c r="W163" s="3"/>
      <c r="X163" s="8">
        <f t="shared" si="34"/>
        <v>53484.670000000013</v>
      </c>
      <c r="Y163" s="3"/>
      <c r="Z163" s="7">
        <f t="shared" si="35"/>
        <v>0.28234683427777713</v>
      </c>
    </row>
    <row r="164" spans="1:26" s="69" customFormat="1" ht="15" hidden="1" customHeight="1" outlineLevel="2" x14ac:dyDescent="0.3">
      <c r="A164" s="25"/>
      <c r="B164" s="12" t="str">
        <f>CONCATENATE("          ","6112"," - ","COMPENSATION INSURANCE")</f>
        <v xml:space="preserve">          6112 - COMPENSATION INSURANCE</v>
      </c>
      <c r="C164" s="12"/>
      <c r="D164" s="8">
        <v>16800.150000000001</v>
      </c>
      <c r="E164" s="3"/>
      <c r="F164" s="7">
        <f t="shared" si="28"/>
        <v>5.8574720535966192E-3</v>
      </c>
      <c r="G164" s="3"/>
      <c r="H164" s="8">
        <v>7198.59</v>
      </c>
      <c r="I164" s="3"/>
      <c r="J164" s="7">
        <f t="shared" si="29"/>
        <v>8.8460118994054208E-3</v>
      </c>
      <c r="K164" s="3"/>
      <c r="L164" s="8">
        <f t="shared" si="30"/>
        <v>9601.5600000000013</v>
      </c>
      <c r="M164" s="3"/>
      <c r="N164" s="7">
        <f t="shared" si="31"/>
        <v>1.3338112046942527</v>
      </c>
      <c r="O164" s="12"/>
      <c r="P164" s="8">
        <v>114803.51</v>
      </c>
      <c r="Q164" s="3"/>
      <c r="R164" s="7">
        <f t="shared" si="32"/>
        <v>6.2006874351542953E-3</v>
      </c>
      <c r="S164" s="3"/>
      <c r="T164" s="8">
        <v>73686.33</v>
      </c>
      <c r="U164" s="3"/>
      <c r="V164" s="7">
        <f t="shared" si="33"/>
        <v>9.2510881806446722E-3</v>
      </c>
      <c r="W164" s="3"/>
      <c r="X164" s="8">
        <f t="shared" si="34"/>
        <v>41117.179999999993</v>
      </c>
      <c r="Y164" s="3"/>
      <c r="Z164" s="7">
        <f t="shared" si="35"/>
        <v>0.55800282087600228</v>
      </c>
    </row>
    <row r="165" spans="1:26" s="69" customFormat="1" ht="15" hidden="1" customHeight="1" outlineLevel="2" x14ac:dyDescent="0.3">
      <c r="A165" s="25"/>
      <c r="B165" s="12" t="str">
        <f>CONCATENATE("          ","6113"," - ","GROUP INSURANCE")</f>
        <v xml:space="preserve">          6113 - GROUP INSURANCE</v>
      </c>
      <c r="C165" s="12"/>
      <c r="D165" s="8">
        <v>72537.350000000006</v>
      </c>
      <c r="E165" s="3"/>
      <c r="F165" s="7">
        <f t="shared" si="28"/>
        <v>2.5290577790493339E-2</v>
      </c>
      <c r="G165" s="3"/>
      <c r="H165" s="8">
        <v>74510.69</v>
      </c>
      <c r="I165" s="3"/>
      <c r="J165" s="7">
        <f t="shared" si="29"/>
        <v>9.1562715805860381E-2</v>
      </c>
      <c r="K165" s="3"/>
      <c r="L165" s="8">
        <f t="shared" si="30"/>
        <v>-1973.3399999999965</v>
      </c>
      <c r="M165" s="3"/>
      <c r="N165" s="7">
        <f t="shared" si="31"/>
        <v>-2.6483985049661953E-2</v>
      </c>
      <c r="O165" s="12"/>
      <c r="P165" s="8">
        <v>672581.12</v>
      </c>
      <c r="Q165" s="3"/>
      <c r="R165" s="7">
        <f t="shared" si="32"/>
        <v>3.6326984252537255E-2</v>
      </c>
      <c r="S165" s="3"/>
      <c r="T165" s="8">
        <v>675486.52</v>
      </c>
      <c r="U165" s="3"/>
      <c r="V165" s="7">
        <f t="shared" si="33"/>
        <v>8.4805219114003919E-2</v>
      </c>
      <c r="W165" s="3"/>
      <c r="X165" s="8">
        <f t="shared" si="34"/>
        <v>-2905.4000000000233</v>
      </c>
      <c r="Y165" s="3"/>
      <c r="Z165" s="7">
        <f t="shared" si="35"/>
        <v>-4.3011961215747479E-3</v>
      </c>
    </row>
    <row r="166" spans="1:26" s="69" customFormat="1" ht="15" hidden="1" customHeight="1" outlineLevel="2" x14ac:dyDescent="0.3">
      <c r="A166" s="25"/>
      <c r="B166" s="12" t="str">
        <f>CONCATENATE("          ","6114"," - ","STATE UNEMPLOYMENT INSURANCE")</f>
        <v xml:space="preserve">          6114 - STATE UNEMPLOYMENT INSURANCE</v>
      </c>
      <c r="C166" s="12"/>
      <c r="D166" s="8">
        <v>1593.78</v>
      </c>
      <c r="E166" s="3"/>
      <c r="F166" s="7">
        <f t="shared" si="28"/>
        <v>5.5568086056262704E-4</v>
      </c>
      <c r="G166" s="3"/>
      <c r="H166" s="8">
        <v>723.36</v>
      </c>
      <c r="I166" s="3"/>
      <c r="J166" s="7">
        <f t="shared" si="29"/>
        <v>8.8890340574388947E-4</v>
      </c>
      <c r="K166" s="3"/>
      <c r="L166" s="8">
        <f t="shared" si="30"/>
        <v>870.42</v>
      </c>
      <c r="M166" s="3"/>
      <c r="N166" s="7">
        <f t="shared" si="31"/>
        <v>1.2033012607830125</v>
      </c>
      <c r="O166" s="12"/>
      <c r="P166" s="8">
        <v>11446.92</v>
      </c>
      <c r="Q166" s="3"/>
      <c r="R166" s="7">
        <f t="shared" si="32"/>
        <v>6.1826309156589731E-4</v>
      </c>
      <c r="S166" s="3"/>
      <c r="T166" s="8">
        <v>7529.95</v>
      </c>
      <c r="U166" s="3"/>
      <c r="V166" s="7">
        <f t="shared" si="33"/>
        <v>9.453616626835037E-4</v>
      </c>
      <c r="W166" s="3"/>
      <c r="X166" s="8">
        <f t="shared" si="34"/>
        <v>3916.9700000000003</v>
      </c>
      <c r="Y166" s="3"/>
      <c r="Z166" s="7">
        <f t="shared" si="35"/>
        <v>0.52018539299729749</v>
      </c>
    </row>
    <row r="167" spans="1:26" s="69" customFormat="1" ht="15" hidden="1" customHeight="1" outlineLevel="2" x14ac:dyDescent="0.3">
      <c r="A167" s="25"/>
      <c r="B167" s="12" t="str">
        <f>CONCATENATE("          ","6115"," - ","P.E.R.S.")</f>
        <v xml:space="preserve">          6115 - P.E.R.S.</v>
      </c>
      <c r="C167" s="12"/>
      <c r="D167" s="8">
        <v>13446.81</v>
      </c>
      <c r="E167" s="3"/>
      <c r="F167" s="7">
        <f t="shared" si="28"/>
        <v>4.6883101511012428E-3</v>
      </c>
      <c r="G167" s="3"/>
      <c r="H167" s="8">
        <v>13550.15</v>
      </c>
      <c r="I167" s="3"/>
      <c r="J167" s="7">
        <f t="shared" si="29"/>
        <v>1.6651148091324602E-2</v>
      </c>
      <c r="K167" s="3"/>
      <c r="L167" s="8">
        <f t="shared" si="30"/>
        <v>-103.34000000000015</v>
      </c>
      <c r="M167" s="3"/>
      <c r="N167" s="7">
        <f t="shared" si="31"/>
        <v>-7.6264838396623022E-3</v>
      </c>
      <c r="O167" s="12"/>
      <c r="P167" s="8">
        <v>136599.06</v>
      </c>
      <c r="Q167" s="3"/>
      <c r="R167" s="7">
        <f t="shared" si="32"/>
        <v>7.377893541720873E-3</v>
      </c>
      <c r="S167" s="3"/>
      <c r="T167" s="8">
        <v>142377.24</v>
      </c>
      <c r="U167" s="3"/>
      <c r="V167" s="7">
        <f t="shared" si="33"/>
        <v>1.7875017010031705E-2</v>
      </c>
      <c r="W167" s="3"/>
      <c r="X167" s="8">
        <f t="shared" si="34"/>
        <v>-5778.179999999993</v>
      </c>
      <c r="Y167" s="3"/>
      <c r="Z167" s="7">
        <f t="shared" si="35"/>
        <v>-4.0583593276565785E-2</v>
      </c>
    </row>
    <row r="168" spans="1:26" s="69" customFormat="1" ht="15" hidden="1" customHeight="1" outlineLevel="2" x14ac:dyDescent="0.3">
      <c r="A168" s="25"/>
      <c r="B168" s="12" t="str">
        <f>CONCATENATE("          ","6116"," - ","EDUCATIONAL BENEFITS")</f>
        <v xml:space="preserve">          6116 - EDUCATIONAL BENEFITS</v>
      </c>
      <c r="C168" s="12"/>
      <c r="D168" s="8"/>
      <c r="E168" s="3"/>
      <c r="F168" s="7">
        <f t="shared" si="28"/>
        <v>0</v>
      </c>
      <c r="G168" s="3"/>
      <c r="H168" s="8"/>
      <c r="I168" s="3"/>
      <c r="J168" s="7">
        <f t="shared" si="29"/>
        <v>0</v>
      </c>
      <c r="K168" s="3"/>
      <c r="L168" s="8">
        <f t="shared" si="30"/>
        <v>0</v>
      </c>
      <c r="M168" s="3"/>
      <c r="N168" s="7">
        <f t="shared" si="31"/>
        <v>0</v>
      </c>
      <c r="O168" s="12"/>
      <c r="P168" s="8"/>
      <c r="Q168" s="3"/>
      <c r="R168" s="7">
        <f t="shared" si="32"/>
        <v>0</v>
      </c>
      <c r="S168" s="3"/>
      <c r="T168" s="8">
        <v>0</v>
      </c>
      <c r="U168" s="3"/>
      <c r="V168" s="7">
        <f t="shared" si="33"/>
        <v>0</v>
      </c>
      <c r="W168" s="3"/>
      <c r="X168" s="8">
        <f t="shared" si="34"/>
        <v>0</v>
      </c>
      <c r="Y168" s="3"/>
      <c r="Z168" s="7">
        <f t="shared" si="35"/>
        <v>0</v>
      </c>
    </row>
    <row r="169" spans="1:26" s="69" customFormat="1" ht="15" hidden="1" customHeight="1" outlineLevel="2" x14ac:dyDescent="0.3">
      <c r="A169" s="25"/>
      <c r="B169" s="12" t="str">
        <f>CONCATENATE("          ","6117"," - ","RETIREMENT STAFF HOURLY")</f>
        <v xml:space="preserve">          6117 - RETIREMENT STAFF HOURLY</v>
      </c>
      <c r="C169" s="12"/>
      <c r="D169" s="8">
        <v>2893.88</v>
      </c>
      <c r="E169" s="3"/>
      <c r="F169" s="7">
        <f t="shared" si="28"/>
        <v>1.0089684453092492E-3</v>
      </c>
      <c r="G169" s="3"/>
      <c r="H169" s="8">
        <v>3123.28</v>
      </c>
      <c r="I169" s="3"/>
      <c r="J169" s="7">
        <f t="shared" si="29"/>
        <v>3.8380532917105942E-3</v>
      </c>
      <c r="K169" s="3"/>
      <c r="L169" s="8">
        <f t="shared" si="30"/>
        <v>-229.40000000000009</v>
      </c>
      <c r="M169" s="3"/>
      <c r="N169" s="7">
        <f t="shared" si="31"/>
        <v>-7.3448426013677959E-2</v>
      </c>
      <c r="O169" s="12"/>
      <c r="P169" s="8">
        <v>22674.21</v>
      </c>
      <c r="Q169" s="3"/>
      <c r="R169" s="7">
        <f t="shared" si="32"/>
        <v>1.2246636801353013E-3</v>
      </c>
      <c r="S169" s="3"/>
      <c r="T169" s="8">
        <v>19931</v>
      </c>
      <c r="U169" s="3"/>
      <c r="V169" s="7">
        <f t="shared" si="33"/>
        <v>2.5022746895988568E-3</v>
      </c>
      <c r="W169" s="3"/>
      <c r="X169" s="8">
        <f t="shared" si="34"/>
        <v>2743.2099999999991</v>
      </c>
      <c r="Y169" s="3"/>
      <c r="Z169" s="7">
        <f t="shared" si="35"/>
        <v>0.13763534192965726</v>
      </c>
    </row>
    <row r="170" spans="1:26" s="69" customFormat="1" ht="15" hidden="1" customHeight="1" outlineLevel="2" x14ac:dyDescent="0.3">
      <c r="A170" s="25"/>
      <c r="B170" s="12" t="str">
        <f>CONCATENATE("          ","6118"," - ","VACATION")</f>
        <v xml:space="preserve">          6118 - VACATION</v>
      </c>
      <c r="C170" s="12"/>
      <c r="D170" s="8">
        <v>16443.95</v>
      </c>
      <c r="E170" s="3"/>
      <c r="F170" s="7">
        <f t="shared" si="28"/>
        <v>5.7332808085487404E-3</v>
      </c>
      <c r="G170" s="3"/>
      <c r="H170" s="8">
        <v>14188.83</v>
      </c>
      <c r="I170" s="3"/>
      <c r="J170" s="7">
        <f t="shared" si="29"/>
        <v>1.7435992189948395E-2</v>
      </c>
      <c r="K170" s="3"/>
      <c r="L170" s="8">
        <f t="shared" si="30"/>
        <v>2255.1200000000008</v>
      </c>
      <c r="M170" s="3"/>
      <c r="N170" s="7">
        <f t="shared" si="31"/>
        <v>0.15893629002532281</v>
      </c>
      <c r="O170" s="12"/>
      <c r="P170" s="8">
        <v>169561.2</v>
      </c>
      <c r="Q170" s="3"/>
      <c r="R170" s="7">
        <f t="shared" si="32"/>
        <v>9.1582217506214272E-3</v>
      </c>
      <c r="S170" s="3"/>
      <c r="T170" s="8">
        <v>141135.70000000001</v>
      </c>
      <c r="U170" s="3"/>
      <c r="V170" s="7">
        <f t="shared" si="33"/>
        <v>1.7719145547580022E-2</v>
      </c>
      <c r="W170" s="3"/>
      <c r="X170" s="8">
        <f t="shared" si="34"/>
        <v>28425.5</v>
      </c>
      <c r="Y170" s="3"/>
      <c r="Z170" s="7">
        <f t="shared" si="35"/>
        <v>0.20140545588394715</v>
      </c>
    </row>
    <row r="171" spans="1:26" s="69" customFormat="1" ht="15" hidden="1" customHeight="1" outlineLevel="2" x14ac:dyDescent="0.3">
      <c r="A171" s="25"/>
      <c r="B171" s="12" t="str">
        <f>CONCATENATE("          ","6119"," - ","SICK LEAVE")</f>
        <v xml:space="preserve">          6119 - SICK LEAVE</v>
      </c>
      <c r="C171" s="12"/>
      <c r="D171" s="8">
        <v>12381</v>
      </c>
      <c r="E171" s="3"/>
      <c r="F171" s="7">
        <f t="shared" si="28"/>
        <v>4.3167091660240966E-3</v>
      </c>
      <c r="G171" s="3"/>
      <c r="H171" s="8">
        <v>9985.3799999999992</v>
      </c>
      <c r="I171" s="3"/>
      <c r="J171" s="7">
        <f t="shared" si="29"/>
        <v>1.2270568305749444E-2</v>
      </c>
      <c r="K171" s="3"/>
      <c r="L171" s="8">
        <f t="shared" si="30"/>
        <v>2395.6200000000008</v>
      </c>
      <c r="M171" s="3"/>
      <c r="N171" s="7">
        <f t="shared" si="31"/>
        <v>0.23991275244407334</v>
      </c>
      <c r="O171" s="12"/>
      <c r="P171" s="8">
        <v>110789.71</v>
      </c>
      <c r="Q171" s="3"/>
      <c r="R171" s="7">
        <f t="shared" si="32"/>
        <v>5.9838968576952766E-3</v>
      </c>
      <c r="S171" s="3"/>
      <c r="T171" s="8">
        <v>95490.29</v>
      </c>
      <c r="U171" s="3"/>
      <c r="V171" s="7">
        <f t="shared" si="33"/>
        <v>1.1988507138099184E-2</v>
      </c>
      <c r="W171" s="3"/>
      <c r="X171" s="8">
        <f t="shared" si="34"/>
        <v>15299.420000000013</v>
      </c>
      <c r="Y171" s="3"/>
      <c r="Z171" s="7">
        <f t="shared" si="35"/>
        <v>0.16021964118027093</v>
      </c>
    </row>
    <row r="172" spans="1:26" s="69" customFormat="1" ht="15" hidden="1" customHeight="1" outlineLevel="2" x14ac:dyDescent="0.3">
      <c r="A172" s="25"/>
      <c r="B172" s="12" t="str">
        <f>CONCATENATE("          ","6156"," - ","EMPLOYEE MEALS")</f>
        <v xml:space="preserve">          6156 - EMPLOYEE MEALS</v>
      </c>
      <c r="C172" s="12"/>
      <c r="D172" s="8">
        <v>10259.879999999999</v>
      </c>
      <c r="E172" s="3"/>
      <c r="F172" s="7">
        <f t="shared" si="28"/>
        <v>3.5771680832168088E-3</v>
      </c>
      <c r="G172" s="3"/>
      <c r="H172" s="8">
        <v>5217.07</v>
      </c>
      <c r="I172" s="3"/>
      <c r="J172" s="7">
        <f t="shared" si="29"/>
        <v>6.4110142819678627E-3</v>
      </c>
      <c r="K172" s="3"/>
      <c r="L172" s="8">
        <f t="shared" si="30"/>
        <v>5042.8099999999995</v>
      </c>
      <c r="M172" s="3"/>
      <c r="N172" s="7">
        <f t="shared" si="31"/>
        <v>0.96659810966692028</v>
      </c>
      <c r="O172" s="12"/>
      <c r="P172" s="8">
        <v>73440.990000000005</v>
      </c>
      <c r="Q172" s="3"/>
      <c r="R172" s="7">
        <f t="shared" si="32"/>
        <v>3.9666437369231334E-3</v>
      </c>
      <c r="S172" s="3"/>
      <c r="T172" s="8">
        <v>42154.61</v>
      </c>
      <c r="U172" s="3"/>
      <c r="V172" s="7">
        <f t="shared" si="33"/>
        <v>5.2923793915463785E-3</v>
      </c>
      <c r="W172" s="3"/>
      <c r="X172" s="8">
        <f t="shared" si="34"/>
        <v>31286.380000000005</v>
      </c>
      <c r="Y172" s="3"/>
      <c r="Z172" s="7">
        <f t="shared" si="35"/>
        <v>0.74218169732800288</v>
      </c>
    </row>
    <row r="173" spans="1:26" s="68" customFormat="1" ht="15" customHeight="1" outlineLevel="1" collapsed="1" x14ac:dyDescent="0.3">
      <c r="A173" s="26"/>
      <c r="B173" s="14" t="str">
        <f>CONCATENATE("     ","*Payroll                                          ")</f>
        <v xml:space="preserve">     *Payroll                                          </v>
      </c>
      <c r="C173" s="14"/>
      <c r="D173" s="2">
        <f>SUM(OSRRefD22_1x_0)</f>
        <v>608929.53</v>
      </c>
      <c r="E173" s="2"/>
      <c r="F173" s="6">
        <f t="shared" si="28"/>
        <v>0.21230689634227812</v>
      </c>
      <c r="G173" s="2"/>
      <c r="H173" s="2">
        <f>SUM(OSRRefH22_1x_0)</f>
        <v>271183.71999999997</v>
      </c>
      <c r="I173" s="2"/>
      <c r="J173" s="6">
        <f t="shared" si="29"/>
        <v>0.33324504021551826</v>
      </c>
      <c r="K173" s="2"/>
      <c r="L173" s="2">
        <f t="shared" si="30"/>
        <v>337745.81000000006</v>
      </c>
      <c r="M173" s="2"/>
      <c r="N173" s="6">
        <f t="shared" si="31"/>
        <v>1.2454501693538245</v>
      </c>
      <c r="O173" s="14"/>
      <c r="P173" s="2">
        <f>SUM(OSRRefP22_1x_0)</f>
        <v>4520700.76</v>
      </c>
      <c r="Q173" s="2"/>
      <c r="R173" s="6">
        <f t="shared" si="32"/>
        <v>0.24416894919523344</v>
      </c>
      <c r="S173" s="2"/>
      <c r="T173" s="2">
        <f>SUM(OSRRefT22_1x_0)</f>
        <v>2579207.0299999998</v>
      </c>
      <c r="U173" s="2"/>
      <c r="V173" s="6">
        <f t="shared" si="33"/>
        <v>0.32381137275623095</v>
      </c>
      <c r="W173" s="2"/>
      <c r="X173" s="2">
        <f t="shared" si="34"/>
        <v>1941493.73</v>
      </c>
      <c r="Y173" s="2"/>
      <c r="Z173" s="6">
        <f t="shared" si="35"/>
        <v>0.7527483088474678</v>
      </c>
    </row>
    <row r="174" spans="1:26" s="69" customFormat="1" ht="15" hidden="1" customHeight="1" outlineLevel="2" x14ac:dyDescent="0.3">
      <c r="A174" s="25"/>
      <c r="B174" s="12" t="str">
        <f>CONCATENATE("          ","6001"," - ","ADMINISTRATIVE SALARIES")</f>
        <v xml:space="preserve">          6001 - ADMINISTRATIVE SALARIES</v>
      </c>
      <c r="C174" s="12"/>
      <c r="D174" s="8">
        <v>28749.02</v>
      </c>
      <c r="E174" s="3"/>
      <c r="F174" s="7">
        <f t="shared" si="28"/>
        <v>1.0023516529214934E-2</v>
      </c>
      <c r="G174" s="3"/>
      <c r="H174" s="8">
        <v>27556.35</v>
      </c>
      <c r="I174" s="3"/>
      <c r="J174" s="7">
        <f t="shared" si="29"/>
        <v>3.3862714782225488E-2</v>
      </c>
      <c r="K174" s="3"/>
      <c r="L174" s="8">
        <f t="shared" si="30"/>
        <v>1192.6700000000019</v>
      </c>
      <c r="M174" s="3"/>
      <c r="N174" s="7">
        <f t="shared" si="31"/>
        <v>4.328113120932206E-2</v>
      </c>
      <c r="O174" s="12"/>
      <c r="P174" s="8">
        <v>271867.88</v>
      </c>
      <c r="Q174" s="3"/>
      <c r="R174" s="7">
        <f t="shared" si="32"/>
        <v>1.4683939084597987E-2</v>
      </c>
      <c r="S174" s="3"/>
      <c r="T174" s="8">
        <v>257523.53</v>
      </c>
      <c r="U174" s="3"/>
      <c r="V174" s="7">
        <f t="shared" si="33"/>
        <v>3.2331273448153723E-2</v>
      </c>
      <c r="W174" s="3"/>
      <c r="X174" s="8">
        <f t="shared" si="34"/>
        <v>14344.350000000006</v>
      </c>
      <c r="Y174" s="3"/>
      <c r="Z174" s="7">
        <f t="shared" si="35"/>
        <v>5.5701123699259662E-2</v>
      </c>
    </row>
    <row r="175" spans="1:26" s="69" customFormat="1" ht="15" hidden="1" customHeight="1" outlineLevel="2" x14ac:dyDescent="0.3">
      <c r="A175" s="25"/>
      <c r="B175" s="12" t="str">
        <f>CONCATENATE("          ","6002"," - ","STAFF SALARIES")</f>
        <v xml:space="preserve">          6002 - STAFF SALARIES</v>
      </c>
      <c r="C175" s="12"/>
      <c r="D175" s="8">
        <v>116676.88</v>
      </c>
      <c r="E175" s="3"/>
      <c r="F175" s="7">
        <f t="shared" si="28"/>
        <v>4.0680087017130578E-2</v>
      </c>
      <c r="G175" s="3"/>
      <c r="H175" s="8">
        <v>106794.62</v>
      </c>
      <c r="I175" s="3"/>
      <c r="J175" s="7">
        <f t="shared" si="29"/>
        <v>0.13123493341230438</v>
      </c>
      <c r="K175" s="3"/>
      <c r="L175" s="8">
        <f t="shared" si="30"/>
        <v>9882.2600000000093</v>
      </c>
      <c r="M175" s="3"/>
      <c r="N175" s="7">
        <f t="shared" si="31"/>
        <v>9.253518576123039E-2</v>
      </c>
      <c r="O175" s="12"/>
      <c r="P175" s="8">
        <v>1103723.1100000001</v>
      </c>
      <c r="Q175" s="3"/>
      <c r="R175" s="7">
        <f t="shared" si="32"/>
        <v>5.9613525928487926E-2</v>
      </c>
      <c r="S175" s="3"/>
      <c r="T175" s="8">
        <v>1011277.69</v>
      </c>
      <c r="U175" s="3"/>
      <c r="V175" s="7">
        <f t="shared" si="33"/>
        <v>0.12696274987923331</v>
      </c>
      <c r="W175" s="3"/>
      <c r="X175" s="8">
        <f t="shared" si="34"/>
        <v>92445.420000000158</v>
      </c>
      <c r="Y175" s="3"/>
      <c r="Z175" s="7">
        <f t="shared" si="35"/>
        <v>9.1414475879518481E-2</v>
      </c>
    </row>
    <row r="176" spans="1:26" s="69" customFormat="1" ht="15" hidden="1" customHeight="1" outlineLevel="2" x14ac:dyDescent="0.3">
      <c r="A176" s="25"/>
      <c r="B176" s="12" t="str">
        <f>CONCATENATE("          ","6004"," - ","STAFF HOURLY")</f>
        <v xml:space="preserve">          6004 - STAFF HOURLY</v>
      </c>
      <c r="C176" s="12"/>
      <c r="D176" s="8">
        <v>101473.38</v>
      </c>
      <c r="E176" s="3"/>
      <c r="F176" s="7">
        <f t="shared" si="28"/>
        <v>3.5379296466638101E-2</v>
      </c>
      <c r="G176" s="3"/>
      <c r="H176" s="8">
        <v>62538.52</v>
      </c>
      <c r="I176" s="3"/>
      <c r="J176" s="7">
        <f t="shared" si="29"/>
        <v>7.6850673825180196E-2</v>
      </c>
      <c r="K176" s="3"/>
      <c r="L176" s="8">
        <f t="shared" si="30"/>
        <v>38934.860000000008</v>
      </c>
      <c r="M176" s="3"/>
      <c r="N176" s="7">
        <f t="shared" si="31"/>
        <v>0.62257405515832498</v>
      </c>
      <c r="O176" s="12"/>
      <c r="P176" s="8">
        <v>1029169.7</v>
      </c>
      <c r="Q176" s="3"/>
      <c r="R176" s="7">
        <f t="shared" si="32"/>
        <v>5.5586798935254818E-2</v>
      </c>
      <c r="S176" s="3"/>
      <c r="T176" s="8">
        <v>590159.57999999996</v>
      </c>
      <c r="U176" s="3"/>
      <c r="V176" s="7">
        <f t="shared" si="33"/>
        <v>7.4092688769168219E-2</v>
      </c>
      <c r="W176" s="3"/>
      <c r="X176" s="8">
        <f t="shared" si="34"/>
        <v>439010.12</v>
      </c>
      <c r="Y176" s="3"/>
      <c r="Z176" s="7">
        <f t="shared" si="35"/>
        <v>0.74388374751113928</v>
      </c>
    </row>
    <row r="177" spans="1:26" s="69" customFormat="1" ht="15" hidden="1" customHeight="1" outlineLevel="2" x14ac:dyDescent="0.3">
      <c r="A177" s="25"/>
      <c r="B177" s="12" t="str">
        <f>CONCATENATE("          ","6005"," - ","TEMPORARY WAGES-HOURLY")</f>
        <v xml:space="preserve">          6005 - TEMPORARY WAGES-HOURLY</v>
      </c>
      <c r="C177" s="12"/>
      <c r="D177" s="8">
        <v>52256.29</v>
      </c>
      <c r="E177" s="3"/>
      <c r="F177" s="7">
        <f t="shared" si="28"/>
        <v>1.8219465796414938E-2</v>
      </c>
      <c r="G177" s="3"/>
      <c r="H177" s="8">
        <v>29141.54</v>
      </c>
      <c r="I177" s="3"/>
      <c r="J177" s="7">
        <f t="shared" si="29"/>
        <v>3.5810680925986764E-2</v>
      </c>
      <c r="K177" s="3"/>
      <c r="L177" s="8">
        <f t="shared" si="30"/>
        <v>23114.75</v>
      </c>
      <c r="M177" s="3"/>
      <c r="N177" s="7">
        <f t="shared" si="31"/>
        <v>0.79318903530836049</v>
      </c>
      <c r="O177" s="12"/>
      <c r="P177" s="8">
        <v>580497.41</v>
      </c>
      <c r="Q177" s="3"/>
      <c r="R177" s="7">
        <f t="shared" si="32"/>
        <v>3.1353422872929686E-2</v>
      </c>
      <c r="S177" s="3"/>
      <c r="T177" s="8">
        <v>288598.49</v>
      </c>
      <c r="U177" s="3"/>
      <c r="V177" s="7">
        <f t="shared" si="33"/>
        <v>3.6232637448369312E-2</v>
      </c>
      <c r="W177" s="3"/>
      <c r="X177" s="8">
        <f t="shared" si="34"/>
        <v>291898.92000000004</v>
      </c>
      <c r="Y177" s="3"/>
      <c r="Z177" s="7">
        <f t="shared" si="35"/>
        <v>1.0114360612212492</v>
      </c>
    </row>
    <row r="178" spans="1:26" s="69" customFormat="1" ht="15" hidden="1" customHeight="1" outlineLevel="2" x14ac:dyDescent="0.3">
      <c r="A178" s="25"/>
      <c r="B178" s="12" t="str">
        <f>CONCATENATE("          ","6006"," - ","TEMPORARY PART TIME")</f>
        <v xml:space="preserve">          6006 - TEMPORARY PART TIME</v>
      </c>
      <c r="C178" s="12"/>
      <c r="D178" s="8">
        <v>5693.18</v>
      </c>
      <c r="E178" s="3"/>
      <c r="F178" s="7">
        <f t="shared" si="28"/>
        <v>1.9849610120204401E-3</v>
      </c>
      <c r="G178" s="3"/>
      <c r="H178" s="8">
        <v>2740.85</v>
      </c>
      <c r="I178" s="3"/>
      <c r="J178" s="7">
        <f t="shared" si="29"/>
        <v>3.3681028804926167E-3</v>
      </c>
      <c r="K178" s="3"/>
      <c r="L178" s="8">
        <f t="shared" si="30"/>
        <v>2952.3300000000004</v>
      </c>
      <c r="M178" s="3"/>
      <c r="N178" s="7">
        <f t="shared" si="31"/>
        <v>1.0771585457066239</v>
      </c>
      <c r="O178" s="12"/>
      <c r="P178" s="8">
        <v>21259.15</v>
      </c>
      <c r="Q178" s="3"/>
      <c r="R178" s="7">
        <f t="shared" si="32"/>
        <v>1.148234442370799E-3</v>
      </c>
      <c r="S178" s="3"/>
      <c r="T178" s="8">
        <v>15380.25</v>
      </c>
      <c r="U178" s="3"/>
      <c r="V178" s="7">
        <f t="shared" si="33"/>
        <v>1.9309422655512929E-3</v>
      </c>
      <c r="W178" s="3"/>
      <c r="X178" s="8">
        <f t="shared" si="34"/>
        <v>5878.9000000000015</v>
      </c>
      <c r="Y178" s="3"/>
      <c r="Z178" s="7">
        <f t="shared" si="35"/>
        <v>0.38223695973732558</v>
      </c>
    </row>
    <row r="179" spans="1:26" s="69" customFormat="1" ht="15" hidden="1" customHeight="1" outlineLevel="2" x14ac:dyDescent="0.3">
      <c r="A179" s="25"/>
      <c r="B179" s="12" t="str">
        <f>CONCATENATE("          ","6007"," - ","STUDENT HOURLY")</f>
        <v xml:space="preserve">          6007 - STUDENT HOURLY</v>
      </c>
      <c r="C179" s="12"/>
      <c r="D179" s="8">
        <v>255858.89</v>
      </c>
      <c r="E179" s="3"/>
      <c r="F179" s="7">
        <f t="shared" si="28"/>
        <v>8.9206721239944373E-2</v>
      </c>
      <c r="G179" s="3"/>
      <c r="H179" s="8">
        <v>41299.47</v>
      </c>
      <c r="I179" s="3"/>
      <c r="J179" s="7">
        <f t="shared" si="29"/>
        <v>5.0750994716901116E-2</v>
      </c>
      <c r="K179" s="3"/>
      <c r="L179" s="8">
        <f t="shared" si="30"/>
        <v>214559.42</v>
      </c>
      <c r="M179" s="3"/>
      <c r="N179" s="7">
        <f t="shared" si="31"/>
        <v>5.1952100111696353</v>
      </c>
      <c r="O179" s="12"/>
      <c r="P179" s="8">
        <v>1245466.67</v>
      </c>
      <c r="Q179" s="3"/>
      <c r="R179" s="7">
        <f t="shared" si="32"/>
        <v>6.7269280630639791E-2</v>
      </c>
      <c r="S179" s="3"/>
      <c r="T179" s="8">
        <v>393313.11</v>
      </c>
      <c r="U179" s="3"/>
      <c r="V179" s="7">
        <f t="shared" si="33"/>
        <v>4.9379230356751347E-2</v>
      </c>
      <c r="W179" s="3"/>
      <c r="X179" s="8">
        <f t="shared" si="34"/>
        <v>852153.55999999994</v>
      </c>
      <c r="Y179" s="3"/>
      <c r="Z179" s="7">
        <f t="shared" si="35"/>
        <v>2.1666034981646045</v>
      </c>
    </row>
    <row r="180" spans="1:26" s="69" customFormat="1" ht="15" hidden="1" customHeight="1" outlineLevel="2" x14ac:dyDescent="0.3">
      <c r="A180" s="25"/>
      <c r="B180" s="12" t="str">
        <f>CONCATENATE("          ","6008"," - ","STUDENT HOURLY-FICA EXEMPT")</f>
        <v xml:space="preserve">          6008 - STUDENT HOURLY-FICA EXEMPT</v>
      </c>
      <c r="C180" s="12"/>
      <c r="D180" s="8">
        <v>48221.89</v>
      </c>
      <c r="E180" s="3"/>
      <c r="F180" s="7">
        <f t="shared" si="28"/>
        <v>1.6812848280914769E-2</v>
      </c>
      <c r="G180" s="3"/>
      <c r="H180" s="8">
        <v>1112.3699999999999</v>
      </c>
      <c r="I180" s="3"/>
      <c r="J180" s="7">
        <f t="shared" si="29"/>
        <v>1.3669396724277404E-3</v>
      </c>
      <c r="K180" s="3"/>
      <c r="L180" s="8">
        <f t="shared" si="30"/>
        <v>47109.52</v>
      </c>
      <c r="M180" s="3"/>
      <c r="N180" s="7">
        <f t="shared" si="31"/>
        <v>42.350584787435835</v>
      </c>
      <c r="O180" s="12"/>
      <c r="P180" s="8">
        <v>268716.84000000003</v>
      </c>
      <c r="Q180" s="3"/>
      <c r="R180" s="7">
        <f t="shared" si="32"/>
        <v>1.4513747300952447E-2</v>
      </c>
      <c r="S180" s="3"/>
      <c r="T180" s="8">
        <v>22954.38</v>
      </c>
      <c r="U180" s="3"/>
      <c r="V180" s="7">
        <f t="shared" si="33"/>
        <v>2.8818505890037737E-3</v>
      </c>
      <c r="W180" s="3"/>
      <c r="X180" s="8">
        <f t="shared" si="34"/>
        <v>245762.46000000002</v>
      </c>
      <c r="Y180" s="3"/>
      <c r="Z180" s="7">
        <f t="shared" si="35"/>
        <v>10.706560577981197</v>
      </c>
    </row>
    <row r="181" spans="1:26" s="68" customFormat="1" ht="15" customHeight="1" outlineLevel="1" collapsed="1" x14ac:dyDescent="0.3">
      <c r="A181" s="26"/>
      <c r="B181" s="14" t="str">
        <f>CONCATENATE("     ","Advertising/Promo                                 ")</f>
        <v xml:space="preserve">     Advertising/Promo                                 </v>
      </c>
      <c r="C181" s="14"/>
      <c r="D181" s="2">
        <f>SUM(OSRRefD22_2x_0)</f>
        <v>2923.62</v>
      </c>
      <c r="E181" s="2"/>
      <c r="F181" s="6">
        <f t="shared" si="28"/>
        <v>1.0193374728997148E-3</v>
      </c>
      <c r="G181" s="2"/>
      <c r="H181" s="2">
        <f>SUM(OSRRefH22_2x_0)</f>
        <v>228.62</v>
      </c>
      <c r="I181" s="2"/>
      <c r="J181" s="6">
        <f t="shared" si="29"/>
        <v>2.8094046756963061E-4</v>
      </c>
      <c r="K181" s="2"/>
      <c r="L181" s="2">
        <f t="shared" si="30"/>
        <v>2695</v>
      </c>
      <c r="M181" s="2"/>
      <c r="N181" s="6">
        <f t="shared" si="31"/>
        <v>11.788120024494795</v>
      </c>
      <c r="O181" s="14"/>
      <c r="P181" s="2">
        <f>SUM(OSRRefP22_2x_0)</f>
        <v>15223.21</v>
      </c>
      <c r="Q181" s="2"/>
      <c r="R181" s="6">
        <f t="shared" si="32"/>
        <v>8.2222544388856414E-4</v>
      </c>
      <c r="S181" s="2"/>
      <c r="T181" s="2">
        <f>SUM(OSRRefT22_2x_0)</f>
        <v>18639.34</v>
      </c>
      <c r="U181" s="2"/>
      <c r="V181" s="6">
        <f t="shared" si="33"/>
        <v>2.3401108179633514E-3</v>
      </c>
      <c r="W181" s="2"/>
      <c r="X181" s="2">
        <f t="shared" si="34"/>
        <v>-3416.130000000001</v>
      </c>
      <c r="Y181" s="2"/>
      <c r="Z181" s="6">
        <f t="shared" si="35"/>
        <v>-0.18327526618431775</v>
      </c>
    </row>
    <row r="182" spans="1:26" s="69" customFormat="1" ht="15" hidden="1" customHeight="1" outlineLevel="2" x14ac:dyDescent="0.3">
      <c r="A182" s="25"/>
      <c r="B182" s="12" t="str">
        <f>CONCATENATE("          ","6362"," - ","ADVERTISING EXPENSE")</f>
        <v xml:space="preserve">          6362 - ADVERTISING EXPENSE</v>
      </c>
      <c r="C182" s="12"/>
      <c r="D182" s="8">
        <v>2923.62</v>
      </c>
      <c r="E182" s="3"/>
      <c r="F182" s="7">
        <f t="shared" si="28"/>
        <v>1.0193374728997148E-3</v>
      </c>
      <c r="G182" s="3"/>
      <c r="H182" s="8">
        <v>228.62</v>
      </c>
      <c r="I182" s="3"/>
      <c r="J182" s="7">
        <f t="shared" si="29"/>
        <v>2.8094046756963061E-4</v>
      </c>
      <c r="K182" s="3"/>
      <c r="L182" s="8">
        <f t="shared" si="30"/>
        <v>2695</v>
      </c>
      <c r="M182" s="3"/>
      <c r="N182" s="7">
        <f t="shared" si="31"/>
        <v>11.788120024494795</v>
      </c>
      <c r="O182" s="12"/>
      <c r="P182" s="8">
        <v>15223.21</v>
      </c>
      <c r="Q182" s="3"/>
      <c r="R182" s="7">
        <f t="shared" si="32"/>
        <v>8.2222544388856414E-4</v>
      </c>
      <c r="S182" s="3"/>
      <c r="T182" s="8">
        <v>18639.34</v>
      </c>
      <c r="U182" s="3"/>
      <c r="V182" s="7">
        <f t="shared" si="33"/>
        <v>2.3401108179633514E-3</v>
      </c>
      <c r="W182" s="3"/>
      <c r="X182" s="8">
        <f t="shared" si="34"/>
        <v>-3416.130000000001</v>
      </c>
      <c r="Y182" s="3"/>
      <c r="Z182" s="7">
        <f t="shared" si="35"/>
        <v>-0.18327526618431775</v>
      </c>
    </row>
    <row r="183" spans="1:26" s="68" customFormat="1" ht="15" customHeight="1" outlineLevel="1" collapsed="1" x14ac:dyDescent="0.3">
      <c r="A183" s="26"/>
      <c r="B183" s="14" t="str">
        <f>CONCATENATE("     ","Bad Debts/Over/Short                              ")</f>
        <v xml:space="preserve">     Bad Debts/Over/Short                              </v>
      </c>
      <c r="C183" s="14"/>
      <c r="D183" s="2">
        <f>SUM(OSRRefD22_3x_0)</f>
        <v>5.19</v>
      </c>
      <c r="E183" s="2"/>
      <c r="F183" s="6">
        <f t="shared" si="28"/>
        <v>1.8095243172332659E-6</v>
      </c>
      <c r="G183" s="2"/>
      <c r="H183" s="2">
        <f>SUM(OSRRefH22_3x_0)</f>
        <v>-16.899999999999999</v>
      </c>
      <c r="I183" s="2"/>
      <c r="J183" s="6">
        <f t="shared" si="29"/>
        <v>-2.0767622701105577E-5</v>
      </c>
      <c r="K183" s="2"/>
      <c r="L183" s="2">
        <f t="shared" si="30"/>
        <v>22.09</v>
      </c>
      <c r="M183" s="2"/>
      <c r="N183" s="6">
        <f t="shared" si="31"/>
        <v>-1.3071005917159764</v>
      </c>
      <c r="O183" s="14"/>
      <c r="P183" s="2">
        <f>SUM(OSRRefP22_3x_0)</f>
        <v>16.690000000000001</v>
      </c>
      <c r="Q183" s="2"/>
      <c r="R183" s="6">
        <f t="shared" si="32"/>
        <v>9.0144868647940473E-7</v>
      </c>
      <c r="S183" s="2"/>
      <c r="T183" s="2">
        <f>SUM(OSRRefT22_3x_0)</f>
        <v>5249.2</v>
      </c>
      <c r="U183" s="2"/>
      <c r="V183" s="6">
        <f t="shared" si="33"/>
        <v>6.590206362270995E-4</v>
      </c>
      <c r="W183" s="2"/>
      <c r="X183" s="2">
        <f t="shared" si="34"/>
        <v>-5232.51</v>
      </c>
      <c r="Y183" s="2"/>
      <c r="Z183" s="6">
        <f t="shared" si="35"/>
        <v>-0.99682046788082002</v>
      </c>
    </row>
    <row r="184" spans="1:26" s="69" customFormat="1" ht="15" hidden="1" customHeight="1" outlineLevel="2" x14ac:dyDescent="0.3">
      <c r="A184" s="25"/>
      <c r="B184" s="12" t="str">
        <f>CONCATENATE("          ","6272"," - ","CASH (OVER/SHORT)")</f>
        <v xml:space="preserve">          6272 - CASH (OVER/SHORT)</v>
      </c>
      <c r="C184" s="12"/>
      <c r="D184" s="8">
        <v>5.19</v>
      </c>
      <c r="E184" s="3"/>
      <c r="F184" s="7">
        <f t="shared" si="28"/>
        <v>1.8095243172332659E-6</v>
      </c>
      <c r="G184" s="3"/>
      <c r="H184" s="8">
        <v>-16.899999999999999</v>
      </c>
      <c r="I184" s="3"/>
      <c r="J184" s="7">
        <f t="shared" si="29"/>
        <v>-2.0767622701105577E-5</v>
      </c>
      <c r="K184" s="3"/>
      <c r="L184" s="8">
        <f t="shared" si="30"/>
        <v>22.09</v>
      </c>
      <c r="M184" s="3"/>
      <c r="N184" s="7">
        <f t="shared" si="31"/>
        <v>-1.3071005917159764</v>
      </c>
      <c r="O184" s="12"/>
      <c r="P184" s="8">
        <v>16.690000000000001</v>
      </c>
      <c r="Q184" s="3"/>
      <c r="R184" s="7">
        <f t="shared" si="32"/>
        <v>9.0144868647940473E-7</v>
      </c>
      <c r="S184" s="3"/>
      <c r="T184" s="8">
        <v>-100.22</v>
      </c>
      <c r="U184" s="3"/>
      <c r="V184" s="7">
        <f t="shared" si="33"/>
        <v>-1.2582307430214111E-5</v>
      </c>
      <c r="W184" s="3"/>
      <c r="X184" s="8">
        <f t="shared" si="34"/>
        <v>116.91</v>
      </c>
      <c r="Y184" s="3"/>
      <c r="Z184" s="7">
        <f t="shared" si="35"/>
        <v>-1.1665336260227499</v>
      </c>
    </row>
    <row r="185" spans="1:26" s="69" customFormat="1" ht="15" hidden="1" customHeight="1" outlineLevel="2" x14ac:dyDescent="0.3">
      <c r="A185" s="25"/>
      <c r="B185" s="12" t="str">
        <f>CONCATENATE("          ","6342"," - ","BAD DEBT")</f>
        <v xml:space="preserve">          6342 - BAD DEBT</v>
      </c>
      <c r="C185" s="12"/>
      <c r="D185" s="8"/>
      <c r="E185" s="3"/>
      <c r="F185" s="7">
        <f t="shared" si="28"/>
        <v>0</v>
      </c>
      <c r="G185" s="3"/>
      <c r="H185" s="8"/>
      <c r="I185" s="3"/>
      <c r="J185" s="7">
        <f t="shared" si="29"/>
        <v>0</v>
      </c>
      <c r="K185" s="3"/>
      <c r="L185" s="8">
        <f t="shared" si="30"/>
        <v>0</v>
      </c>
      <c r="M185" s="3"/>
      <c r="N185" s="7">
        <f t="shared" si="31"/>
        <v>0</v>
      </c>
      <c r="O185" s="12"/>
      <c r="P185" s="8"/>
      <c r="Q185" s="3"/>
      <c r="R185" s="7">
        <f t="shared" si="32"/>
        <v>0</v>
      </c>
      <c r="S185" s="3"/>
      <c r="T185" s="8">
        <v>5349.42</v>
      </c>
      <c r="U185" s="3"/>
      <c r="V185" s="7">
        <f t="shared" si="33"/>
        <v>6.7160294365731362E-4</v>
      </c>
      <c r="W185" s="3"/>
      <c r="X185" s="8">
        <f t="shared" si="34"/>
        <v>-5349.42</v>
      </c>
      <c r="Y185" s="3"/>
      <c r="Z185" s="7">
        <f t="shared" si="35"/>
        <v>-1</v>
      </c>
    </row>
    <row r="186" spans="1:26" s="68" customFormat="1" ht="15" customHeight="1" outlineLevel="1" collapsed="1" x14ac:dyDescent="0.3">
      <c r="A186" s="26"/>
      <c r="B186" s="14" t="str">
        <f>CONCATENATE("     ","Bank/card Fees                                    ")</f>
        <v xml:space="preserve">     Bank/card Fees                                    </v>
      </c>
      <c r="C186" s="14"/>
      <c r="D186" s="2">
        <f>SUM(OSRRefD22_4x_0)</f>
        <v>32336.92</v>
      </c>
      <c r="E186" s="2"/>
      <c r="F186" s="6">
        <f t="shared" si="28"/>
        <v>1.1274459168482992E-2</v>
      </c>
      <c r="G186" s="2"/>
      <c r="H186" s="2">
        <f>SUM(OSRRefH22_4x_0)</f>
        <v>4821.8</v>
      </c>
      <c r="I186" s="2"/>
      <c r="J186" s="6">
        <f t="shared" si="29"/>
        <v>5.9252853929107037E-3</v>
      </c>
      <c r="K186" s="2"/>
      <c r="L186" s="2">
        <f t="shared" si="30"/>
        <v>27515.119999999999</v>
      </c>
      <c r="M186" s="2"/>
      <c r="N186" s="6">
        <f t="shared" si="31"/>
        <v>5.7064000995478859</v>
      </c>
      <c r="O186" s="14"/>
      <c r="P186" s="2">
        <f>SUM(OSRRefP22_4x_0)</f>
        <v>168929.07</v>
      </c>
      <c r="Q186" s="2"/>
      <c r="R186" s="6">
        <f t="shared" si="32"/>
        <v>9.1240795841634158E-3</v>
      </c>
      <c r="S186" s="2"/>
      <c r="T186" s="2">
        <f>SUM(OSRRefT22_4x_0)</f>
        <v>77291.31</v>
      </c>
      <c r="U186" s="2"/>
      <c r="V186" s="6">
        <f t="shared" si="33"/>
        <v>9.7036821403310939E-3</v>
      </c>
      <c r="W186" s="2"/>
      <c r="X186" s="2">
        <f t="shared" si="34"/>
        <v>91637.760000000009</v>
      </c>
      <c r="Y186" s="2"/>
      <c r="Z186" s="6">
        <f t="shared" si="35"/>
        <v>1.1856153039714299</v>
      </c>
    </row>
    <row r="187" spans="1:26" s="69" customFormat="1" ht="15" hidden="1" customHeight="1" outlineLevel="2" x14ac:dyDescent="0.3">
      <c r="A187" s="25"/>
      <c r="B187" s="12" t="str">
        <f>CONCATENATE("          ","6381"," - ","BANK/CREDIT CARD FEES")</f>
        <v xml:space="preserve">          6381 - BANK/CREDIT CARD FEES</v>
      </c>
      <c r="C187" s="12"/>
      <c r="D187" s="8">
        <v>32336.92</v>
      </c>
      <c r="E187" s="3"/>
      <c r="F187" s="7">
        <f t="shared" si="28"/>
        <v>1.1274459168482992E-2</v>
      </c>
      <c r="G187" s="3"/>
      <c r="H187" s="8">
        <v>4821.8</v>
      </c>
      <c r="I187" s="3"/>
      <c r="J187" s="7">
        <f t="shared" si="29"/>
        <v>5.9252853929107037E-3</v>
      </c>
      <c r="K187" s="3"/>
      <c r="L187" s="8">
        <f t="shared" si="30"/>
        <v>27515.119999999999</v>
      </c>
      <c r="M187" s="3"/>
      <c r="N187" s="7">
        <f t="shared" si="31"/>
        <v>5.7064000995478859</v>
      </c>
      <c r="O187" s="12"/>
      <c r="P187" s="8">
        <v>168929.07</v>
      </c>
      <c r="Q187" s="3"/>
      <c r="R187" s="7">
        <f t="shared" si="32"/>
        <v>9.1240795841634158E-3</v>
      </c>
      <c r="S187" s="3"/>
      <c r="T187" s="8">
        <v>77291.31</v>
      </c>
      <c r="U187" s="3"/>
      <c r="V187" s="7">
        <f t="shared" si="33"/>
        <v>9.7036821403310939E-3</v>
      </c>
      <c r="W187" s="3"/>
      <c r="X187" s="8">
        <f t="shared" si="34"/>
        <v>91637.760000000009</v>
      </c>
      <c r="Y187" s="3"/>
      <c r="Z187" s="7">
        <f t="shared" si="35"/>
        <v>1.1856153039714299</v>
      </c>
    </row>
    <row r="188" spans="1:26" s="68" customFormat="1" ht="15" customHeight="1" outlineLevel="1" collapsed="1" x14ac:dyDescent="0.3">
      <c r="A188" s="26"/>
      <c r="B188" s="14" t="str">
        <f>CONCATENATE("     ","Depreciation                                      ")</f>
        <v xml:space="preserve">     Depreciation                                      </v>
      </c>
      <c r="C188" s="14"/>
      <c r="D188" s="2">
        <f>SUM(OSRRefD22_5x_0)</f>
        <v>67112.48000000001</v>
      </c>
      <c r="E188" s="2"/>
      <c r="F188" s="6">
        <f t="shared" si="28"/>
        <v>2.3399164653146672E-2</v>
      </c>
      <c r="G188" s="2"/>
      <c r="H188" s="2">
        <f>SUM(OSRRefH22_5x_0)</f>
        <v>77647.64</v>
      </c>
      <c r="I188" s="2"/>
      <c r="J188" s="6">
        <f t="shared" si="29"/>
        <v>9.5417567523744001E-2</v>
      </c>
      <c r="K188" s="2"/>
      <c r="L188" s="2">
        <f t="shared" si="30"/>
        <v>-10535.159999999989</v>
      </c>
      <c r="M188" s="2"/>
      <c r="N188" s="6">
        <f t="shared" si="31"/>
        <v>-0.13567907537176904</v>
      </c>
      <c r="O188" s="14"/>
      <c r="P188" s="2">
        <f>SUM(OSRRefP22_5x_0)</f>
        <v>630707.69999999995</v>
      </c>
      <c r="Q188" s="2"/>
      <c r="R188" s="6">
        <f t="shared" si="32"/>
        <v>3.4065346178397023E-2</v>
      </c>
      <c r="S188" s="2"/>
      <c r="T188" s="2">
        <f>SUM(OSRRefT22_5x_0)</f>
        <v>701600.61</v>
      </c>
      <c r="U188" s="2"/>
      <c r="V188" s="6">
        <f t="shared" si="33"/>
        <v>8.8083761407361336E-2</v>
      </c>
      <c r="W188" s="2"/>
      <c r="X188" s="2">
        <f t="shared" si="34"/>
        <v>-70892.910000000033</v>
      </c>
      <c r="Y188" s="2"/>
      <c r="Z188" s="6">
        <f t="shared" si="35"/>
        <v>-0.10104453871555219</v>
      </c>
    </row>
    <row r="189" spans="1:26" s="69" customFormat="1" ht="15" hidden="1" customHeight="1" outlineLevel="2" x14ac:dyDescent="0.3">
      <c r="A189" s="25"/>
      <c r="B189" s="12" t="str">
        <f>CONCATENATE("          ","6321"," - ","BUILDING DEPRECIATION")</f>
        <v xml:space="preserve">          6321 - BUILDING DEPRECIATION</v>
      </c>
      <c r="C189" s="12"/>
      <c r="D189" s="8">
        <v>41941.620000000003</v>
      </c>
      <c r="E189" s="3"/>
      <c r="F189" s="7">
        <f t="shared" si="28"/>
        <v>1.4623194854365527E-2</v>
      </c>
      <c r="G189" s="3"/>
      <c r="H189" s="8">
        <v>45060.52</v>
      </c>
      <c r="I189" s="3"/>
      <c r="J189" s="7">
        <f t="shared" si="29"/>
        <v>5.5372773850628519E-2</v>
      </c>
      <c r="K189" s="3"/>
      <c r="L189" s="8">
        <f t="shared" si="30"/>
        <v>-3118.8999999999942</v>
      </c>
      <c r="M189" s="3"/>
      <c r="N189" s="7">
        <f t="shared" si="31"/>
        <v>-6.9215801326748885E-2</v>
      </c>
      <c r="O189" s="12"/>
      <c r="P189" s="8">
        <v>396821.46</v>
      </c>
      <c r="Q189" s="3"/>
      <c r="R189" s="7">
        <f t="shared" si="32"/>
        <v>2.1432845049960431E-2</v>
      </c>
      <c r="S189" s="3"/>
      <c r="T189" s="8">
        <v>406328.87</v>
      </c>
      <c r="U189" s="3"/>
      <c r="V189" s="7">
        <f t="shared" si="33"/>
        <v>5.1013318300853157E-2</v>
      </c>
      <c r="W189" s="3"/>
      <c r="X189" s="8">
        <f t="shared" si="34"/>
        <v>-9507.4099999999744</v>
      </c>
      <c r="Y189" s="3"/>
      <c r="Z189" s="7">
        <f t="shared" si="35"/>
        <v>-2.3398312800170892E-2</v>
      </c>
    </row>
    <row r="190" spans="1:26" s="69" customFormat="1" ht="15" hidden="1" customHeight="1" outlineLevel="2" x14ac:dyDescent="0.3">
      <c r="A190" s="25"/>
      <c r="B190" s="12" t="str">
        <f>CONCATENATE("          ","6322"," - ","EQUIPMENT DEPRECIATION EXPENSE")</f>
        <v xml:space="preserve">          6322 - EQUIPMENT DEPRECIATION EXPENSE</v>
      </c>
      <c r="C190" s="12"/>
      <c r="D190" s="8">
        <v>25170.86</v>
      </c>
      <c r="E190" s="3"/>
      <c r="F190" s="7">
        <f t="shared" si="28"/>
        <v>8.77596979878114E-3</v>
      </c>
      <c r="G190" s="3"/>
      <c r="H190" s="8">
        <v>32587.119999999999</v>
      </c>
      <c r="I190" s="3"/>
      <c r="J190" s="7">
        <f t="shared" si="29"/>
        <v>4.0044793673115482E-2</v>
      </c>
      <c r="K190" s="3"/>
      <c r="L190" s="8">
        <f t="shared" si="30"/>
        <v>-7416.2599999999984</v>
      </c>
      <c r="M190" s="3"/>
      <c r="N190" s="7">
        <f t="shared" si="31"/>
        <v>-0.22758255408885469</v>
      </c>
      <c r="O190" s="12"/>
      <c r="P190" s="8">
        <v>233886.24</v>
      </c>
      <c r="Q190" s="3"/>
      <c r="R190" s="7">
        <f t="shared" si="32"/>
        <v>1.2632501128436596E-2</v>
      </c>
      <c r="S190" s="3"/>
      <c r="T190" s="8">
        <v>295271.74</v>
      </c>
      <c r="U190" s="3"/>
      <c r="V190" s="7">
        <f t="shared" si="33"/>
        <v>3.7070443106508172E-2</v>
      </c>
      <c r="W190" s="3"/>
      <c r="X190" s="8">
        <f t="shared" si="34"/>
        <v>-61385.5</v>
      </c>
      <c r="Y190" s="3"/>
      <c r="Z190" s="7">
        <f t="shared" si="35"/>
        <v>-0.20789493772753195</v>
      </c>
    </row>
    <row r="191" spans="1:26" s="68" customFormat="1" ht="15" customHeight="1" outlineLevel="1" collapsed="1" x14ac:dyDescent="0.3">
      <c r="A191" s="26"/>
      <c r="B191" s="14" t="str">
        <f>CONCATENATE("     ","Discounts and Markdowns                           ")</f>
        <v xml:space="preserve">     Discounts and Markdowns                           </v>
      </c>
      <c r="C191" s="14"/>
      <c r="D191" s="2">
        <f>SUM(OSRRefD22_6x_0)</f>
        <v>-7.72</v>
      </c>
      <c r="E191" s="2"/>
      <c r="F191" s="6">
        <f t="shared" si="28"/>
        <v>-2.6916238398922564E-6</v>
      </c>
      <c r="G191" s="2"/>
      <c r="H191" s="2">
        <f>SUM(OSRRefH22_6x_0)</f>
        <v>0</v>
      </c>
      <c r="I191" s="2"/>
      <c r="J191" s="6">
        <f t="shared" si="29"/>
        <v>0</v>
      </c>
      <c r="K191" s="2"/>
      <c r="L191" s="2">
        <f t="shared" si="30"/>
        <v>-7.72</v>
      </c>
      <c r="M191" s="2"/>
      <c r="N191" s="6">
        <f t="shared" si="31"/>
        <v>0</v>
      </c>
      <c r="O191" s="14"/>
      <c r="P191" s="2">
        <f>SUM(OSRRefP22_6x_0)</f>
        <v>2056.83</v>
      </c>
      <c r="Q191" s="2"/>
      <c r="R191" s="6">
        <f t="shared" si="32"/>
        <v>1.1109207320619734E-4</v>
      </c>
      <c r="S191" s="2"/>
      <c r="T191" s="2">
        <f>SUM(OSRRefT22_6x_0)</f>
        <v>0</v>
      </c>
      <c r="U191" s="2"/>
      <c r="V191" s="6">
        <f t="shared" si="33"/>
        <v>0</v>
      </c>
      <c r="W191" s="2"/>
      <c r="X191" s="2">
        <f t="shared" si="34"/>
        <v>2056.83</v>
      </c>
      <c r="Y191" s="2"/>
      <c r="Z191" s="6">
        <f t="shared" si="35"/>
        <v>0</v>
      </c>
    </row>
    <row r="192" spans="1:26" s="69" customFormat="1" ht="15" hidden="1" customHeight="1" outlineLevel="2" x14ac:dyDescent="0.3">
      <c r="A192" s="25"/>
      <c r="B192" s="12" t="str">
        <f>CONCATENATE("          ","6382"," - ","DISCOUNTS/MARK DOWNS")</f>
        <v xml:space="preserve">          6382 - DISCOUNTS/MARK DOWNS</v>
      </c>
      <c r="C192" s="12"/>
      <c r="D192" s="8"/>
      <c r="E192" s="3"/>
      <c r="F192" s="7">
        <f t="shared" si="28"/>
        <v>0</v>
      </c>
      <c r="G192" s="3"/>
      <c r="H192" s="8">
        <v>0</v>
      </c>
      <c r="I192" s="3"/>
      <c r="J192" s="7">
        <f t="shared" si="29"/>
        <v>0</v>
      </c>
      <c r="K192" s="3"/>
      <c r="L192" s="8">
        <f t="shared" si="30"/>
        <v>0</v>
      </c>
      <c r="M192" s="3"/>
      <c r="N192" s="7">
        <f t="shared" si="31"/>
        <v>0</v>
      </c>
      <c r="O192" s="12"/>
      <c r="P192" s="8">
        <v>2171.35</v>
      </c>
      <c r="Q192" s="3"/>
      <c r="R192" s="7">
        <f t="shared" si="32"/>
        <v>1.1727744789616868E-4</v>
      </c>
      <c r="S192" s="3"/>
      <c r="T192" s="8">
        <v>0</v>
      </c>
      <c r="U192" s="3"/>
      <c r="V192" s="7">
        <f t="shared" si="33"/>
        <v>0</v>
      </c>
      <c r="W192" s="3"/>
      <c r="X192" s="8">
        <f t="shared" si="34"/>
        <v>2171.35</v>
      </c>
      <c r="Y192" s="3"/>
      <c r="Z192" s="7">
        <f t="shared" si="35"/>
        <v>0</v>
      </c>
    </row>
    <row r="193" spans="1:26" s="69" customFormat="1" ht="15" hidden="1" customHeight="1" outlineLevel="2" x14ac:dyDescent="0.3">
      <c r="A193" s="25"/>
      <c r="B193" s="12" t="str">
        <f>CONCATENATE("          ","9175"," - ","EARNED DISCOUNTS")</f>
        <v xml:space="preserve">          9175 - EARNED DISCOUNTS</v>
      </c>
      <c r="C193" s="12"/>
      <c r="D193" s="8">
        <v>-7.72</v>
      </c>
      <c r="E193" s="3"/>
      <c r="F193" s="7">
        <f t="shared" ref="F193:F224" si="36">IF(D$12=0,0,D193/D$12)</f>
        <v>-2.6916238398922564E-6</v>
      </c>
      <c r="G193" s="3"/>
      <c r="H193" s="8">
        <v>0</v>
      </c>
      <c r="I193" s="3"/>
      <c r="J193" s="7">
        <f t="shared" ref="J193:J224" si="37">IF(H$12=0,0,H193/H$12)</f>
        <v>0</v>
      </c>
      <c r="K193" s="3"/>
      <c r="L193" s="8">
        <f t="shared" ref="L193:L224" si="38">+D193-H193</f>
        <v>-7.72</v>
      </c>
      <c r="M193" s="3"/>
      <c r="N193" s="7">
        <f t="shared" ref="N193:N224" si="39">IF(H193=0,0,L193/H193)</f>
        <v>0</v>
      </c>
      <c r="O193" s="12"/>
      <c r="P193" s="8">
        <v>-114.52</v>
      </c>
      <c r="Q193" s="3"/>
      <c r="R193" s="7">
        <f t="shared" ref="R193:R224" si="40">IF(P$12=0,0,P193/P$12)</f>
        <v>-6.185374689971325E-6</v>
      </c>
      <c r="S193" s="3"/>
      <c r="T193" s="8">
        <v>0</v>
      </c>
      <c r="U193" s="3"/>
      <c r="V193" s="7">
        <f t="shared" ref="V193:V224" si="41">IF(T$12=0,0,T193/T$12)</f>
        <v>0</v>
      </c>
      <c r="W193" s="3"/>
      <c r="X193" s="8">
        <f t="shared" ref="X193:X224" si="42">+P193-T193</f>
        <v>-114.52</v>
      </c>
      <c r="Y193" s="3"/>
      <c r="Z193" s="7">
        <f t="shared" ref="Z193:Z224" si="43">IF(T193=0,0,X193/T193)</f>
        <v>0</v>
      </c>
    </row>
    <row r="194" spans="1:26" s="68" customFormat="1" ht="15" customHeight="1" outlineLevel="1" collapsed="1" x14ac:dyDescent="0.3">
      <c r="A194" s="26"/>
      <c r="B194" s="14" t="str">
        <f>CONCATENATE("     ","Donations                                         ")</f>
        <v xml:space="preserve">     Donations                                         </v>
      </c>
      <c r="C194" s="14"/>
      <c r="D194" s="2">
        <f>SUM(OSRRefD22_7x_0)</f>
        <v>7724.92</v>
      </c>
      <c r="E194" s="2"/>
      <c r="F194" s="6">
        <f t="shared" si="36"/>
        <v>2.6933392271062812E-3</v>
      </c>
      <c r="G194" s="2"/>
      <c r="H194" s="2">
        <f>SUM(OSRRefH22_7x_0)</f>
        <v>7337.33</v>
      </c>
      <c r="I194" s="2"/>
      <c r="J194" s="6">
        <f t="shared" si="37"/>
        <v>9.0165030221007695E-3</v>
      </c>
      <c r="K194" s="2"/>
      <c r="L194" s="2">
        <f t="shared" si="38"/>
        <v>387.59000000000015</v>
      </c>
      <c r="M194" s="2"/>
      <c r="N194" s="6">
        <f t="shared" si="39"/>
        <v>5.2824392524256122E-2</v>
      </c>
      <c r="O194" s="14"/>
      <c r="P194" s="2">
        <f>SUM(OSRRefP22_7x_0)</f>
        <v>62853.4</v>
      </c>
      <c r="Q194" s="2"/>
      <c r="R194" s="6">
        <f t="shared" si="40"/>
        <v>3.3947941803933262E-3</v>
      </c>
      <c r="S194" s="2"/>
      <c r="T194" s="2">
        <f>SUM(OSRRefT22_7x_0)</f>
        <v>50979.76</v>
      </c>
      <c r="U194" s="2"/>
      <c r="V194" s="6">
        <f t="shared" si="41"/>
        <v>6.4003493617893845E-3</v>
      </c>
      <c r="W194" s="2"/>
      <c r="X194" s="2">
        <f t="shared" si="42"/>
        <v>11873.64</v>
      </c>
      <c r="Y194" s="2"/>
      <c r="Z194" s="6">
        <f t="shared" si="43"/>
        <v>0.23290890345501822</v>
      </c>
    </row>
    <row r="195" spans="1:26" s="69" customFormat="1" ht="15" hidden="1" customHeight="1" outlineLevel="2" x14ac:dyDescent="0.3">
      <c r="A195" s="25"/>
      <c r="B195" s="12" t="str">
        <f>CONCATENATE("          ","6399"," - ","DONATION-ON CAMPUS")</f>
        <v xml:space="preserve">          6399 - DONATION-ON CAMPUS</v>
      </c>
      <c r="C195" s="12"/>
      <c r="D195" s="8">
        <v>7724.92</v>
      </c>
      <c r="E195" s="3"/>
      <c r="F195" s="7">
        <f t="shared" si="36"/>
        <v>2.6933392271062812E-3</v>
      </c>
      <c r="G195" s="3"/>
      <c r="H195" s="8">
        <v>7337.33</v>
      </c>
      <c r="I195" s="3"/>
      <c r="J195" s="7">
        <f t="shared" si="37"/>
        <v>9.0165030221007695E-3</v>
      </c>
      <c r="K195" s="3"/>
      <c r="L195" s="8">
        <f t="shared" si="38"/>
        <v>387.59000000000015</v>
      </c>
      <c r="M195" s="3"/>
      <c r="N195" s="7">
        <f t="shared" si="39"/>
        <v>5.2824392524256122E-2</v>
      </c>
      <c r="O195" s="12"/>
      <c r="P195" s="8">
        <v>62853.4</v>
      </c>
      <c r="Q195" s="3"/>
      <c r="R195" s="7">
        <f t="shared" si="40"/>
        <v>3.3947941803933262E-3</v>
      </c>
      <c r="S195" s="3"/>
      <c r="T195" s="8">
        <v>50979.76</v>
      </c>
      <c r="U195" s="3"/>
      <c r="V195" s="7">
        <f t="shared" si="41"/>
        <v>6.4003493617893845E-3</v>
      </c>
      <c r="W195" s="3"/>
      <c r="X195" s="8">
        <f t="shared" si="42"/>
        <v>11873.64</v>
      </c>
      <c r="Y195" s="3"/>
      <c r="Z195" s="7">
        <f t="shared" si="43"/>
        <v>0.23290890345501822</v>
      </c>
    </row>
    <row r="196" spans="1:26" s="68" customFormat="1" ht="15" customHeight="1" outlineLevel="1" collapsed="1" x14ac:dyDescent="0.3">
      <c r="A196" s="26"/>
      <c r="B196" s="14" t="str">
        <f>CONCATENATE("     ","Employees' Appreciation                           ")</f>
        <v xml:space="preserve">     Employees' Appreciation                           </v>
      </c>
      <c r="C196" s="14"/>
      <c r="D196" s="2">
        <f>SUM(OSRRefD22_8x_0)</f>
        <v>74.69</v>
      </c>
      <c r="E196" s="2"/>
      <c r="F196" s="6">
        <f t="shared" si="36"/>
        <v>2.6041111995019771E-5</v>
      </c>
      <c r="G196" s="2"/>
      <c r="H196" s="2">
        <f>SUM(OSRRefH22_8x_0)</f>
        <v>0</v>
      </c>
      <c r="I196" s="2"/>
      <c r="J196" s="6">
        <f t="shared" si="37"/>
        <v>0</v>
      </c>
      <c r="K196" s="2"/>
      <c r="L196" s="2">
        <f t="shared" si="38"/>
        <v>74.69</v>
      </c>
      <c r="M196" s="2"/>
      <c r="N196" s="6">
        <f t="shared" si="39"/>
        <v>0</v>
      </c>
      <c r="O196" s="14"/>
      <c r="P196" s="2">
        <f>SUM(OSRRefP22_8x_0)</f>
        <v>4960.46</v>
      </c>
      <c r="Q196" s="2"/>
      <c r="R196" s="6">
        <f t="shared" si="40"/>
        <v>2.679209197923084E-4</v>
      </c>
      <c r="S196" s="2"/>
      <c r="T196" s="2">
        <f>SUM(OSRRefT22_8x_0)</f>
        <v>196.03</v>
      </c>
      <c r="U196" s="2"/>
      <c r="V196" s="6">
        <f t="shared" si="41"/>
        <v>2.4610953158500021E-5</v>
      </c>
      <c r="W196" s="2"/>
      <c r="X196" s="2">
        <f t="shared" si="42"/>
        <v>4764.43</v>
      </c>
      <c r="Y196" s="2"/>
      <c r="Z196" s="6">
        <f t="shared" si="43"/>
        <v>24.304596235270115</v>
      </c>
    </row>
    <row r="197" spans="1:26" s="69" customFormat="1" ht="15" hidden="1" customHeight="1" outlineLevel="2" x14ac:dyDescent="0.3">
      <c r="A197" s="25"/>
      <c r="B197" s="12" t="str">
        <f>CONCATENATE("          ","6277"," - ","EMPLOYEE APPRECIATION")</f>
        <v xml:space="preserve">          6277 - EMPLOYEE APPRECIATION</v>
      </c>
      <c r="C197" s="12"/>
      <c r="D197" s="8">
        <v>74.69</v>
      </c>
      <c r="E197" s="3"/>
      <c r="F197" s="7">
        <f t="shared" si="36"/>
        <v>2.6041111995019771E-5</v>
      </c>
      <c r="G197" s="3"/>
      <c r="H197" s="8"/>
      <c r="I197" s="3"/>
      <c r="J197" s="7">
        <f t="shared" si="37"/>
        <v>0</v>
      </c>
      <c r="K197" s="3"/>
      <c r="L197" s="8">
        <f t="shared" si="38"/>
        <v>74.69</v>
      </c>
      <c r="M197" s="3"/>
      <c r="N197" s="7">
        <f t="shared" si="39"/>
        <v>0</v>
      </c>
      <c r="O197" s="12"/>
      <c r="P197" s="8">
        <v>4960.46</v>
      </c>
      <c r="Q197" s="3"/>
      <c r="R197" s="7">
        <f t="shared" si="40"/>
        <v>2.679209197923084E-4</v>
      </c>
      <c r="S197" s="3"/>
      <c r="T197" s="8">
        <v>196.03</v>
      </c>
      <c r="U197" s="3"/>
      <c r="V197" s="7">
        <f t="shared" si="41"/>
        <v>2.4610953158500021E-5</v>
      </c>
      <c r="W197" s="3"/>
      <c r="X197" s="8">
        <f t="shared" si="42"/>
        <v>4764.43</v>
      </c>
      <c r="Y197" s="3"/>
      <c r="Z197" s="7">
        <f t="shared" si="43"/>
        <v>24.304596235270115</v>
      </c>
    </row>
    <row r="198" spans="1:26" s="68" customFormat="1" ht="15" customHeight="1" outlineLevel="1" collapsed="1" x14ac:dyDescent="0.3">
      <c r="A198" s="26"/>
      <c r="B198" s="14" t="str">
        <f>CONCATENATE("     ","Equipment Rental                                  ")</f>
        <v xml:space="preserve">     Equipment Rental                                  </v>
      </c>
      <c r="C198" s="14"/>
      <c r="D198" s="2">
        <f>SUM(OSRRefD22_9x_0)</f>
        <v>2834.85</v>
      </c>
      <c r="E198" s="2"/>
      <c r="F198" s="6">
        <f t="shared" si="36"/>
        <v>9.8838728530033205E-4</v>
      </c>
      <c r="G198" s="2"/>
      <c r="H198" s="2">
        <f>SUM(OSRRefH22_9x_0)</f>
        <v>2177.06</v>
      </c>
      <c r="I198" s="2"/>
      <c r="J198" s="6">
        <f t="shared" si="37"/>
        <v>2.6752876140632492E-3</v>
      </c>
      <c r="K198" s="2"/>
      <c r="L198" s="2">
        <f t="shared" si="38"/>
        <v>657.79</v>
      </c>
      <c r="M198" s="2"/>
      <c r="N198" s="6">
        <f t="shared" si="39"/>
        <v>0.30214601343095732</v>
      </c>
      <c r="O198" s="14"/>
      <c r="P198" s="2">
        <f>SUM(OSRRefP22_9x_0)</f>
        <v>32082.86</v>
      </c>
      <c r="Q198" s="2"/>
      <c r="R198" s="6">
        <f t="shared" si="40"/>
        <v>1.7328371483225063E-3</v>
      </c>
      <c r="S198" s="2"/>
      <c r="T198" s="2">
        <f>SUM(OSRRefT22_9x_0)</f>
        <v>23325.11</v>
      </c>
      <c r="U198" s="2"/>
      <c r="V198" s="6">
        <f t="shared" si="41"/>
        <v>2.928394580558386E-3</v>
      </c>
      <c r="W198" s="2"/>
      <c r="X198" s="2">
        <f t="shared" si="42"/>
        <v>8757.75</v>
      </c>
      <c r="Y198" s="2"/>
      <c r="Z198" s="6">
        <f t="shared" si="43"/>
        <v>0.37546446726296251</v>
      </c>
    </row>
    <row r="199" spans="1:26" s="69" customFormat="1" ht="15" hidden="1" customHeight="1" outlineLevel="2" x14ac:dyDescent="0.3">
      <c r="A199" s="25"/>
      <c r="B199" s="12" t="str">
        <f>CONCATENATE("          ","6351"," - ","EQUIPMENT RENTAL")</f>
        <v xml:space="preserve">          6351 - EQUIPMENT RENTAL</v>
      </c>
      <c r="C199" s="12"/>
      <c r="D199" s="8">
        <v>2834.85</v>
      </c>
      <c r="E199" s="3"/>
      <c r="F199" s="7">
        <f t="shared" si="36"/>
        <v>9.8838728530033205E-4</v>
      </c>
      <c r="G199" s="3"/>
      <c r="H199" s="8">
        <v>2177.06</v>
      </c>
      <c r="I199" s="3"/>
      <c r="J199" s="7">
        <f t="shared" si="37"/>
        <v>2.6752876140632492E-3</v>
      </c>
      <c r="K199" s="3"/>
      <c r="L199" s="8">
        <f t="shared" si="38"/>
        <v>657.79</v>
      </c>
      <c r="M199" s="3"/>
      <c r="N199" s="7">
        <f t="shared" si="39"/>
        <v>0.30214601343095732</v>
      </c>
      <c r="O199" s="12"/>
      <c r="P199" s="8">
        <v>32082.86</v>
      </c>
      <c r="Q199" s="3"/>
      <c r="R199" s="7">
        <f t="shared" si="40"/>
        <v>1.7328371483225063E-3</v>
      </c>
      <c r="S199" s="3"/>
      <c r="T199" s="8">
        <v>23325.11</v>
      </c>
      <c r="U199" s="3"/>
      <c r="V199" s="7">
        <f t="shared" si="41"/>
        <v>2.928394580558386E-3</v>
      </c>
      <c r="W199" s="3"/>
      <c r="X199" s="8">
        <f t="shared" si="42"/>
        <v>8757.75</v>
      </c>
      <c r="Y199" s="3"/>
      <c r="Z199" s="7">
        <f t="shared" si="43"/>
        <v>0.37546446726296251</v>
      </c>
    </row>
    <row r="200" spans="1:26" s="68" customFormat="1" ht="15" customHeight="1" outlineLevel="1" collapsed="1" x14ac:dyDescent="0.3">
      <c r="A200" s="26"/>
      <c r="B200" s="14" t="str">
        <f>CONCATENATE("     ","Freight out/Postage                               ")</f>
        <v xml:space="preserve">     Freight out/Postage                               </v>
      </c>
      <c r="C200" s="14"/>
      <c r="D200" s="2">
        <f>SUM(OSRRefD22_10x_0)</f>
        <v>1779.17</v>
      </c>
      <c r="E200" s="2"/>
      <c r="F200" s="6">
        <f t="shared" si="36"/>
        <v>6.2031818487320032E-4</v>
      </c>
      <c r="G200" s="2"/>
      <c r="H200" s="2">
        <f>SUM(OSRRefH22_10x_0)</f>
        <v>-1278.8600000000006</v>
      </c>
      <c r="I200" s="2"/>
      <c r="J200" s="6">
        <f t="shared" si="37"/>
        <v>-1.5715314773689878E-3</v>
      </c>
      <c r="K200" s="2"/>
      <c r="L200" s="2">
        <f t="shared" si="38"/>
        <v>3058.0300000000007</v>
      </c>
      <c r="M200" s="2"/>
      <c r="N200" s="6">
        <f t="shared" si="39"/>
        <v>-2.3912156139061347</v>
      </c>
      <c r="O200" s="14"/>
      <c r="P200" s="2">
        <f>SUM(OSRRefP22_10x_0)</f>
        <v>-44605.990000000005</v>
      </c>
      <c r="Q200" s="2"/>
      <c r="R200" s="6">
        <f t="shared" si="40"/>
        <v>-2.4092277468312439E-3</v>
      </c>
      <c r="S200" s="2"/>
      <c r="T200" s="2">
        <f>SUM(OSRRefT22_10x_0)</f>
        <v>-32645.829999999987</v>
      </c>
      <c r="U200" s="2"/>
      <c r="V200" s="6">
        <f t="shared" si="41"/>
        <v>-4.0985818137548053E-3</v>
      </c>
      <c r="W200" s="2"/>
      <c r="X200" s="2">
        <f t="shared" si="42"/>
        <v>-11960.160000000018</v>
      </c>
      <c r="Y200" s="2"/>
      <c r="Z200" s="6">
        <f t="shared" si="43"/>
        <v>0.36636103294050182</v>
      </c>
    </row>
    <row r="201" spans="1:26" s="69" customFormat="1" ht="15" hidden="1" customHeight="1" outlineLevel="2" x14ac:dyDescent="0.3">
      <c r="A201" s="25"/>
      <c r="B201" s="12" t="str">
        <f>CONCATENATE("          ","6305"," - ","FREIGHT OUT")</f>
        <v xml:space="preserve">          6305 - FREIGHT OUT</v>
      </c>
      <c r="C201" s="12"/>
      <c r="D201" s="8">
        <v>10386.42</v>
      </c>
      <c r="E201" s="3"/>
      <c r="F201" s="7">
        <f t="shared" si="36"/>
        <v>3.621287005587271E-3</v>
      </c>
      <c r="G201" s="3"/>
      <c r="H201" s="8">
        <v>18140.46</v>
      </c>
      <c r="I201" s="3"/>
      <c r="J201" s="7">
        <f t="shared" si="37"/>
        <v>2.2291966207366728E-2</v>
      </c>
      <c r="K201" s="3"/>
      <c r="L201" s="8">
        <f t="shared" si="38"/>
        <v>-7754.0399999999991</v>
      </c>
      <c r="M201" s="3"/>
      <c r="N201" s="7">
        <f t="shared" si="39"/>
        <v>-0.42744450802239853</v>
      </c>
      <c r="O201" s="12"/>
      <c r="P201" s="8">
        <v>112240.61</v>
      </c>
      <c r="Q201" s="3"/>
      <c r="R201" s="7">
        <f t="shared" si="40"/>
        <v>6.0622618606439261E-3</v>
      </c>
      <c r="S201" s="3"/>
      <c r="T201" s="8">
        <v>181086.92</v>
      </c>
      <c r="U201" s="3"/>
      <c r="V201" s="7">
        <f t="shared" si="41"/>
        <v>2.2734896218624911E-2</v>
      </c>
      <c r="W201" s="3"/>
      <c r="X201" s="8">
        <f t="shared" si="42"/>
        <v>-68846.310000000012</v>
      </c>
      <c r="Y201" s="3"/>
      <c r="Z201" s="7">
        <f t="shared" si="43"/>
        <v>-0.3801837813575934</v>
      </c>
    </row>
    <row r="202" spans="1:26" s="69" customFormat="1" ht="15" hidden="1" customHeight="1" outlineLevel="2" x14ac:dyDescent="0.3">
      <c r="A202" s="25"/>
      <c r="B202" s="12" t="str">
        <f>CONCATENATE("          ","6307"," - ","POSTAGE")</f>
        <v xml:space="preserve">          6307 - POSTAGE</v>
      </c>
      <c r="C202" s="12"/>
      <c r="D202" s="8">
        <v>-8607.25</v>
      </c>
      <c r="E202" s="3"/>
      <c r="F202" s="7">
        <f t="shared" si="36"/>
        <v>-3.0009688207140706E-3</v>
      </c>
      <c r="G202" s="3"/>
      <c r="H202" s="8">
        <v>-19419.32</v>
      </c>
      <c r="I202" s="3"/>
      <c r="J202" s="7">
        <f t="shared" si="37"/>
        <v>-2.3863497684735717E-2</v>
      </c>
      <c r="K202" s="3"/>
      <c r="L202" s="8">
        <f t="shared" si="38"/>
        <v>10812.07</v>
      </c>
      <c r="M202" s="3"/>
      <c r="N202" s="7">
        <f t="shared" si="39"/>
        <v>-0.55676872310667935</v>
      </c>
      <c r="O202" s="12"/>
      <c r="P202" s="8">
        <v>-156846.6</v>
      </c>
      <c r="Q202" s="3"/>
      <c r="R202" s="7">
        <f t="shared" si="40"/>
        <v>-8.4714896074751696E-3</v>
      </c>
      <c r="S202" s="3"/>
      <c r="T202" s="8">
        <v>-213732.75</v>
      </c>
      <c r="U202" s="3"/>
      <c r="V202" s="7">
        <f t="shared" si="41"/>
        <v>-2.6833478032379714E-2</v>
      </c>
      <c r="W202" s="3"/>
      <c r="X202" s="8">
        <f t="shared" si="42"/>
        <v>56886.149999999994</v>
      </c>
      <c r="Y202" s="3"/>
      <c r="Z202" s="7">
        <f t="shared" si="43"/>
        <v>-0.26615551430466317</v>
      </c>
    </row>
    <row r="203" spans="1:26" s="68" customFormat="1" ht="15" customHeight="1" outlineLevel="1" collapsed="1" x14ac:dyDescent="0.3">
      <c r="A203" s="26"/>
      <c r="B203" s="14" t="str">
        <f>CONCATENATE("     ","General                                           ")</f>
        <v xml:space="preserve">     General                                           </v>
      </c>
      <c r="C203" s="14"/>
      <c r="D203" s="2">
        <f>SUM(OSRRefD22_11x_0)</f>
        <v>3802.34</v>
      </c>
      <c r="E203" s="2"/>
      <c r="F203" s="6">
        <f t="shared" si="36"/>
        <v>1.3257084185720107E-3</v>
      </c>
      <c r="G203" s="2"/>
      <c r="H203" s="2">
        <f>SUM(OSRRefH22_11x_0)</f>
        <v>1537.69</v>
      </c>
      <c r="I203" s="2"/>
      <c r="J203" s="6">
        <f t="shared" si="37"/>
        <v>1.8895956065836119E-3</v>
      </c>
      <c r="K203" s="2"/>
      <c r="L203" s="2">
        <f t="shared" si="38"/>
        <v>2264.65</v>
      </c>
      <c r="M203" s="2"/>
      <c r="N203" s="6">
        <f t="shared" si="39"/>
        <v>1.4727610896864778</v>
      </c>
      <c r="O203" s="14"/>
      <c r="P203" s="2">
        <f>SUM(OSRRefP22_11x_0)</f>
        <v>44146.879999999997</v>
      </c>
      <c r="Q203" s="2"/>
      <c r="R203" s="6">
        <f t="shared" si="40"/>
        <v>2.3844306164268361E-3</v>
      </c>
      <c r="S203" s="2"/>
      <c r="T203" s="2">
        <f>SUM(OSRRefT22_11x_0)</f>
        <v>20934.73</v>
      </c>
      <c r="U203" s="2"/>
      <c r="V203" s="6">
        <f t="shared" si="41"/>
        <v>2.628289850613912E-3</v>
      </c>
      <c r="W203" s="2"/>
      <c r="X203" s="2">
        <f t="shared" si="42"/>
        <v>23212.149999999998</v>
      </c>
      <c r="Y203" s="2"/>
      <c r="Z203" s="6">
        <f t="shared" si="43"/>
        <v>1.1087866908242905</v>
      </c>
    </row>
    <row r="204" spans="1:26" s="69" customFormat="1" ht="15" hidden="1" customHeight="1" outlineLevel="2" x14ac:dyDescent="0.3">
      <c r="A204" s="25"/>
      <c r="B204" s="12" t="str">
        <f>CONCATENATE("          ","6279"," - ","GENERAL EXPENSE")</f>
        <v xml:space="preserve">          6279 - GENERAL EXPENSE</v>
      </c>
      <c r="C204" s="12"/>
      <c r="D204" s="8">
        <v>3802.34</v>
      </c>
      <c r="E204" s="3"/>
      <c r="F204" s="7">
        <f t="shared" si="36"/>
        <v>1.3257084185720107E-3</v>
      </c>
      <c r="G204" s="3"/>
      <c r="H204" s="8">
        <v>1537.69</v>
      </c>
      <c r="I204" s="3"/>
      <c r="J204" s="7">
        <f t="shared" si="37"/>
        <v>1.8895956065836119E-3</v>
      </c>
      <c r="K204" s="3"/>
      <c r="L204" s="8">
        <f t="shared" si="38"/>
        <v>2264.65</v>
      </c>
      <c r="M204" s="3"/>
      <c r="N204" s="7">
        <f t="shared" si="39"/>
        <v>1.4727610896864778</v>
      </c>
      <c r="O204" s="12"/>
      <c r="P204" s="8">
        <v>44146.879999999997</v>
      </c>
      <c r="Q204" s="3"/>
      <c r="R204" s="7">
        <f t="shared" si="40"/>
        <v>2.3844306164268361E-3</v>
      </c>
      <c r="S204" s="3"/>
      <c r="T204" s="8">
        <v>20934.73</v>
      </c>
      <c r="U204" s="3"/>
      <c r="V204" s="7">
        <f t="shared" si="41"/>
        <v>2.628289850613912E-3</v>
      </c>
      <c r="W204" s="3"/>
      <c r="X204" s="8">
        <f t="shared" si="42"/>
        <v>23212.149999999998</v>
      </c>
      <c r="Y204" s="3"/>
      <c r="Z204" s="7">
        <f t="shared" si="43"/>
        <v>1.1087866908242905</v>
      </c>
    </row>
    <row r="205" spans="1:26" s="68" customFormat="1" ht="15" customHeight="1" outlineLevel="1" collapsed="1" x14ac:dyDescent="0.3">
      <c r="A205" s="26"/>
      <c r="B205" s="14" t="str">
        <f>CONCATENATE("     ","Insurance                                         ")</f>
        <v xml:space="preserve">     Insurance                                         </v>
      </c>
      <c r="C205" s="14"/>
      <c r="D205" s="2">
        <f>SUM(OSRRefD22_12x_0)</f>
        <v>11626.43</v>
      </c>
      <c r="E205" s="2"/>
      <c r="F205" s="6">
        <f t="shared" si="36"/>
        <v>4.0536238550308978E-3</v>
      </c>
      <c r="G205" s="2"/>
      <c r="H205" s="2">
        <f>SUM(OSRRefH22_12x_0)</f>
        <v>8563.32</v>
      </c>
      <c r="I205" s="2"/>
      <c r="J205" s="6">
        <f t="shared" si="37"/>
        <v>1.0523065019457481E-2</v>
      </c>
      <c r="K205" s="2"/>
      <c r="L205" s="2">
        <f t="shared" si="38"/>
        <v>3063.1100000000006</v>
      </c>
      <c r="M205" s="2"/>
      <c r="N205" s="6">
        <f t="shared" si="39"/>
        <v>0.35770121868621058</v>
      </c>
      <c r="O205" s="14"/>
      <c r="P205" s="2">
        <f>SUM(OSRRefP22_12x_0)</f>
        <v>111520.88</v>
      </c>
      <c r="Q205" s="2"/>
      <c r="R205" s="6">
        <f t="shared" si="40"/>
        <v>6.023388303836268E-3</v>
      </c>
      <c r="S205" s="2"/>
      <c r="T205" s="2">
        <f>SUM(OSRRefT22_12x_0)</f>
        <v>83181.88</v>
      </c>
      <c r="U205" s="2"/>
      <c r="V205" s="6">
        <f t="shared" si="41"/>
        <v>1.044322477333046E-2</v>
      </c>
      <c r="W205" s="2"/>
      <c r="X205" s="2">
        <f t="shared" si="42"/>
        <v>28339</v>
      </c>
      <c r="Y205" s="2"/>
      <c r="Z205" s="6">
        <f t="shared" si="43"/>
        <v>0.3406871785057034</v>
      </c>
    </row>
    <row r="206" spans="1:26" s="69" customFormat="1" ht="15" hidden="1" customHeight="1" outlineLevel="2" x14ac:dyDescent="0.3">
      <c r="A206" s="25"/>
      <c r="B206" s="12" t="str">
        <f>CONCATENATE("          ","6314"," - ","LIABILITY INSURANCE")</f>
        <v xml:space="preserve">          6314 - LIABILITY INSURANCE</v>
      </c>
      <c r="C206" s="12"/>
      <c r="D206" s="8">
        <v>11626.43</v>
      </c>
      <c r="E206" s="3"/>
      <c r="F206" s="7">
        <f t="shared" si="36"/>
        <v>4.0536238550308978E-3</v>
      </c>
      <c r="G206" s="3"/>
      <c r="H206" s="8">
        <v>8563.32</v>
      </c>
      <c r="I206" s="3"/>
      <c r="J206" s="7">
        <f t="shared" si="37"/>
        <v>1.0523065019457481E-2</v>
      </c>
      <c r="K206" s="3"/>
      <c r="L206" s="8">
        <f t="shared" si="38"/>
        <v>3063.1100000000006</v>
      </c>
      <c r="M206" s="3"/>
      <c r="N206" s="7">
        <f t="shared" si="39"/>
        <v>0.35770121868621058</v>
      </c>
      <c r="O206" s="12"/>
      <c r="P206" s="8">
        <v>111520.88</v>
      </c>
      <c r="Q206" s="3"/>
      <c r="R206" s="7">
        <f t="shared" si="40"/>
        <v>6.023388303836268E-3</v>
      </c>
      <c r="S206" s="3"/>
      <c r="T206" s="8">
        <v>83181.88</v>
      </c>
      <c r="U206" s="3"/>
      <c r="V206" s="7">
        <f t="shared" si="41"/>
        <v>1.044322477333046E-2</v>
      </c>
      <c r="W206" s="3"/>
      <c r="X206" s="8">
        <f t="shared" si="42"/>
        <v>28339</v>
      </c>
      <c r="Y206" s="3"/>
      <c r="Z206" s="7">
        <f t="shared" si="43"/>
        <v>0.3406871785057034</v>
      </c>
    </row>
    <row r="207" spans="1:26" s="68" customFormat="1" ht="15" customHeight="1" outlineLevel="1" collapsed="1" x14ac:dyDescent="0.3">
      <c r="A207" s="26"/>
      <c r="B207" s="14" t="str">
        <f>CONCATENATE("     ","Interest                                          ")</f>
        <v xml:space="preserve">     Interest                                          </v>
      </c>
      <c r="C207" s="14"/>
      <c r="D207" s="2">
        <f>SUM(OSRRefD22_13x_0)</f>
        <v>11158</v>
      </c>
      <c r="E207" s="2"/>
      <c r="F207" s="6">
        <f t="shared" si="36"/>
        <v>3.8903029540826163E-3</v>
      </c>
      <c r="G207" s="2"/>
      <c r="H207" s="2">
        <f>SUM(OSRRefH22_13x_0)</f>
        <v>11554</v>
      </c>
      <c r="I207" s="2"/>
      <c r="J207" s="6">
        <f t="shared" si="37"/>
        <v>1.4198172348436323E-2</v>
      </c>
      <c r="K207" s="2"/>
      <c r="L207" s="2">
        <f t="shared" si="38"/>
        <v>-396</v>
      </c>
      <c r="M207" s="2"/>
      <c r="N207" s="6">
        <f t="shared" si="39"/>
        <v>-3.4273844555997926E-2</v>
      </c>
      <c r="O207" s="14"/>
      <c r="P207" s="2">
        <f>SUM(OSRRefP22_13x_0)</f>
        <v>99632</v>
      </c>
      <c r="Q207" s="2"/>
      <c r="R207" s="6">
        <f t="shared" si="40"/>
        <v>5.3812543757529082E-3</v>
      </c>
      <c r="S207" s="2"/>
      <c r="T207" s="2">
        <f>SUM(OSRRefT22_13x_0)</f>
        <v>103237</v>
      </c>
      <c r="U207" s="2"/>
      <c r="V207" s="6">
        <f t="shared" si="41"/>
        <v>1.2961082340580864E-2</v>
      </c>
      <c r="W207" s="2"/>
      <c r="X207" s="2">
        <f t="shared" si="42"/>
        <v>-3605</v>
      </c>
      <c r="Y207" s="2"/>
      <c r="Z207" s="6">
        <f t="shared" si="43"/>
        <v>-3.4919650900355495E-2</v>
      </c>
    </row>
    <row r="208" spans="1:26" s="69" customFormat="1" ht="15" hidden="1" customHeight="1" outlineLevel="2" x14ac:dyDescent="0.3">
      <c r="A208" s="25"/>
      <c r="B208" s="12" t="str">
        <f>CONCATENATE("          ","6401"," - ","INTEREST EXPENSE")</f>
        <v xml:space="preserve">          6401 - INTEREST EXPENSE</v>
      </c>
      <c r="C208" s="12"/>
      <c r="D208" s="8">
        <v>11158</v>
      </c>
      <c r="E208" s="3"/>
      <c r="F208" s="7">
        <f t="shared" si="36"/>
        <v>3.8903029540826163E-3</v>
      </c>
      <c r="G208" s="3"/>
      <c r="H208" s="8">
        <v>11554</v>
      </c>
      <c r="I208" s="3"/>
      <c r="J208" s="7">
        <f t="shared" si="37"/>
        <v>1.4198172348436323E-2</v>
      </c>
      <c r="K208" s="3"/>
      <c r="L208" s="8">
        <f t="shared" si="38"/>
        <v>-396</v>
      </c>
      <c r="M208" s="3"/>
      <c r="N208" s="7">
        <f t="shared" si="39"/>
        <v>-3.4273844555997926E-2</v>
      </c>
      <c r="O208" s="12"/>
      <c r="P208" s="8">
        <v>99632</v>
      </c>
      <c r="Q208" s="3"/>
      <c r="R208" s="7">
        <f t="shared" si="40"/>
        <v>5.3812543757529082E-3</v>
      </c>
      <c r="S208" s="3"/>
      <c r="T208" s="8">
        <v>103237</v>
      </c>
      <c r="U208" s="3"/>
      <c r="V208" s="7">
        <f t="shared" si="41"/>
        <v>1.2961082340580864E-2</v>
      </c>
      <c r="W208" s="3"/>
      <c r="X208" s="8">
        <f t="shared" si="42"/>
        <v>-3605</v>
      </c>
      <c r="Y208" s="3"/>
      <c r="Z208" s="7">
        <f t="shared" si="43"/>
        <v>-3.4919650900355495E-2</v>
      </c>
    </row>
    <row r="209" spans="1:26" s="68" customFormat="1" ht="15" customHeight="1" outlineLevel="1" collapsed="1" x14ac:dyDescent="0.3">
      <c r="A209" s="26"/>
      <c r="B209" s="14" t="str">
        <f>CONCATENATE("     ","Inventory Adjustment                              ")</f>
        <v xml:space="preserve">     Inventory Adjustment                              </v>
      </c>
      <c r="C209" s="14"/>
      <c r="D209" s="2">
        <f>SUM(OSRRefD22_14x_0)</f>
        <v>5440</v>
      </c>
      <c r="E209" s="2"/>
      <c r="F209" s="6">
        <f t="shared" si="36"/>
        <v>1.8966883016857351E-3</v>
      </c>
      <c r="G209" s="2"/>
      <c r="H209" s="2">
        <f>SUM(OSRRefH22_14x_0)</f>
        <v>3350</v>
      </c>
      <c r="I209" s="2"/>
      <c r="J209" s="6">
        <f t="shared" si="37"/>
        <v>4.1166589377931179E-3</v>
      </c>
      <c r="K209" s="2"/>
      <c r="L209" s="2">
        <f t="shared" si="38"/>
        <v>2090</v>
      </c>
      <c r="M209" s="2"/>
      <c r="N209" s="6">
        <f t="shared" si="39"/>
        <v>0.62388059701492538</v>
      </c>
      <c r="O209" s="14"/>
      <c r="P209" s="2">
        <f>SUM(OSRRefP22_14x_0)</f>
        <v>57440</v>
      </c>
      <c r="Q209" s="2"/>
      <c r="R209" s="6">
        <f t="shared" si="40"/>
        <v>3.1024093799506889E-3</v>
      </c>
      <c r="S209" s="2"/>
      <c r="T209" s="2">
        <f>SUM(OSRRefT22_14x_0)</f>
        <v>35150</v>
      </c>
      <c r="U209" s="2"/>
      <c r="V209" s="6">
        <f t="shared" si="41"/>
        <v>4.4129725221714825E-3</v>
      </c>
      <c r="W209" s="2"/>
      <c r="X209" s="2">
        <f t="shared" si="42"/>
        <v>22290</v>
      </c>
      <c r="Y209" s="2"/>
      <c r="Z209" s="6">
        <f t="shared" si="43"/>
        <v>0.6341394025604552</v>
      </c>
    </row>
    <row r="210" spans="1:26" s="69" customFormat="1" ht="15" hidden="1" customHeight="1" outlineLevel="2" x14ac:dyDescent="0.3">
      <c r="A210" s="25"/>
      <c r="B210" s="12" t="str">
        <f>CONCATENATE("          ","6408"," - ","INVENTORY ADJUSTMENT")</f>
        <v xml:space="preserve">          6408 - INVENTORY ADJUSTMENT</v>
      </c>
      <c r="C210" s="12"/>
      <c r="D210" s="8">
        <v>5440</v>
      </c>
      <c r="E210" s="3"/>
      <c r="F210" s="7">
        <f t="shared" si="36"/>
        <v>1.8966883016857351E-3</v>
      </c>
      <c r="G210" s="3"/>
      <c r="H210" s="8">
        <v>3350</v>
      </c>
      <c r="I210" s="3"/>
      <c r="J210" s="7">
        <f t="shared" si="37"/>
        <v>4.1166589377931179E-3</v>
      </c>
      <c r="K210" s="3"/>
      <c r="L210" s="8">
        <f t="shared" si="38"/>
        <v>2090</v>
      </c>
      <c r="M210" s="3"/>
      <c r="N210" s="7">
        <f t="shared" si="39"/>
        <v>0.62388059701492538</v>
      </c>
      <c r="O210" s="12"/>
      <c r="P210" s="8">
        <v>57440</v>
      </c>
      <c r="Q210" s="3"/>
      <c r="R210" s="7">
        <f t="shared" si="40"/>
        <v>3.1024093799506889E-3</v>
      </c>
      <c r="S210" s="3"/>
      <c r="T210" s="8">
        <v>35150</v>
      </c>
      <c r="U210" s="3"/>
      <c r="V210" s="7">
        <f t="shared" si="41"/>
        <v>4.4129725221714825E-3</v>
      </c>
      <c r="W210" s="3"/>
      <c r="X210" s="8">
        <f t="shared" si="42"/>
        <v>22290</v>
      </c>
      <c r="Y210" s="3"/>
      <c r="Z210" s="7">
        <f t="shared" si="43"/>
        <v>0.6341394025604552</v>
      </c>
    </row>
    <row r="211" spans="1:26" s="69" customFormat="1" ht="15" hidden="1" customHeight="1" outlineLevel="2" x14ac:dyDescent="0.3">
      <c r="A211" s="25"/>
      <c r="B211" s="12" t="str">
        <f>CONCATENATE("          ","7741"," - ","INV. SHRINKAGE-LOGO GIFTS")</f>
        <v xml:space="preserve">          7741 - INV. SHRINKAGE-LOGO GIFTS</v>
      </c>
      <c r="C211" s="12"/>
      <c r="D211" s="8"/>
      <c r="E211" s="3"/>
      <c r="F211" s="7">
        <f t="shared" si="36"/>
        <v>0</v>
      </c>
      <c r="G211" s="3"/>
      <c r="H211" s="8"/>
      <c r="I211" s="3"/>
      <c r="J211" s="7">
        <f t="shared" si="37"/>
        <v>0</v>
      </c>
      <c r="K211" s="3"/>
      <c r="L211" s="8">
        <f t="shared" si="38"/>
        <v>0</v>
      </c>
      <c r="M211" s="3"/>
      <c r="N211" s="7">
        <f t="shared" si="39"/>
        <v>0</v>
      </c>
      <c r="O211" s="12"/>
      <c r="P211" s="8"/>
      <c r="Q211" s="3"/>
      <c r="R211" s="7">
        <f t="shared" si="40"/>
        <v>0</v>
      </c>
      <c r="S211" s="3"/>
      <c r="T211" s="8">
        <v>0</v>
      </c>
      <c r="U211" s="3"/>
      <c r="V211" s="7">
        <f t="shared" si="41"/>
        <v>0</v>
      </c>
      <c r="W211" s="3"/>
      <c r="X211" s="8">
        <f t="shared" si="42"/>
        <v>0</v>
      </c>
      <c r="Y211" s="3"/>
      <c r="Z211" s="7">
        <f t="shared" si="43"/>
        <v>0</v>
      </c>
    </row>
    <row r="212" spans="1:26" s="68" customFormat="1" ht="15" customHeight="1" outlineLevel="1" collapsed="1" x14ac:dyDescent="0.3">
      <c r="A212" s="26"/>
      <c r="B212" s="14" t="str">
        <f>CONCATENATE("     ","Professional Services                             ")</f>
        <v xml:space="preserve">     Professional Services                             </v>
      </c>
      <c r="C212" s="14"/>
      <c r="D212" s="2">
        <f>SUM(OSRRefD22_15x_0)</f>
        <v>1050</v>
      </c>
      <c r="E212" s="2"/>
      <c r="F212" s="6">
        <f t="shared" si="36"/>
        <v>3.660887347003717E-4</v>
      </c>
      <c r="G212" s="2"/>
      <c r="H212" s="2">
        <f>SUM(OSRRefH22_15x_0)</f>
        <v>0</v>
      </c>
      <c r="I212" s="2"/>
      <c r="J212" s="6">
        <f t="shared" si="37"/>
        <v>0</v>
      </c>
      <c r="K212" s="2"/>
      <c r="L212" s="2">
        <f t="shared" si="38"/>
        <v>1050</v>
      </c>
      <c r="M212" s="2"/>
      <c r="N212" s="6">
        <f t="shared" si="39"/>
        <v>0</v>
      </c>
      <c r="O212" s="14"/>
      <c r="P212" s="2">
        <f>SUM(OSRRefP22_15x_0)</f>
        <v>9626.5300000000007</v>
      </c>
      <c r="Q212" s="2"/>
      <c r="R212" s="6">
        <f t="shared" si="40"/>
        <v>5.1994145139931593E-4</v>
      </c>
      <c r="S212" s="2"/>
      <c r="T212" s="2">
        <f>SUM(OSRRefT22_15x_0)</f>
        <v>0</v>
      </c>
      <c r="U212" s="2"/>
      <c r="V212" s="6">
        <f t="shared" si="41"/>
        <v>0</v>
      </c>
      <c r="W212" s="2"/>
      <c r="X212" s="2">
        <f t="shared" si="42"/>
        <v>9626.5300000000007</v>
      </c>
      <c r="Y212" s="2"/>
      <c r="Z212" s="6">
        <f t="shared" si="43"/>
        <v>0</v>
      </c>
    </row>
    <row r="213" spans="1:26" s="69" customFormat="1" ht="15" hidden="1" customHeight="1" outlineLevel="2" x14ac:dyDescent="0.3">
      <c r="A213" s="25"/>
      <c r="B213" s="12" t="str">
        <f>CONCATENATE("          ","6336"," - ","PROFESSIONAL SERVICES")</f>
        <v xml:space="preserve">          6336 - PROFESSIONAL SERVICES</v>
      </c>
      <c r="C213" s="12"/>
      <c r="D213" s="8">
        <v>1050</v>
      </c>
      <c r="E213" s="3"/>
      <c r="F213" s="7">
        <f t="shared" si="36"/>
        <v>3.660887347003717E-4</v>
      </c>
      <c r="G213" s="3"/>
      <c r="H213" s="8"/>
      <c r="I213" s="3"/>
      <c r="J213" s="7">
        <f t="shared" si="37"/>
        <v>0</v>
      </c>
      <c r="K213" s="3"/>
      <c r="L213" s="8">
        <f t="shared" si="38"/>
        <v>1050</v>
      </c>
      <c r="M213" s="3"/>
      <c r="N213" s="7">
        <f t="shared" si="39"/>
        <v>0</v>
      </c>
      <c r="O213" s="12"/>
      <c r="P213" s="8">
        <v>9626.5300000000007</v>
      </c>
      <c r="Q213" s="3"/>
      <c r="R213" s="7">
        <f t="shared" si="40"/>
        <v>5.1994145139931593E-4</v>
      </c>
      <c r="S213" s="3"/>
      <c r="T213" s="8"/>
      <c r="U213" s="3"/>
      <c r="V213" s="7">
        <f t="shared" si="41"/>
        <v>0</v>
      </c>
      <c r="W213" s="3"/>
      <c r="X213" s="8">
        <f t="shared" si="42"/>
        <v>9626.5300000000007</v>
      </c>
      <c r="Y213" s="3"/>
      <c r="Z213" s="7">
        <f t="shared" si="43"/>
        <v>0</v>
      </c>
    </row>
    <row r="214" spans="1:26" s="68" customFormat="1" ht="15" customHeight="1" outlineLevel="1" collapsed="1" x14ac:dyDescent="0.3">
      <c r="A214" s="26"/>
      <c r="B214" s="14" t="str">
        <f>CONCATENATE("     ","R/H Commissions                                   ")</f>
        <v xml:space="preserve">     R/H Commissions                                   </v>
      </c>
      <c r="C214" s="14"/>
      <c r="D214" s="2">
        <f>SUM(OSRRefD22_16x_0)</f>
        <v>111663.48</v>
      </c>
      <c r="E214" s="2"/>
      <c r="F214" s="6">
        <f t="shared" si="36"/>
        <v>3.8932135338514529E-2</v>
      </c>
      <c r="G214" s="2"/>
      <c r="H214" s="2">
        <f>SUM(OSRRefH22_16x_0)</f>
        <v>6756.75</v>
      </c>
      <c r="I214" s="2"/>
      <c r="J214" s="6">
        <f t="shared" si="37"/>
        <v>8.3030553068458648E-3</v>
      </c>
      <c r="K214" s="2"/>
      <c r="L214" s="2">
        <f t="shared" si="38"/>
        <v>104906.73</v>
      </c>
      <c r="M214" s="2"/>
      <c r="N214" s="6">
        <f t="shared" si="39"/>
        <v>15.526211566211565</v>
      </c>
      <c r="O214" s="14"/>
      <c r="P214" s="2">
        <f>SUM(OSRRefP22_16x_0)</f>
        <v>720692.17</v>
      </c>
      <c r="Q214" s="2"/>
      <c r="R214" s="6">
        <f t="shared" si="40"/>
        <v>3.8925524865338033E-2</v>
      </c>
      <c r="S214" s="2"/>
      <c r="T214" s="2">
        <f>SUM(OSRRefT22_16x_0)</f>
        <v>59012.6</v>
      </c>
      <c r="U214" s="2"/>
      <c r="V214" s="6">
        <f t="shared" si="41"/>
        <v>7.408847290523381E-3</v>
      </c>
      <c r="W214" s="2"/>
      <c r="X214" s="2">
        <f t="shared" si="42"/>
        <v>661679.57000000007</v>
      </c>
      <c r="Y214" s="2"/>
      <c r="Z214" s="6">
        <f t="shared" si="43"/>
        <v>11.212513429335431</v>
      </c>
    </row>
    <row r="215" spans="1:26" s="69" customFormat="1" ht="15" hidden="1" customHeight="1" outlineLevel="2" x14ac:dyDescent="0.3">
      <c r="A215" s="25"/>
      <c r="B215" s="12" t="str">
        <f>CONCATENATE("          ","6387"," - ","COMMISSION DUE HOUSING")</f>
        <v xml:space="preserve">          6387 - COMMISSION DUE HOUSING</v>
      </c>
      <c r="C215" s="12"/>
      <c r="D215" s="8">
        <v>111663.48</v>
      </c>
      <c r="E215" s="3"/>
      <c r="F215" s="7">
        <f t="shared" si="36"/>
        <v>3.8932135338514529E-2</v>
      </c>
      <c r="G215" s="3"/>
      <c r="H215" s="8">
        <v>6756.75</v>
      </c>
      <c r="I215" s="3"/>
      <c r="J215" s="7">
        <f t="shared" si="37"/>
        <v>8.3030553068458648E-3</v>
      </c>
      <c r="K215" s="3"/>
      <c r="L215" s="8">
        <f t="shared" si="38"/>
        <v>104906.73</v>
      </c>
      <c r="M215" s="3"/>
      <c r="N215" s="7">
        <f t="shared" si="39"/>
        <v>15.526211566211565</v>
      </c>
      <c r="O215" s="12"/>
      <c r="P215" s="8">
        <v>720692.17</v>
      </c>
      <c r="Q215" s="3"/>
      <c r="R215" s="7">
        <f t="shared" si="40"/>
        <v>3.8925524865338033E-2</v>
      </c>
      <c r="S215" s="3"/>
      <c r="T215" s="8">
        <v>59012.6</v>
      </c>
      <c r="U215" s="3"/>
      <c r="V215" s="7">
        <f t="shared" si="41"/>
        <v>7.408847290523381E-3</v>
      </c>
      <c r="W215" s="3"/>
      <c r="X215" s="8">
        <f t="shared" si="42"/>
        <v>661679.57000000007</v>
      </c>
      <c r="Y215" s="3"/>
      <c r="Z215" s="7">
        <f t="shared" si="43"/>
        <v>11.212513429335431</v>
      </c>
    </row>
    <row r="216" spans="1:26" s="68" customFormat="1" ht="15" customHeight="1" outlineLevel="1" collapsed="1" x14ac:dyDescent="0.3">
      <c r="A216" s="26"/>
      <c r="B216" s="14" t="str">
        <f>CONCATENATE("     ","Rent                                              ")</f>
        <v xml:space="preserve">     Rent                                              </v>
      </c>
      <c r="C216" s="14"/>
      <c r="D216" s="2">
        <f>SUM(OSRRefD22_17x_0)</f>
        <v>8750</v>
      </c>
      <c r="E216" s="2"/>
      <c r="F216" s="6">
        <f t="shared" si="36"/>
        <v>3.0507394558364305E-3</v>
      </c>
      <c r="G216" s="2"/>
      <c r="H216" s="2">
        <f>SUM(OSRRefH22_17x_0)</f>
        <v>6900</v>
      </c>
      <c r="I216" s="2"/>
      <c r="J216" s="6">
        <f t="shared" si="37"/>
        <v>8.479088558439556E-3</v>
      </c>
      <c r="K216" s="2"/>
      <c r="L216" s="2">
        <f t="shared" si="38"/>
        <v>1850</v>
      </c>
      <c r="M216" s="2"/>
      <c r="N216" s="6">
        <f t="shared" si="39"/>
        <v>0.26811594202898553</v>
      </c>
      <c r="O216" s="14"/>
      <c r="P216" s="2">
        <f>SUM(OSRRefP22_17x_0)</f>
        <v>78750</v>
      </c>
      <c r="Q216" s="2"/>
      <c r="R216" s="6">
        <f t="shared" si="40"/>
        <v>4.2533902971991083E-3</v>
      </c>
      <c r="S216" s="2"/>
      <c r="T216" s="2">
        <f>SUM(OSRRefT22_17x_0)</f>
        <v>73200</v>
      </c>
      <c r="U216" s="2"/>
      <c r="V216" s="6">
        <f t="shared" si="41"/>
        <v>9.1900309707810112E-3</v>
      </c>
      <c r="W216" s="2"/>
      <c r="X216" s="2">
        <f t="shared" si="42"/>
        <v>5550</v>
      </c>
      <c r="Y216" s="2"/>
      <c r="Z216" s="6">
        <f t="shared" si="43"/>
        <v>7.5819672131147542E-2</v>
      </c>
    </row>
    <row r="217" spans="1:26" s="69" customFormat="1" ht="15" hidden="1" customHeight="1" outlineLevel="2" x14ac:dyDescent="0.3">
      <c r="A217" s="25"/>
      <c r="B217" s="12" t="str">
        <f>CONCATENATE("          ","6273"," - ","RENT")</f>
        <v xml:space="preserve">          6273 - RENT</v>
      </c>
      <c r="C217" s="12"/>
      <c r="D217" s="8">
        <v>8750</v>
      </c>
      <c r="E217" s="3"/>
      <c r="F217" s="7">
        <f t="shared" si="36"/>
        <v>3.0507394558364305E-3</v>
      </c>
      <c r="G217" s="3"/>
      <c r="H217" s="8">
        <v>6900</v>
      </c>
      <c r="I217" s="3"/>
      <c r="J217" s="7">
        <f t="shared" si="37"/>
        <v>8.479088558439556E-3</v>
      </c>
      <c r="K217" s="3"/>
      <c r="L217" s="8">
        <f t="shared" si="38"/>
        <v>1850</v>
      </c>
      <c r="M217" s="3"/>
      <c r="N217" s="7">
        <f t="shared" si="39"/>
        <v>0.26811594202898553</v>
      </c>
      <c r="O217" s="12"/>
      <c r="P217" s="8">
        <v>78750</v>
      </c>
      <c r="Q217" s="3"/>
      <c r="R217" s="7">
        <f t="shared" si="40"/>
        <v>4.2533902971991083E-3</v>
      </c>
      <c r="S217" s="3"/>
      <c r="T217" s="8">
        <v>73200</v>
      </c>
      <c r="U217" s="3"/>
      <c r="V217" s="7">
        <f t="shared" si="41"/>
        <v>9.1900309707810112E-3</v>
      </c>
      <c r="W217" s="3"/>
      <c r="X217" s="8">
        <f t="shared" si="42"/>
        <v>5550</v>
      </c>
      <c r="Y217" s="3"/>
      <c r="Z217" s="7">
        <f t="shared" si="43"/>
        <v>7.5819672131147542E-2</v>
      </c>
    </row>
    <row r="218" spans="1:26" s="68" customFormat="1" ht="15" customHeight="1" outlineLevel="1" collapsed="1" x14ac:dyDescent="0.3">
      <c r="A218" s="26"/>
      <c r="B218" s="14" t="str">
        <f>CONCATENATE("     ","Repair and Maintenance                            ")</f>
        <v xml:space="preserve">     Repair and Maintenance                            </v>
      </c>
      <c r="C218" s="14"/>
      <c r="D218" s="2">
        <f>SUM(OSRRefD22_18x_0)</f>
        <v>29977.87</v>
      </c>
      <c r="E218" s="2"/>
      <c r="F218" s="6">
        <f t="shared" si="36"/>
        <v>1.0451962378392601E-2</v>
      </c>
      <c r="G218" s="2"/>
      <c r="H218" s="2">
        <f>SUM(OSRRefH22_18x_0)</f>
        <v>46822.47</v>
      </c>
      <c r="I218" s="2"/>
      <c r="J218" s="6">
        <f t="shared" si="37"/>
        <v>5.7537952123895564E-2</v>
      </c>
      <c r="K218" s="2"/>
      <c r="L218" s="2">
        <f t="shared" si="38"/>
        <v>-16844.600000000002</v>
      </c>
      <c r="M218" s="2"/>
      <c r="N218" s="6">
        <f t="shared" si="39"/>
        <v>-0.35975462208636155</v>
      </c>
      <c r="O218" s="14"/>
      <c r="P218" s="2">
        <f>SUM(OSRRefP22_18x_0)</f>
        <v>378420.51</v>
      </c>
      <c r="Q218" s="2"/>
      <c r="R218" s="6">
        <f t="shared" si="40"/>
        <v>2.0438985720573181E-2</v>
      </c>
      <c r="S218" s="2"/>
      <c r="T218" s="2">
        <f>SUM(OSRRefT22_18x_0)</f>
        <v>345157.41000000003</v>
      </c>
      <c r="U218" s="2"/>
      <c r="V218" s="6">
        <f t="shared" si="41"/>
        <v>4.3333432892002179E-2</v>
      </c>
      <c r="W218" s="2"/>
      <c r="X218" s="2">
        <f t="shared" si="42"/>
        <v>33263.099999999977</v>
      </c>
      <c r="Y218" s="2"/>
      <c r="Z218" s="6">
        <f t="shared" si="43"/>
        <v>9.6370812378039267E-2</v>
      </c>
    </row>
    <row r="219" spans="1:26" s="69" customFormat="1" ht="15" hidden="1" customHeight="1" outlineLevel="2" x14ac:dyDescent="0.3">
      <c r="A219" s="25"/>
      <c r="B219" s="12" t="str">
        <f>CONCATENATE("          ","6371"," - ","COMPUTER SOFTWARE MAINTENANCE")</f>
        <v xml:space="preserve">          6371 - COMPUTER SOFTWARE MAINTENANCE</v>
      </c>
      <c r="C219" s="12"/>
      <c r="D219" s="8">
        <v>5833.7</v>
      </c>
      <c r="E219" s="3"/>
      <c r="F219" s="7">
        <f t="shared" si="36"/>
        <v>2.033954144401484E-3</v>
      </c>
      <c r="G219" s="3"/>
      <c r="H219" s="8">
        <v>5050</v>
      </c>
      <c r="I219" s="3"/>
      <c r="J219" s="7">
        <f t="shared" si="37"/>
        <v>6.2057097420463421E-3</v>
      </c>
      <c r="K219" s="3"/>
      <c r="L219" s="8">
        <f t="shared" si="38"/>
        <v>783.69999999999982</v>
      </c>
      <c r="M219" s="3"/>
      <c r="N219" s="7">
        <f t="shared" si="39"/>
        <v>0.15518811881188116</v>
      </c>
      <c r="O219" s="12"/>
      <c r="P219" s="8">
        <v>110745.57</v>
      </c>
      <c r="Q219" s="3"/>
      <c r="R219" s="7">
        <f t="shared" si="40"/>
        <v>5.9815127986766305E-3</v>
      </c>
      <c r="S219" s="3"/>
      <c r="T219" s="8">
        <v>76019.990000000005</v>
      </c>
      <c r="U219" s="3"/>
      <c r="V219" s="7">
        <f t="shared" si="41"/>
        <v>9.5440718920555018E-3</v>
      </c>
      <c r="W219" s="3"/>
      <c r="X219" s="8">
        <f t="shared" si="42"/>
        <v>34725.58</v>
      </c>
      <c r="Y219" s="3"/>
      <c r="Z219" s="7">
        <f t="shared" si="43"/>
        <v>0.45679537711067836</v>
      </c>
    </row>
    <row r="220" spans="1:26" s="69" customFormat="1" ht="15" hidden="1" customHeight="1" outlineLevel="2" x14ac:dyDescent="0.3">
      <c r="A220" s="25"/>
      <c r="B220" s="12" t="str">
        <f>CONCATENATE("          ","6372"," - ","COMPUTER HARDWARE MAINTENANCE")</f>
        <v xml:space="preserve">          6372 - COMPUTER HARDWARE MAINTENANCE</v>
      </c>
      <c r="C220" s="12"/>
      <c r="D220" s="8"/>
      <c r="E220" s="3"/>
      <c r="F220" s="7">
        <f t="shared" si="36"/>
        <v>0</v>
      </c>
      <c r="G220" s="3"/>
      <c r="H220" s="8">
        <v>100</v>
      </c>
      <c r="I220" s="3"/>
      <c r="J220" s="7">
        <f t="shared" si="37"/>
        <v>1.2288534142666023E-4</v>
      </c>
      <c r="K220" s="3"/>
      <c r="L220" s="8">
        <f t="shared" si="38"/>
        <v>-100</v>
      </c>
      <c r="M220" s="3"/>
      <c r="N220" s="7">
        <f t="shared" si="39"/>
        <v>-1</v>
      </c>
      <c r="O220" s="12"/>
      <c r="P220" s="8">
        <v>1555.65</v>
      </c>
      <c r="Q220" s="3"/>
      <c r="R220" s="7">
        <f t="shared" si="40"/>
        <v>8.4022687185241818E-5</v>
      </c>
      <c r="S220" s="3"/>
      <c r="T220" s="8">
        <v>98.85</v>
      </c>
      <c r="U220" s="3"/>
      <c r="V220" s="7">
        <f t="shared" si="41"/>
        <v>1.2410308216689929E-5</v>
      </c>
      <c r="W220" s="3"/>
      <c r="X220" s="8">
        <f t="shared" si="42"/>
        <v>1456.8000000000002</v>
      </c>
      <c r="Y220" s="3"/>
      <c r="Z220" s="7">
        <f t="shared" si="43"/>
        <v>14.737481031866468</v>
      </c>
    </row>
    <row r="221" spans="1:26" s="69" customFormat="1" ht="15" hidden="1" customHeight="1" outlineLevel="2" x14ac:dyDescent="0.3">
      <c r="A221" s="25"/>
      <c r="B221" s="12" t="str">
        <f>CONCATENATE("          ","6373"," - ","MAINTENANCE CONTRACTS")</f>
        <v xml:space="preserve">          6373 - MAINTENANCE CONTRACTS</v>
      </c>
      <c r="C221" s="12"/>
      <c r="D221" s="8">
        <v>9634.01</v>
      </c>
      <c r="E221" s="3"/>
      <c r="F221" s="7">
        <f t="shared" si="36"/>
        <v>3.3589547914197409E-3</v>
      </c>
      <c r="G221" s="3"/>
      <c r="H221" s="8">
        <v>31589.56</v>
      </c>
      <c r="I221" s="3"/>
      <c r="J221" s="7">
        <f t="shared" si="37"/>
        <v>3.8818938661179692E-2</v>
      </c>
      <c r="K221" s="3"/>
      <c r="L221" s="8">
        <f t="shared" si="38"/>
        <v>-21955.550000000003</v>
      </c>
      <c r="M221" s="3"/>
      <c r="N221" s="7">
        <f t="shared" si="39"/>
        <v>-0.69502550842746791</v>
      </c>
      <c r="O221" s="12"/>
      <c r="P221" s="8">
        <v>165616.69</v>
      </c>
      <c r="Q221" s="3"/>
      <c r="R221" s="7">
        <f t="shared" si="40"/>
        <v>8.9451736165108899E-3</v>
      </c>
      <c r="S221" s="3"/>
      <c r="T221" s="8">
        <v>210332.63</v>
      </c>
      <c r="U221" s="3"/>
      <c r="V221" s="7">
        <f t="shared" si="41"/>
        <v>2.6406603604724362E-2</v>
      </c>
      <c r="W221" s="3"/>
      <c r="X221" s="8">
        <f t="shared" si="42"/>
        <v>-44715.94</v>
      </c>
      <c r="Y221" s="3"/>
      <c r="Z221" s="7">
        <f t="shared" si="43"/>
        <v>-0.21259630519525194</v>
      </c>
    </row>
    <row r="222" spans="1:26" s="69" customFormat="1" ht="15" hidden="1" customHeight="1" outlineLevel="2" x14ac:dyDescent="0.3">
      <c r="A222" s="25"/>
      <c r="B222" s="12" t="str">
        <f>CONCATENATE("          ","6375"," - ","OUTSIDE REPAIRS &amp; MAINTENANCE")</f>
        <v xml:space="preserve">          6375 - OUTSIDE REPAIRS &amp; MAINTENANCE</v>
      </c>
      <c r="C222" s="12"/>
      <c r="D222" s="8">
        <v>14510.16</v>
      </c>
      <c r="E222" s="3"/>
      <c r="F222" s="7">
        <f t="shared" si="36"/>
        <v>5.0590534425713762E-3</v>
      </c>
      <c r="G222" s="3"/>
      <c r="H222" s="8">
        <v>10082.91</v>
      </c>
      <c r="I222" s="3"/>
      <c r="J222" s="7">
        <f t="shared" si="37"/>
        <v>1.2390418379242867E-2</v>
      </c>
      <c r="K222" s="3"/>
      <c r="L222" s="8">
        <f t="shared" si="38"/>
        <v>4427.25</v>
      </c>
      <c r="M222" s="3"/>
      <c r="N222" s="7">
        <f t="shared" si="39"/>
        <v>0.43908454999598329</v>
      </c>
      <c r="O222" s="12"/>
      <c r="P222" s="8">
        <v>100502.6</v>
      </c>
      <c r="Q222" s="3"/>
      <c r="R222" s="7">
        <f t="shared" si="40"/>
        <v>5.4282766182004207E-3</v>
      </c>
      <c r="S222" s="3"/>
      <c r="T222" s="8">
        <v>58705.94</v>
      </c>
      <c r="U222" s="3"/>
      <c r="V222" s="7">
        <f t="shared" si="41"/>
        <v>7.370347087005626E-3</v>
      </c>
      <c r="W222" s="3"/>
      <c r="X222" s="8">
        <f t="shared" si="42"/>
        <v>41796.660000000003</v>
      </c>
      <c r="Y222" s="3"/>
      <c r="Z222" s="7">
        <f t="shared" si="43"/>
        <v>0.71196645518324042</v>
      </c>
    </row>
    <row r="223" spans="1:26" s="68" customFormat="1" ht="15" customHeight="1" outlineLevel="1" collapsed="1" x14ac:dyDescent="0.3">
      <c r="A223" s="26"/>
      <c r="B223" s="14" t="str">
        <f>CONCATENATE("     ","Royalty &amp; Commissions                             ")</f>
        <v xml:space="preserve">     Royalty &amp; Commissions                             </v>
      </c>
      <c r="C223" s="14"/>
      <c r="D223" s="2">
        <f>SUM(OSRRefD22_19x_0)</f>
        <v>3085.8199999999997</v>
      </c>
      <c r="E223" s="2"/>
      <c r="F223" s="6">
        <f t="shared" si="36"/>
        <v>1.0758894660124769E-3</v>
      </c>
      <c r="G223" s="2"/>
      <c r="H223" s="2">
        <f>SUM(OSRRefH22_19x_0)</f>
        <v>27.21</v>
      </c>
      <c r="I223" s="2"/>
      <c r="J223" s="6">
        <f t="shared" si="37"/>
        <v>3.343710140219425E-5</v>
      </c>
      <c r="K223" s="2"/>
      <c r="L223" s="2">
        <f t="shared" si="38"/>
        <v>3058.6099999999997</v>
      </c>
      <c r="M223" s="2"/>
      <c r="N223" s="6">
        <f t="shared" si="39"/>
        <v>112.40757074604923</v>
      </c>
      <c r="O223" s="14"/>
      <c r="P223" s="2">
        <f>SUM(OSRRefP22_19x_0)</f>
        <v>56953.640000000007</v>
      </c>
      <c r="Q223" s="2"/>
      <c r="R223" s="6">
        <f t="shared" si="40"/>
        <v>3.0761404414751878E-3</v>
      </c>
      <c r="S223" s="2"/>
      <c r="T223" s="2">
        <f>SUM(OSRRefT22_19x_0)</f>
        <v>37046.9</v>
      </c>
      <c r="U223" s="2"/>
      <c r="V223" s="6">
        <f t="shared" si="41"/>
        <v>4.6511223821233206E-3</v>
      </c>
      <c r="W223" s="2"/>
      <c r="X223" s="2">
        <f t="shared" si="42"/>
        <v>19906.740000000005</v>
      </c>
      <c r="Y223" s="2"/>
      <c r="Z223" s="6">
        <f t="shared" si="43"/>
        <v>0.53733888665448404</v>
      </c>
    </row>
    <row r="224" spans="1:26" s="69" customFormat="1" ht="15" hidden="1" customHeight="1" outlineLevel="2" x14ac:dyDescent="0.3">
      <c r="A224" s="25"/>
      <c r="B224" s="12" t="str">
        <f>CONCATENATE("          ","6253"," - ","ROYALTY DUE ATHLETICS-LRG")</f>
        <v xml:space="preserve">          6253 - ROYALTY DUE ATHLETICS-LRG</v>
      </c>
      <c r="C224" s="12"/>
      <c r="D224" s="8"/>
      <c r="E224" s="3"/>
      <c r="F224" s="7">
        <f t="shared" si="36"/>
        <v>0</v>
      </c>
      <c r="G224" s="3"/>
      <c r="H224" s="8"/>
      <c r="I224" s="3"/>
      <c r="J224" s="7">
        <f t="shared" si="37"/>
        <v>0</v>
      </c>
      <c r="K224" s="3"/>
      <c r="L224" s="8">
        <f t="shared" si="38"/>
        <v>0</v>
      </c>
      <c r="M224" s="3"/>
      <c r="N224" s="7">
        <f t="shared" si="39"/>
        <v>0</v>
      </c>
      <c r="O224" s="12"/>
      <c r="P224" s="8">
        <v>39221.160000000003</v>
      </c>
      <c r="Q224" s="3"/>
      <c r="R224" s="7">
        <f t="shared" si="40"/>
        <v>2.1183860493827781E-3</v>
      </c>
      <c r="S224" s="3"/>
      <c r="T224" s="8">
        <v>26197.58</v>
      </c>
      <c r="U224" s="3"/>
      <c r="V224" s="7">
        <f t="shared" si="41"/>
        <v>3.2890242016326942E-3</v>
      </c>
      <c r="W224" s="3"/>
      <c r="X224" s="8">
        <f t="shared" si="42"/>
        <v>13023.580000000002</v>
      </c>
      <c r="Y224" s="3"/>
      <c r="Z224" s="7">
        <f t="shared" si="43"/>
        <v>0.49712912414047405</v>
      </c>
    </row>
    <row r="225" spans="1:26" s="69" customFormat="1" ht="15" hidden="1" customHeight="1" outlineLevel="2" x14ac:dyDescent="0.3">
      <c r="A225" s="25"/>
      <c r="B225" s="12" t="str">
        <f>CONCATENATE("          ","6254"," - ","ROYALTY &amp; COMMISSIONS")</f>
        <v xml:space="preserve">          6254 - ROYALTY &amp; COMMISSIONS</v>
      </c>
      <c r="C225" s="12"/>
      <c r="D225" s="8">
        <v>583.67999999999995</v>
      </c>
      <c r="E225" s="3"/>
      <c r="F225" s="7">
        <f t="shared" ref="F225:F256" si="44">IF(D$12=0,0,D225/D$12)</f>
        <v>2.0350349778086945E-4</v>
      </c>
      <c r="G225" s="3"/>
      <c r="H225" s="8"/>
      <c r="I225" s="3"/>
      <c r="J225" s="7">
        <f t="shared" ref="J225:J256" si="45">IF(H$12=0,0,H225/H$12)</f>
        <v>0</v>
      </c>
      <c r="K225" s="3"/>
      <c r="L225" s="8">
        <f t="shared" ref="L225:L256" si="46">+D225-H225</f>
        <v>583.67999999999995</v>
      </c>
      <c r="M225" s="3"/>
      <c r="N225" s="7">
        <f t="shared" ref="N225:N256" si="47">IF(H225=0,0,L225/H225)</f>
        <v>0</v>
      </c>
      <c r="O225" s="12"/>
      <c r="P225" s="8">
        <v>7726.86</v>
      </c>
      <c r="Q225" s="3"/>
      <c r="R225" s="7">
        <f t="shared" ref="R225:R256" si="48">IF(P$12=0,0,P225/P$12)</f>
        <v>4.1733779494369393E-4</v>
      </c>
      <c r="S225" s="3"/>
      <c r="T225" s="8">
        <v>185.7</v>
      </c>
      <c r="U225" s="3"/>
      <c r="V225" s="7">
        <f t="shared" ref="V225:V256" si="49">IF(T$12=0,0,T225/T$12)</f>
        <v>2.3314053979153464E-5</v>
      </c>
      <c r="W225" s="3"/>
      <c r="X225" s="8">
        <f t="shared" ref="X225:X256" si="50">+P225-T225</f>
        <v>7541.16</v>
      </c>
      <c r="Y225" s="3"/>
      <c r="Z225" s="7">
        <f t="shared" ref="Z225:Z256" si="51">IF(T225=0,0,X225/T225)</f>
        <v>40.609369951534738</v>
      </c>
    </row>
    <row r="226" spans="1:26" s="69" customFormat="1" ht="15" hidden="1" customHeight="1" outlineLevel="2" x14ac:dyDescent="0.3">
      <c r="A226" s="25"/>
      <c r="B226" s="12" t="str">
        <f>CONCATENATE("          ","6259"," - ","ROYALTY &amp; COMMISSIONS")</f>
        <v xml:space="preserve">          6259 - ROYALTY &amp; COMMISSIONS</v>
      </c>
      <c r="C226" s="12"/>
      <c r="D226" s="8">
        <v>2502.14</v>
      </c>
      <c r="E226" s="3"/>
      <c r="F226" s="7">
        <f t="shared" si="44"/>
        <v>8.7238596823160756E-4</v>
      </c>
      <c r="G226" s="3"/>
      <c r="H226" s="8">
        <v>27.21</v>
      </c>
      <c r="I226" s="3"/>
      <c r="J226" s="7">
        <f t="shared" si="45"/>
        <v>3.343710140219425E-5</v>
      </c>
      <c r="K226" s="3"/>
      <c r="L226" s="8">
        <f t="shared" si="46"/>
        <v>2474.9299999999998</v>
      </c>
      <c r="M226" s="3"/>
      <c r="N226" s="7">
        <f t="shared" si="47"/>
        <v>90.956633590591679</v>
      </c>
      <c r="O226" s="12"/>
      <c r="P226" s="8">
        <v>10005.620000000001</v>
      </c>
      <c r="Q226" s="3"/>
      <c r="R226" s="7">
        <f t="shared" si="48"/>
        <v>5.4041659714871551E-4</v>
      </c>
      <c r="S226" s="3"/>
      <c r="T226" s="8">
        <v>10663.62</v>
      </c>
      <c r="U226" s="3"/>
      <c r="V226" s="7">
        <f t="shared" si="49"/>
        <v>1.3387841265114727E-3</v>
      </c>
      <c r="W226" s="3"/>
      <c r="X226" s="8">
        <f t="shared" si="50"/>
        <v>-658</v>
      </c>
      <c r="Y226" s="3"/>
      <c r="Z226" s="7">
        <f t="shared" si="51"/>
        <v>-6.1705124526192791E-2</v>
      </c>
    </row>
    <row r="227" spans="1:26" s="68" customFormat="1" ht="15" customHeight="1" outlineLevel="1" collapsed="1" x14ac:dyDescent="0.3">
      <c r="A227" s="26"/>
      <c r="B227" s="14" t="str">
        <f>CONCATENATE("     ","Services                                          ")</f>
        <v xml:space="preserve">     Services                                          </v>
      </c>
      <c r="C227" s="14"/>
      <c r="D227" s="2">
        <f>SUM(OSRRefD22_20x_0)</f>
        <v>32330.14</v>
      </c>
      <c r="E227" s="2"/>
      <c r="F227" s="6">
        <f t="shared" si="44"/>
        <v>1.1272095281224642E-2</v>
      </c>
      <c r="G227" s="2"/>
      <c r="H227" s="2">
        <f>SUM(OSRRefH22_20x_0)</f>
        <v>17082.769999999997</v>
      </c>
      <c r="I227" s="2"/>
      <c r="J227" s="6">
        <f t="shared" si="45"/>
        <v>2.0992220239631081E-2</v>
      </c>
      <c r="K227" s="2"/>
      <c r="L227" s="2">
        <f t="shared" si="46"/>
        <v>15247.370000000003</v>
      </c>
      <c r="M227" s="2"/>
      <c r="N227" s="6">
        <f t="shared" si="47"/>
        <v>0.89255840826751198</v>
      </c>
      <c r="O227" s="14"/>
      <c r="P227" s="2">
        <f>SUM(OSRRefP22_20x_0)</f>
        <v>279696.5</v>
      </c>
      <c r="Q227" s="2"/>
      <c r="R227" s="6">
        <f t="shared" si="48"/>
        <v>1.5106773069975241E-2</v>
      </c>
      <c r="S227" s="2"/>
      <c r="T227" s="2">
        <f>SUM(OSRRefT22_20x_0)</f>
        <v>186794.88</v>
      </c>
      <c r="U227" s="2"/>
      <c r="V227" s="6">
        <f t="shared" si="49"/>
        <v>2.3451512737477084E-2</v>
      </c>
      <c r="W227" s="2"/>
      <c r="X227" s="2">
        <f t="shared" si="50"/>
        <v>92901.62</v>
      </c>
      <c r="Y227" s="2"/>
      <c r="Z227" s="6">
        <f t="shared" si="51"/>
        <v>0.49734564459154335</v>
      </c>
    </row>
    <row r="228" spans="1:26" s="69" customFormat="1" ht="15" hidden="1" customHeight="1" outlineLevel="2" x14ac:dyDescent="0.3">
      <c r="A228" s="25"/>
      <c r="B228" s="12" t="str">
        <f>CONCATENATE("          ","6282"," - ","JANITORIAL/EXTERMINATOR EXPENS")</f>
        <v xml:space="preserve">          6282 - JANITORIAL/EXTERMINATOR EXPENS</v>
      </c>
      <c r="C228" s="12"/>
      <c r="D228" s="8">
        <v>4733.6000000000004</v>
      </c>
      <c r="E228" s="3"/>
      <c r="F228" s="7">
        <f t="shared" si="44"/>
        <v>1.6503977472168377E-3</v>
      </c>
      <c r="G228" s="3"/>
      <c r="H228" s="8">
        <v>4653.21</v>
      </c>
      <c r="I228" s="3"/>
      <c r="J228" s="7">
        <f t="shared" si="45"/>
        <v>5.7181129957994967E-3</v>
      </c>
      <c r="K228" s="3"/>
      <c r="L228" s="8">
        <f t="shared" si="46"/>
        <v>80.390000000000327</v>
      </c>
      <c r="M228" s="3"/>
      <c r="N228" s="7">
        <f t="shared" si="47"/>
        <v>1.727624586038462E-2</v>
      </c>
      <c r="O228" s="12"/>
      <c r="P228" s="8">
        <v>31274.61</v>
      </c>
      <c r="Q228" s="3"/>
      <c r="R228" s="7">
        <f t="shared" si="48"/>
        <v>1.6891825107642692E-3</v>
      </c>
      <c r="S228" s="3"/>
      <c r="T228" s="8">
        <v>29841.1</v>
      </c>
      <c r="U228" s="3"/>
      <c r="V228" s="7">
        <f t="shared" si="49"/>
        <v>3.7464567377346065E-3</v>
      </c>
      <c r="W228" s="3"/>
      <c r="X228" s="8">
        <f t="shared" si="50"/>
        <v>1433.510000000002</v>
      </c>
      <c r="Y228" s="3"/>
      <c r="Z228" s="7">
        <f t="shared" si="51"/>
        <v>4.8038108514766614E-2</v>
      </c>
    </row>
    <row r="229" spans="1:26" s="69" customFormat="1" ht="15" hidden="1" customHeight="1" outlineLevel="2" x14ac:dyDescent="0.3">
      <c r="A229" s="25"/>
      <c r="B229" s="12" t="str">
        <f>CONCATENATE("          ","6283"," - ","PLANT SERVICE")</f>
        <v xml:space="preserve">          6283 - PLANT SERVICE</v>
      </c>
      <c r="C229" s="12"/>
      <c r="D229" s="8"/>
      <c r="E229" s="3"/>
      <c r="F229" s="7">
        <f t="shared" si="44"/>
        <v>0</v>
      </c>
      <c r="G229" s="3"/>
      <c r="H229" s="8"/>
      <c r="I229" s="3"/>
      <c r="J229" s="7">
        <f t="shared" si="45"/>
        <v>0</v>
      </c>
      <c r="K229" s="3"/>
      <c r="L229" s="8">
        <f t="shared" si="46"/>
        <v>0</v>
      </c>
      <c r="M229" s="3"/>
      <c r="N229" s="7">
        <f t="shared" si="47"/>
        <v>0</v>
      </c>
      <c r="O229" s="12"/>
      <c r="P229" s="8"/>
      <c r="Q229" s="3"/>
      <c r="R229" s="7">
        <f t="shared" si="48"/>
        <v>0</v>
      </c>
      <c r="S229" s="3"/>
      <c r="T229" s="8">
        <v>171.31</v>
      </c>
      <c r="U229" s="3"/>
      <c r="V229" s="7">
        <f t="shared" si="49"/>
        <v>2.1507434502793648E-5</v>
      </c>
      <c r="W229" s="3"/>
      <c r="X229" s="8">
        <f t="shared" si="50"/>
        <v>-171.31</v>
      </c>
      <c r="Y229" s="3"/>
      <c r="Z229" s="7">
        <f t="shared" si="51"/>
        <v>-1</v>
      </c>
    </row>
    <row r="230" spans="1:26" s="69" customFormat="1" ht="15" hidden="1" customHeight="1" outlineLevel="2" x14ac:dyDescent="0.3">
      <c r="A230" s="25"/>
      <c r="B230" s="12" t="str">
        <f>CONCATENATE("          ","6284"," - ","TRASH REMOVAL EXPENSE")</f>
        <v xml:space="preserve">          6284 - TRASH REMOVAL EXPENSE</v>
      </c>
      <c r="C230" s="12"/>
      <c r="D230" s="8">
        <v>149.69999999999999</v>
      </c>
      <c r="E230" s="3"/>
      <c r="F230" s="7">
        <f t="shared" si="44"/>
        <v>5.21937938901387E-5</v>
      </c>
      <c r="G230" s="3"/>
      <c r="H230" s="8">
        <v>-9101.43</v>
      </c>
      <c r="I230" s="3"/>
      <c r="J230" s="7">
        <f t="shared" si="45"/>
        <v>-1.1184323330208483E-2</v>
      </c>
      <c r="K230" s="3"/>
      <c r="L230" s="8">
        <f t="shared" si="46"/>
        <v>9251.130000000001</v>
      </c>
      <c r="M230" s="3"/>
      <c r="N230" s="7">
        <f t="shared" si="47"/>
        <v>-1.0164479647703712</v>
      </c>
      <c r="O230" s="12"/>
      <c r="P230" s="8">
        <v>1340.17</v>
      </c>
      <c r="Q230" s="3"/>
      <c r="R230" s="7">
        <f t="shared" si="48"/>
        <v>7.2384331105997834E-5</v>
      </c>
      <c r="S230" s="3"/>
      <c r="T230" s="8">
        <v>23098.9</v>
      </c>
      <c r="U230" s="3"/>
      <c r="V230" s="7">
        <f t="shared" si="49"/>
        <v>2.8999946228275069E-3</v>
      </c>
      <c r="W230" s="3"/>
      <c r="X230" s="8">
        <f t="shared" si="50"/>
        <v>-21758.730000000003</v>
      </c>
      <c r="Y230" s="3"/>
      <c r="Z230" s="7">
        <f t="shared" si="51"/>
        <v>-0.94198121988492967</v>
      </c>
    </row>
    <row r="231" spans="1:26" s="69" customFormat="1" ht="15" hidden="1" customHeight="1" outlineLevel="2" x14ac:dyDescent="0.3">
      <c r="A231" s="25"/>
      <c r="B231" s="12" t="str">
        <f>CONCATENATE("          ","6285"," - ","JANITORIAL SERVICES")</f>
        <v xml:space="preserve">          6285 - JANITORIAL SERVICES</v>
      </c>
      <c r="C231" s="12"/>
      <c r="D231" s="8">
        <v>22575.33</v>
      </c>
      <c r="E231" s="3"/>
      <c r="F231" s="7">
        <f t="shared" si="44"/>
        <v>7.8710228525174682E-3</v>
      </c>
      <c r="G231" s="3"/>
      <c r="H231" s="8">
        <v>20652.759999999998</v>
      </c>
      <c r="I231" s="3"/>
      <c r="J231" s="7">
        <f t="shared" si="45"/>
        <v>2.5379214640028711E-2</v>
      </c>
      <c r="K231" s="3"/>
      <c r="L231" s="8">
        <f t="shared" si="46"/>
        <v>1922.5700000000033</v>
      </c>
      <c r="M231" s="3"/>
      <c r="N231" s="7">
        <f t="shared" si="47"/>
        <v>9.3090221355402542E-2</v>
      </c>
      <c r="O231" s="12"/>
      <c r="P231" s="8">
        <v>218387.24</v>
      </c>
      <c r="Q231" s="3"/>
      <c r="R231" s="7">
        <f t="shared" si="48"/>
        <v>1.179537990664245E-2</v>
      </c>
      <c r="S231" s="3"/>
      <c r="T231" s="8">
        <v>120097.21</v>
      </c>
      <c r="U231" s="3"/>
      <c r="V231" s="7">
        <f t="shared" si="49"/>
        <v>1.5077828953611899E-2</v>
      </c>
      <c r="W231" s="3"/>
      <c r="X231" s="8">
        <f t="shared" si="50"/>
        <v>98290.029999999984</v>
      </c>
      <c r="Y231" s="3"/>
      <c r="Z231" s="7">
        <f t="shared" si="51"/>
        <v>0.81842059445011239</v>
      </c>
    </row>
    <row r="232" spans="1:26" s="69" customFormat="1" ht="15" hidden="1" customHeight="1" outlineLevel="2" x14ac:dyDescent="0.3">
      <c r="A232" s="25"/>
      <c r="B232" s="12" t="str">
        <f>CONCATENATE("          ","6286"," - ","LAUNDRY EXPENSE")</f>
        <v xml:space="preserve">          6286 - LAUNDRY EXPENSE</v>
      </c>
      <c r="C232" s="12"/>
      <c r="D232" s="8">
        <v>4871.51</v>
      </c>
      <c r="E232" s="3"/>
      <c r="F232" s="7">
        <f t="shared" si="44"/>
        <v>1.6984808876001978E-3</v>
      </c>
      <c r="G232" s="3"/>
      <c r="H232" s="8">
        <v>878.23</v>
      </c>
      <c r="I232" s="3"/>
      <c r="J232" s="7">
        <f t="shared" si="45"/>
        <v>1.0792159340113582E-3</v>
      </c>
      <c r="K232" s="3"/>
      <c r="L232" s="8">
        <f t="shared" si="46"/>
        <v>3993.28</v>
      </c>
      <c r="M232" s="3"/>
      <c r="N232" s="7">
        <f t="shared" si="47"/>
        <v>4.5469637794199702</v>
      </c>
      <c r="O232" s="12"/>
      <c r="P232" s="8">
        <v>28694.48</v>
      </c>
      <c r="Q232" s="3"/>
      <c r="R232" s="7">
        <f t="shared" si="48"/>
        <v>1.5498263214625252E-3</v>
      </c>
      <c r="S232" s="3"/>
      <c r="T232" s="8">
        <v>13586.36</v>
      </c>
      <c r="U232" s="3"/>
      <c r="V232" s="7">
        <f t="shared" si="49"/>
        <v>1.7057249888002774E-3</v>
      </c>
      <c r="W232" s="3"/>
      <c r="X232" s="8">
        <f t="shared" si="50"/>
        <v>15108.119999999999</v>
      </c>
      <c r="Y232" s="3"/>
      <c r="Z232" s="7">
        <f t="shared" si="51"/>
        <v>1.1120064535313356</v>
      </c>
    </row>
    <row r="233" spans="1:26" s="68" customFormat="1" ht="15" customHeight="1" outlineLevel="1" collapsed="1" x14ac:dyDescent="0.3">
      <c r="A233" s="26"/>
      <c r="B233" s="14" t="str">
        <f>CONCATENATE("     ","Subscriptions &amp; Dues                              ")</f>
        <v xml:space="preserve">     Subscriptions &amp; Dues                              </v>
      </c>
      <c r="C233" s="14"/>
      <c r="D233" s="2">
        <f>SUM(OSRRefD22_21x_0)</f>
        <v>1298.4699999999998</v>
      </c>
      <c r="E233" s="2"/>
      <c r="F233" s="6">
        <f t="shared" si="44"/>
        <v>4.5271927556799196E-4</v>
      </c>
      <c r="G233" s="2"/>
      <c r="H233" s="2">
        <f>SUM(OSRRefH22_21x_0)</f>
        <v>426.86</v>
      </c>
      <c r="I233" s="2"/>
      <c r="J233" s="6">
        <f t="shared" si="45"/>
        <v>5.2454836841384187E-4</v>
      </c>
      <c r="K233" s="2"/>
      <c r="L233" s="2">
        <f t="shared" si="46"/>
        <v>871.60999999999979</v>
      </c>
      <c r="M233" s="2"/>
      <c r="N233" s="6">
        <f t="shared" si="47"/>
        <v>2.0419106967155503</v>
      </c>
      <c r="O233" s="14"/>
      <c r="P233" s="2">
        <f>SUM(OSRRefP22_21x_0)</f>
        <v>8324.5499999999993</v>
      </c>
      <c r="Q233" s="2"/>
      <c r="R233" s="6">
        <f t="shared" si="48"/>
        <v>4.4961981204506455E-4</v>
      </c>
      <c r="S233" s="2"/>
      <c r="T233" s="2">
        <f>SUM(OSRRefT22_21x_0)</f>
        <v>6045.41</v>
      </c>
      <c r="U233" s="2"/>
      <c r="V233" s="6">
        <f t="shared" si="49"/>
        <v>7.5898231053373269E-4</v>
      </c>
      <c r="W233" s="2"/>
      <c r="X233" s="2">
        <f t="shared" si="50"/>
        <v>2279.1399999999994</v>
      </c>
      <c r="Y233" s="2"/>
      <c r="Z233" s="6">
        <f t="shared" si="51"/>
        <v>0.37700337942339718</v>
      </c>
    </row>
    <row r="234" spans="1:26" s="69" customFormat="1" ht="15" hidden="1" customHeight="1" outlineLevel="2" x14ac:dyDescent="0.3">
      <c r="A234" s="25"/>
      <c r="B234" s="12" t="str">
        <f>CONCATENATE("          ","6258"," - ","MEMBERSHIP DUES")</f>
        <v xml:space="preserve">          6258 - MEMBERSHIP DUES</v>
      </c>
      <c r="C234" s="12"/>
      <c r="D234" s="8">
        <v>606.92999999999995</v>
      </c>
      <c r="E234" s="3"/>
      <c r="F234" s="7">
        <f t="shared" si="44"/>
        <v>2.116097483349491E-4</v>
      </c>
      <c r="G234" s="3"/>
      <c r="H234" s="8">
        <v>232.79</v>
      </c>
      <c r="I234" s="3"/>
      <c r="J234" s="7">
        <f t="shared" si="45"/>
        <v>2.8606478630712232E-4</v>
      </c>
      <c r="K234" s="3"/>
      <c r="L234" s="8">
        <f t="shared" si="46"/>
        <v>374.14</v>
      </c>
      <c r="M234" s="3"/>
      <c r="N234" s="7">
        <f t="shared" si="47"/>
        <v>1.6071996219768891</v>
      </c>
      <c r="O234" s="12"/>
      <c r="P234" s="8">
        <v>2477.65</v>
      </c>
      <c r="Q234" s="3"/>
      <c r="R234" s="7">
        <f t="shared" si="48"/>
        <v>1.3382111072832216E-4</v>
      </c>
      <c r="S234" s="3"/>
      <c r="T234" s="8">
        <v>2901.52</v>
      </c>
      <c r="U234" s="3"/>
      <c r="V234" s="7">
        <f t="shared" si="49"/>
        <v>3.6427675768224753E-4</v>
      </c>
      <c r="W234" s="3"/>
      <c r="X234" s="8">
        <f t="shared" si="50"/>
        <v>-423.86999999999989</v>
      </c>
      <c r="Y234" s="3"/>
      <c r="Z234" s="7">
        <f t="shared" si="51"/>
        <v>-0.14608550001378584</v>
      </c>
    </row>
    <row r="235" spans="1:26" s="69" customFormat="1" ht="15" hidden="1" customHeight="1" outlineLevel="2" x14ac:dyDescent="0.3">
      <c r="A235" s="25"/>
      <c r="B235" s="12" t="str">
        <f>CONCATENATE("          ","6275"," - ","SUBSCRIPTIONS")</f>
        <v xml:space="preserve">          6275 - SUBSCRIPTIONS</v>
      </c>
      <c r="C235" s="12"/>
      <c r="D235" s="8">
        <v>691.54</v>
      </c>
      <c r="E235" s="3"/>
      <c r="F235" s="7">
        <f t="shared" si="44"/>
        <v>2.4110952723304288E-4</v>
      </c>
      <c r="G235" s="3"/>
      <c r="H235" s="8">
        <v>194.07</v>
      </c>
      <c r="I235" s="3"/>
      <c r="J235" s="7">
        <f t="shared" si="45"/>
        <v>2.3848358210671952E-4</v>
      </c>
      <c r="K235" s="3"/>
      <c r="L235" s="8">
        <f t="shared" si="46"/>
        <v>497.46999999999997</v>
      </c>
      <c r="M235" s="3"/>
      <c r="N235" s="7">
        <f t="shared" si="47"/>
        <v>2.5633534291750397</v>
      </c>
      <c r="O235" s="12"/>
      <c r="P235" s="8">
        <v>5846.9</v>
      </c>
      <c r="Q235" s="3"/>
      <c r="R235" s="7">
        <f t="shared" si="48"/>
        <v>3.1579870131674237E-4</v>
      </c>
      <c r="S235" s="3"/>
      <c r="T235" s="8">
        <v>3143.89</v>
      </c>
      <c r="U235" s="3"/>
      <c r="V235" s="7">
        <f t="shared" si="49"/>
        <v>3.947055528514851E-4</v>
      </c>
      <c r="W235" s="3"/>
      <c r="X235" s="8">
        <f t="shared" si="50"/>
        <v>2703.0099999999998</v>
      </c>
      <c r="Y235" s="3"/>
      <c r="Z235" s="7">
        <f t="shared" si="51"/>
        <v>0.85976608596356741</v>
      </c>
    </row>
    <row r="236" spans="1:26" s="68" customFormat="1" ht="15" customHeight="1" outlineLevel="1" collapsed="1" x14ac:dyDescent="0.3">
      <c r="A236" s="26"/>
      <c r="B236" s="14" t="str">
        <f>CONCATENATE("     ","Supplies                                          ")</f>
        <v xml:space="preserve">     Supplies                                          </v>
      </c>
      <c r="C236" s="14"/>
      <c r="D236" s="2">
        <f>SUM(OSRRefD22_22x_0)</f>
        <v>47472.570000000007</v>
      </c>
      <c r="E236" s="2"/>
      <c r="F236" s="6">
        <f t="shared" si="44"/>
        <v>1.6551593413595071E-2</v>
      </c>
      <c r="G236" s="2"/>
      <c r="H236" s="2">
        <f>SUM(OSRRefH22_22x_0)</f>
        <v>13419</v>
      </c>
      <c r="I236" s="2"/>
      <c r="J236" s="6">
        <f t="shared" si="45"/>
        <v>1.6489983966043537E-2</v>
      </c>
      <c r="K236" s="2"/>
      <c r="L236" s="2">
        <f t="shared" si="46"/>
        <v>34053.570000000007</v>
      </c>
      <c r="M236" s="2"/>
      <c r="N236" s="6">
        <f t="shared" si="47"/>
        <v>2.5377129443326631</v>
      </c>
      <c r="O236" s="14"/>
      <c r="P236" s="2">
        <f>SUM(OSRRefP22_22x_0)</f>
        <v>422416.46</v>
      </c>
      <c r="Q236" s="2"/>
      <c r="R236" s="6">
        <f t="shared" si="48"/>
        <v>2.2815264410681844E-2</v>
      </c>
      <c r="S236" s="2"/>
      <c r="T236" s="2">
        <f>SUM(OSRRefT22_22x_0)</f>
        <v>248780.97999999998</v>
      </c>
      <c r="U236" s="2"/>
      <c r="V236" s="6">
        <f t="shared" si="49"/>
        <v>3.1233673649470644E-2</v>
      </c>
      <c r="W236" s="2"/>
      <c r="X236" s="2">
        <f t="shared" si="50"/>
        <v>173635.48000000004</v>
      </c>
      <c r="Y236" s="2"/>
      <c r="Z236" s="6">
        <f t="shared" si="51"/>
        <v>0.69794515641830834</v>
      </c>
    </row>
    <row r="237" spans="1:26" s="69" customFormat="1" ht="15" hidden="1" customHeight="1" outlineLevel="2" x14ac:dyDescent="0.3">
      <c r="A237" s="25"/>
      <c r="B237" s="12" t="str">
        <f>CONCATENATE("          ","6234"," - ","EXPENDABLE SUPPLIES &amp; EQUIPMEN")</f>
        <v xml:space="preserve">          6234 - EXPENDABLE SUPPLIES &amp; EQUIPMEN</v>
      </c>
      <c r="C237" s="12"/>
      <c r="D237" s="8">
        <v>108.73</v>
      </c>
      <c r="E237" s="3"/>
      <c r="F237" s="7">
        <f t="shared" si="44"/>
        <v>3.7909360118068015E-5</v>
      </c>
      <c r="G237" s="3"/>
      <c r="H237" s="8">
        <v>1733.49</v>
      </c>
      <c r="I237" s="3"/>
      <c r="J237" s="7">
        <f t="shared" si="45"/>
        <v>2.1302051050970123E-3</v>
      </c>
      <c r="K237" s="3"/>
      <c r="L237" s="8">
        <f t="shared" si="46"/>
        <v>-1624.76</v>
      </c>
      <c r="M237" s="3"/>
      <c r="N237" s="7">
        <f t="shared" si="47"/>
        <v>-0.93727682305637761</v>
      </c>
      <c r="O237" s="12"/>
      <c r="P237" s="8">
        <v>6987.94</v>
      </c>
      <c r="Q237" s="3"/>
      <c r="R237" s="7">
        <f t="shared" si="48"/>
        <v>3.774277611861528E-4</v>
      </c>
      <c r="S237" s="3"/>
      <c r="T237" s="8">
        <v>2308.23</v>
      </c>
      <c r="U237" s="3"/>
      <c r="V237" s="7">
        <f t="shared" si="49"/>
        <v>2.8979105447658271E-4</v>
      </c>
      <c r="W237" s="3"/>
      <c r="X237" s="8">
        <f t="shared" si="50"/>
        <v>4679.7099999999991</v>
      </c>
      <c r="Y237" s="3"/>
      <c r="Z237" s="7">
        <f t="shared" si="51"/>
        <v>2.0274019486792905</v>
      </c>
    </row>
    <row r="238" spans="1:26" s="69" customFormat="1" ht="15" hidden="1" customHeight="1" outlineLevel="2" x14ac:dyDescent="0.3">
      <c r="A238" s="25"/>
      <c r="B238" s="12" t="str">
        <f>CONCATENATE("          ","6235"," - ","COVID-19 EXPENSES")</f>
        <v xml:space="preserve">          6235 - COVID-19 EXPENSES</v>
      </c>
      <c r="C238" s="12"/>
      <c r="D238" s="8">
        <v>178.61</v>
      </c>
      <c r="E238" s="3"/>
      <c r="F238" s="7">
        <f t="shared" si="44"/>
        <v>6.2273437052222272E-5</v>
      </c>
      <c r="G238" s="3"/>
      <c r="H238" s="8">
        <v>370.83</v>
      </c>
      <c r="I238" s="3"/>
      <c r="J238" s="7">
        <f t="shared" si="45"/>
        <v>4.556957116124841E-4</v>
      </c>
      <c r="K238" s="3"/>
      <c r="L238" s="8">
        <f t="shared" si="46"/>
        <v>-192.21999999999997</v>
      </c>
      <c r="M238" s="3"/>
      <c r="N238" s="7">
        <f t="shared" si="47"/>
        <v>-0.51835072674810556</v>
      </c>
      <c r="O238" s="12"/>
      <c r="P238" s="8">
        <v>4279.6099999999997</v>
      </c>
      <c r="Q238" s="3"/>
      <c r="R238" s="7">
        <f t="shared" si="48"/>
        <v>2.3114732253709554E-4</v>
      </c>
      <c r="S238" s="3"/>
      <c r="T238" s="8">
        <v>98988.800000000003</v>
      </c>
      <c r="U238" s="3"/>
      <c r="V238" s="7">
        <f t="shared" si="49"/>
        <v>1.2427734122410484E-2</v>
      </c>
      <c r="W238" s="3"/>
      <c r="X238" s="8">
        <f t="shared" si="50"/>
        <v>-94709.19</v>
      </c>
      <c r="Y238" s="3"/>
      <c r="Z238" s="7">
        <f t="shared" si="51"/>
        <v>-0.95676672512445848</v>
      </c>
    </row>
    <row r="239" spans="1:26" s="69" customFormat="1" ht="15" hidden="1" customHeight="1" outlineLevel="2" x14ac:dyDescent="0.3">
      <c r="A239" s="25"/>
      <c r="B239" s="12" t="str">
        <f>CONCATENATE("          ","6237"," - ","JANITORIAL SUPPLIES")</f>
        <v xml:space="preserve">          6237 - JANITORIAL SUPPLIES</v>
      </c>
      <c r="C239" s="12"/>
      <c r="D239" s="8">
        <v>6730.1</v>
      </c>
      <c r="E239" s="3"/>
      <c r="F239" s="7">
        <f t="shared" si="44"/>
        <v>2.3464893270542585E-3</v>
      </c>
      <c r="G239" s="3"/>
      <c r="H239" s="8">
        <v>2592.08</v>
      </c>
      <c r="I239" s="3"/>
      <c r="J239" s="7">
        <f t="shared" si="45"/>
        <v>3.1852863580521746E-3</v>
      </c>
      <c r="K239" s="3"/>
      <c r="L239" s="8">
        <f t="shared" si="46"/>
        <v>4138.0200000000004</v>
      </c>
      <c r="M239" s="3"/>
      <c r="N239" s="7">
        <f t="shared" si="47"/>
        <v>1.596409061448721</v>
      </c>
      <c r="O239" s="12"/>
      <c r="P239" s="8">
        <v>61498.27</v>
      </c>
      <c r="Q239" s="3"/>
      <c r="R239" s="7">
        <f t="shared" si="48"/>
        <v>3.3216018401591237E-3</v>
      </c>
      <c r="S239" s="3"/>
      <c r="T239" s="8">
        <v>23417.01</v>
      </c>
      <c r="U239" s="3"/>
      <c r="V239" s="7">
        <f t="shared" si="49"/>
        <v>2.9399323380203362E-3</v>
      </c>
      <c r="W239" s="3"/>
      <c r="X239" s="8">
        <f t="shared" si="50"/>
        <v>38081.259999999995</v>
      </c>
      <c r="Y239" s="3"/>
      <c r="Z239" s="7">
        <f t="shared" si="51"/>
        <v>1.6262221351060617</v>
      </c>
    </row>
    <row r="240" spans="1:26" s="69" customFormat="1" ht="15" hidden="1" customHeight="1" outlineLevel="2" x14ac:dyDescent="0.3">
      <c r="A240" s="25"/>
      <c r="B240" s="12" t="str">
        <f>CONCATENATE("          ","6239"," - ","KITCHEN SUPPLIES")</f>
        <v xml:space="preserve">          6239 - KITCHEN SUPPLIES</v>
      </c>
      <c r="C240" s="12"/>
      <c r="D240" s="8">
        <v>3919.57</v>
      </c>
      <c r="E240" s="3"/>
      <c r="F240" s="7">
        <f t="shared" si="44"/>
        <v>1.3665813541614627E-3</v>
      </c>
      <c r="G240" s="3"/>
      <c r="H240" s="8">
        <v>39.75</v>
      </c>
      <c r="I240" s="3"/>
      <c r="J240" s="7">
        <f t="shared" si="45"/>
        <v>4.8846923217097442E-5</v>
      </c>
      <c r="K240" s="3"/>
      <c r="L240" s="8">
        <f t="shared" si="46"/>
        <v>3879.82</v>
      </c>
      <c r="M240" s="3"/>
      <c r="N240" s="7">
        <f t="shared" si="47"/>
        <v>97.605534591194967</v>
      </c>
      <c r="O240" s="12"/>
      <c r="P240" s="8">
        <v>36518.870000000003</v>
      </c>
      <c r="Q240" s="3"/>
      <c r="R240" s="7">
        <f t="shared" si="48"/>
        <v>1.972431839018103E-3</v>
      </c>
      <c r="S240" s="3"/>
      <c r="T240" s="8">
        <v>7106.91</v>
      </c>
      <c r="U240" s="3"/>
      <c r="V240" s="7">
        <f t="shared" si="49"/>
        <v>8.9225031429717588E-4</v>
      </c>
      <c r="W240" s="3"/>
      <c r="X240" s="8">
        <f t="shared" si="50"/>
        <v>29411.960000000003</v>
      </c>
      <c r="Y240" s="3"/>
      <c r="Z240" s="7">
        <f t="shared" si="51"/>
        <v>4.1385018242808762</v>
      </c>
    </row>
    <row r="241" spans="1:26" s="69" customFormat="1" ht="15" hidden="1" customHeight="1" outlineLevel="2" x14ac:dyDescent="0.3">
      <c r="A241" s="25"/>
      <c r="B241" s="12" t="str">
        <f>CONCATENATE("          ","6241"," - ","OFFICE EXPENSE")</f>
        <v xml:space="preserve">          6241 - OFFICE EXPENSE</v>
      </c>
      <c r="C241" s="12"/>
      <c r="D241" s="8">
        <v>12979.06</v>
      </c>
      <c r="E241" s="3"/>
      <c r="F241" s="7">
        <f t="shared" si="44"/>
        <v>4.5252263361906719E-3</v>
      </c>
      <c r="G241" s="3"/>
      <c r="H241" s="8">
        <v>1907.24</v>
      </c>
      <c r="I241" s="3"/>
      <c r="J241" s="7">
        <f t="shared" si="45"/>
        <v>2.3437183858258347E-3</v>
      </c>
      <c r="K241" s="3"/>
      <c r="L241" s="8">
        <f t="shared" si="46"/>
        <v>11071.82</v>
      </c>
      <c r="M241" s="3"/>
      <c r="N241" s="7">
        <f t="shared" si="47"/>
        <v>5.8051529959522661</v>
      </c>
      <c r="O241" s="12"/>
      <c r="P241" s="8">
        <v>69703.850000000006</v>
      </c>
      <c r="Q241" s="3"/>
      <c r="R241" s="7">
        <f t="shared" si="48"/>
        <v>3.7647959272053598E-3</v>
      </c>
      <c r="S241" s="3"/>
      <c r="T241" s="8">
        <v>31695.49</v>
      </c>
      <c r="U241" s="3"/>
      <c r="V241" s="7">
        <f t="shared" si="49"/>
        <v>3.9792696001923478E-3</v>
      </c>
      <c r="W241" s="3"/>
      <c r="X241" s="8">
        <f t="shared" si="50"/>
        <v>38008.36</v>
      </c>
      <c r="Y241" s="3"/>
      <c r="Z241" s="7">
        <f t="shared" si="51"/>
        <v>1.1991725005671154</v>
      </c>
    </row>
    <row r="242" spans="1:26" s="69" customFormat="1" ht="15" hidden="1" customHeight="1" outlineLevel="2" x14ac:dyDescent="0.3">
      <c r="A242" s="25"/>
      <c r="B242" s="12" t="str">
        <f>CONCATENATE("          ","6243"," - ","PAPER SUPPLIES")</f>
        <v xml:space="preserve">          6243 - PAPER SUPPLIES</v>
      </c>
      <c r="C242" s="12"/>
      <c r="D242" s="8">
        <v>13329.54</v>
      </c>
      <c r="E242" s="3"/>
      <c r="F242" s="7">
        <f t="shared" si="44"/>
        <v>4.6474232692742786E-3</v>
      </c>
      <c r="G242" s="3"/>
      <c r="H242" s="8">
        <v>4492.2299999999996</v>
      </c>
      <c r="I242" s="3"/>
      <c r="J242" s="7">
        <f t="shared" si="45"/>
        <v>5.5202921731708583E-3</v>
      </c>
      <c r="K242" s="3"/>
      <c r="L242" s="8">
        <f t="shared" si="46"/>
        <v>8837.3100000000013</v>
      </c>
      <c r="M242" s="3"/>
      <c r="N242" s="7">
        <f t="shared" si="47"/>
        <v>1.9672434403403214</v>
      </c>
      <c r="O242" s="12"/>
      <c r="P242" s="8">
        <v>172309.33</v>
      </c>
      <c r="Q242" s="3"/>
      <c r="R242" s="7">
        <f t="shared" si="48"/>
        <v>9.3066518392238614E-3</v>
      </c>
      <c r="S242" s="3"/>
      <c r="T242" s="8">
        <v>34984.61</v>
      </c>
      <c r="U242" s="3"/>
      <c r="V242" s="7">
        <f t="shared" si="49"/>
        <v>4.3922083251461078E-3</v>
      </c>
      <c r="W242" s="3"/>
      <c r="X242" s="8">
        <f t="shared" si="50"/>
        <v>137324.71999999997</v>
      </c>
      <c r="Y242" s="3"/>
      <c r="Z242" s="7">
        <f t="shared" si="51"/>
        <v>3.9252894344113018</v>
      </c>
    </row>
    <row r="243" spans="1:26" s="69" customFormat="1" ht="15" hidden="1" customHeight="1" outlineLevel="2" x14ac:dyDescent="0.3">
      <c r="A243" s="25"/>
      <c r="B243" s="12" t="str">
        <f>CONCATENATE("          ","6245"," - ","PRINTING")</f>
        <v xml:space="preserve">          6245 - PRINTING</v>
      </c>
      <c r="C243" s="12"/>
      <c r="D243" s="8">
        <v>3682</v>
      </c>
      <c r="E243" s="3"/>
      <c r="F243" s="7">
        <f t="shared" si="44"/>
        <v>1.2837511630159699E-3</v>
      </c>
      <c r="G243" s="3"/>
      <c r="H243" s="8">
        <v>447.27</v>
      </c>
      <c r="I243" s="3"/>
      <c r="J243" s="7">
        <f t="shared" si="45"/>
        <v>5.4962926659902318E-4</v>
      </c>
      <c r="K243" s="3"/>
      <c r="L243" s="8">
        <f t="shared" si="46"/>
        <v>3234.73</v>
      </c>
      <c r="M243" s="3"/>
      <c r="N243" s="7">
        <f t="shared" si="47"/>
        <v>7.2321640172602679</v>
      </c>
      <c r="O243" s="12"/>
      <c r="P243" s="8">
        <v>8057.52</v>
      </c>
      <c r="Q243" s="3"/>
      <c r="R243" s="7">
        <f t="shared" si="48"/>
        <v>4.3519717317444772E-4</v>
      </c>
      <c r="S243" s="3"/>
      <c r="T243" s="8">
        <v>1354.21</v>
      </c>
      <c r="U243" s="3"/>
      <c r="V243" s="7">
        <f t="shared" si="49"/>
        <v>1.7001682842816056E-4</v>
      </c>
      <c r="W243" s="3"/>
      <c r="X243" s="8">
        <f t="shared" si="50"/>
        <v>6703.31</v>
      </c>
      <c r="Y243" s="3"/>
      <c r="Z243" s="7">
        <f t="shared" si="51"/>
        <v>4.9499782160817007</v>
      </c>
    </row>
    <row r="244" spans="1:26" s="69" customFormat="1" ht="15" hidden="1" customHeight="1" outlineLevel="2" x14ac:dyDescent="0.3">
      <c r="A244" s="25"/>
      <c r="B244" s="12" t="str">
        <f>CONCATENATE("          ","6247"," - ","STORE SUPPLIES")</f>
        <v xml:space="preserve">          6247 - STORE SUPPLIES</v>
      </c>
      <c r="C244" s="12"/>
      <c r="D244" s="8">
        <v>4947.3</v>
      </c>
      <c r="E244" s="3"/>
      <c r="F244" s="7">
        <f t="shared" si="44"/>
        <v>1.7249055211268085E-3</v>
      </c>
      <c r="G244" s="3"/>
      <c r="H244" s="8">
        <v>1836.11</v>
      </c>
      <c r="I244" s="3"/>
      <c r="J244" s="7">
        <f t="shared" si="45"/>
        <v>2.2563100424690509E-3</v>
      </c>
      <c r="K244" s="3"/>
      <c r="L244" s="8">
        <f t="shared" si="46"/>
        <v>3111.1900000000005</v>
      </c>
      <c r="M244" s="3"/>
      <c r="N244" s="7">
        <f t="shared" si="47"/>
        <v>1.6944464111627302</v>
      </c>
      <c r="O244" s="12"/>
      <c r="P244" s="8">
        <v>53727.68</v>
      </c>
      <c r="Q244" s="3"/>
      <c r="R244" s="7">
        <f t="shared" si="48"/>
        <v>2.901902130831982E-3</v>
      </c>
      <c r="S244" s="3"/>
      <c r="T244" s="8">
        <v>44425.13</v>
      </c>
      <c r="U244" s="3"/>
      <c r="V244" s="7">
        <f t="shared" si="49"/>
        <v>5.5774360735105543E-3</v>
      </c>
      <c r="W244" s="3"/>
      <c r="X244" s="8">
        <f t="shared" si="50"/>
        <v>9302.5500000000029</v>
      </c>
      <c r="Y244" s="3"/>
      <c r="Z244" s="7">
        <f t="shared" si="51"/>
        <v>0.20939837429851085</v>
      </c>
    </row>
    <row r="245" spans="1:26" s="69" customFormat="1" ht="15" hidden="1" customHeight="1" outlineLevel="2" x14ac:dyDescent="0.3">
      <c r="A245" s="25"/>
      <c r="B245" s="12" t="str">
        <f>CONCATENATE("          ","6248"," - ","UNIFORMS")</f>
        <v xml:space="preserve">          6248 - UNIFORMS</v>
      </c>
      <c r="C245" s="12"/>
      <c r="D245" s="8">
        <v>1597.66</v>
      </c>
      <c r="E245" s="3"/>
      <c r="F245" s="7">
        <f t="shared" si="44"/>
        <v>5.5703364560132941E-4</v>
      </c>
      <c r="G245" s="3"/>
      <c r="H245" s="8"/>
      <c r="I245" s="3"/>
      <c r="J245" s="7">
        <f t="shared" si="45"/>
        <v>0</v>
      </c>
      <c r="K245" s="3"/>
      <c r="L245" s="8">
        <f t="shared" si="46"/>
        <v>1597.66</v>
      </c>
      <c r="M245" s="3"/>
      <c r="N245" s="7">
        <f t="shared" si="47"/>
        <v>0</v>
      </c>
      <c r="O245" s="12"/>
      <c r="P245" s="8">
        <v>9333.39</v>
      </c>
      <c r="Q245" s="3"/>
      <c r="R245" s="7">
        <f t="shared" si="48"/>
        <v>5.0410857734571656E-4</v>
      </c>
      <c r="S245" s="3"/>
      <c r="T245" s="8">
        <v>4500.59</v>
      </c>
      <c r="U245" s="3"/>
      <c r="V245" s="7">
        <f t="shared" si="49"/>
        <v>5.6503499298889766E-4</v>
      </c>
      <c r="W245" s="3"/>
      <c r="X245" s="8">
        <f t="shared" si="50"/>
        <v>4832.7999999999993</v>
      </c>
      <c r="Y245" s="3"/>
      <c r="Z245" s="7">
        <f t="shared" si="51"/>
        <v>1.073814766508391</v>
      </c>
    </row>
    <row r="246" spans="1:26" s="68" customFormat="1" ht="15" customHeight="1" outlineLevel="1" collapsed="1" x14ac:dyDescent="0.3">
      <c r="A246" s="26"/>
      <c r="B246" s="14" t="str">
        <f>CONCATENATE("     ","Telephone/Data Lines                              ")</f>
        <v xml:space="preserve">     Telephone/Data Lines                              </v>
      </c>
      <c r="C246" s="14"/>
      <c r="D246" s="2">
        <f>SUM(OSRRefD22_23x_0)</f>
        <v>3557.8</v>
      </c>
      <c r="E246" s="2"/>
      <c r="F246" s="6">
        <f t="shared" si="44"/>
        <v>1.2404480955399832E-3</v>
      </c>
      <c r="G246" s="2"/>
      <c r="H246" s="2">
        <f>SUM(OSRRefH22_23x_0)</f>
        <v>2631.37</v>
      </c>
      <c r="I246" s="2"/>
      <c r="J246" s="6">
        <f t="shared" si="45"/>
        <v>3.2335680086987093E-3</v>
      </c>
      <c r="K246" s="2"/>
      <c r="L246" s="2">
        <f t="shared" si="46"/>
        <v>926.43000000000029</v>
      </c>
      <c r="M246" s="2"/>
      <c r="N246" s="6">
        <f t="shared" si="47"/>
        <v>0.35207135446554472</v>
      </c>
      <c r="O246" s="14"/>
      <c r="P246" s="2">
        <f>SUM(OSRRefP22_23x_0)</f>
        <v>32085.8</v>
      </c>
      <c r="Q246" s="2"/>
      <c r="R246" s="6">
        <f t="shared" si="48"/>
        <v>1.7329959415602683E-3</v>
      </c>
      <c r="S246" s="2"/>
      <c r="T246" s="2">
        <f>SUM(OSRRefT22_23x_0)</f>
        <v>37504.370000000003</v>
      </c>
      <c r="U246" s="2"/>
      <c r="V246" s="6">
        <f t="shared" si="49"/>
        <v>4.7085563092845659E-3</v>
      </c>
      <c r="W246" s="2"/>
      <c r="X246" s="2">
        <f t="shared" si="50"/>
        <v>-5418.5700000000033</v>
      </c>
      <c r="Y246" s="2"/>
      <c r="Z246" s="6">
        <f t="shared" si="51"/>
        <v>-0.14447836345471216</v>
      </c>
    </row>
    <row r="247" spans="1:26" s="69" customFormat="1" ht="15" hidden="1" customHeight="1" outlineLevel="2" x14ac:dyDescent="0.3">
      <c r="A247" s="25"/>
      <c r="B247" s="12" t="str">
        <f>CONCATENATE("          ","6303"," - ","DATA PHONE LINES")</f>
        <v xml:space="preserve">          6303 - DATA PHONE LINES</v>
      </c>
      <c r="C247" s="12"/>
      <c r="D247" s="8"/>
      <c r="E247" s="3"/>
      <c r="F247" s="7">
        <f t="shared" si="44"/>
        <v>0</v>
      </c>
      <c r="G247" s="3"/>
      <c r="H247" s="8"/>
      <c r="I247" s="3"/>
      <c r="J247" s="7">
        <f t="shared" si="45"/>
        <v>0</v>
      </c>
      <c r="K247" s="3"/>
      <c r="L247" s="8">
        <f t="shared" si="46"/>
        <v>0</v>
      </c>
      <c r="M247" s="3"/>
      <c r="N247" s="7">
        <f t="shared" si="47"/>
        <v>0</v>
      </c>
      <c r="O247" s="12"/>
      <c r="P247" s="8">
        <v>295</v>
      </c>
      <c r="Q247" s="3"/>
      <c r="R247" s="7">
        <f t="shared" si="48"/>
        <v>1.5933335081571263E-5</v>
      </c>
      <c r="S247" s="3"/>
      <c r="T247" s="8">
        <v>2950</v>
      </c>
      <c r="U247" s="3"/>
      <c r="V247" s="7">
        <f t="shared" si="49"/>
        <v>3.7036326999732215E-4</v>
      </c>
      <c r="W247" s="3"/>
      <c r="X247" s="8">
        <f t="shared" si="50"/>
        <v>-2655</v>
      </c>
      <c r="Y247" s="3"/>
      <c r="Z247" s="7">
        <f t="shared" si="51"/>
        <v>-0.9</v>
      </c>
    </row>
    <row r="248" spans="1:26" s="69" customFormat="1" ht="15" hidden="1" customHeight="1" outlineLevel="2" x14ac:dyDescent="0.3">
      <c r="A248" s="25"/>
      <c r="B248" s="12" t="str">
        <f>CONCATENATE("          ","6309"," - ","TELEPHONE")</f>
        <v xml:space="preserve">          6309 - TELEPHONE</v>
      </c>
      <c r="C248" s="12"/>
      <c r="D248" s="8">
        <v>3557.8</v>
      </c>
      <c r="E248" s="3"/>
      <c r="F248" s="7">
        <f t="shared" si="44"/>
        <v>1.2404480955399832E-3</v>
      </c>
      <c r="G248" s="3"/>
      <c r="H248" s="8">
        <v>2631.37</v>
      </c>
      <c r="I248" s="3"/>
      <c r="J248" s="7">
        <f t="shared" si="45"/>
        <v>3.2335680086987093E-3</v>
      </c>
      <c r="K248" s="3"/>
      <c r="L248" s="8">
        <f t="shared" si="46"/>
        <v>926.43000000000029</v>
      </c>
      <c r="M248" s="3"/>
      <c r="N248" s="7">
        <f t="shared" si="47"/>
        <v>0.35207135446554472</v>
      </c>
      <c r="O248" s="12"/>
      <c r="P248" s="8">
        <v>31790.799999999999</v>
      </c>
      <c r="Q248" s="3"/>
      <c r="R248" s="7">
        <f t="shared" si="48"/>
        <v>1.7170626064786972E-3</v>
      </c>
      <c r="S248" s="3"/>
      <c r="T248" s="8">
        <v>34554.370000000003</v>
      </c>
      <c r="U248" s="3"/>
      <c r="V248" s="7">
        <f t="shared" si="49"/>
        <v>4.3381930392872442E-3</v>
      </c>
      <c r="W248" s="3"/>
      <c r="X248" s="8">
        <f t="shared" si="50"/>
        <v>-2763.5700000000033</v>
      </c>
      <c r="Y248" s="3"/>
      <c r="Z248" s="7">
        <f t="shared" si="51"/>
        <v>-7.9977438454239019E-2</v>
      </c>
    </row>
    <row r="249" spans="1:26" s="68" customFormat="1" ht="15" customHeight="1" outlineLevel="1" collapsed="1" x14ac:dyDescent="0.3">
      <c r="A249" s="26"/>
      <c r="B249" s="14" t="str">
        <f>CONCATENATE("     ","Training                                          ")</f>
        <v xml:space="preserve">     Training                                          </v>
      </c>
      <c r="C249" s="14"/>
      <c r="D249" s="2">
        <f>SUM(OSRRefD22_24x_0)</f>
        <v>2664.1</v>
      </c>
      <c r="E249" s="2"/>
      <c r="F249" s="6">
        <f t="shared" si="44"/>
        <v>9.2885428391929542E-4</v>
      </c>
      <c r="G249" s="2"/>
      <c r="H249" s="2">
        <f>SUM(OSRRefH22_24x_0)</f>
        <v>51.23</v>
      </c>
      <c r="I249" s="2"/>
      <c r="J249" s="6">
        <f t="shared" si="45"/>
        <v>6.295416041287803E-5</v>
      </c>
      <c r="K249" s="2"/>
      <c r="L249" s="2">
        <f t="shared" si="46"/>
        <v>2612.87</v>
      </c>
      <c r="M249" s="2"/>
      <c r="N249" s="6">
        <f t="shared" si="47"/>
        <v>51.002732773765374</v>
      </c>
      <c r="O249" s="14"/>
      <c r="P249" s="2">
        <f>SUM(OSRRefP22_24x_0)</f>
        <v>11752.97</v>
      </c>
      <c r="Q249" s="2"/>
      <c r="R249" s="6">
        <f t="shared" si="48"/>
        <v>6.3479325157171044E-4</v>
      </c>
      <c r="S249" s="2"/>
      <c r="T249" s="2">
        <f>SUM(OSRRefT22_24x_0)</f>
        <v>2181.86</v>
      </c>
      <c r="U249" s="2"/>
      <c r="V249" s="6">
        <f t="shared" si="49"/>
        <v>2.7392569636486692E-4</v>
      </c>
      <c r="W249" s="2"/>
      <c r="X249" s="2">
        <f t="shared" si="50"/>
        <v>9571.1099999999988</v>
      </c>
      <c r="Y249" s="2"/>
      <c r="Z249" s="6">
        <f t="shared" si="51"/>
        <v>4.3866746720687848</v>
      </c>
    </row>
    <row r="250" spans="1:26" s="69" customFormat="1" ht="15" hidden="1" customHeight="1" outlineLevel="2" x14ac:dyDescent="0.3">
      <c r="A250" s="25"/>
      <c r="B250" s="12" t="str">
        <f>CONCATENATE("          ","6376"," - ","TRAINING")</f>
        <v xml:space="preserve">          6376 - TRAINING</v>
      </c>
      <c r="C250" s="12"/>
      <c r="D250" s="8">
        <v>2664.1</v>
      </c>
      <c r="E250" s="3"/>
      <c r="F250" s="7">
        <f t="shared" si="44"/>
        <v>9.2885428391929542E-4</v>
      </c>
      <c r="G250" s="3"/>
      <c r="H250" s="8">
        <v>51.23</v>
      </c>
      <c r="I250" s="3"/>
      <c r="J250" s="7">
        <f t="shared" si="45"/>
        <v>6.295416041287803E-5</v>
      </c>
      <c r="K250" s="3"/>
      <c r="L250" s="8">
        <f t="shared" si="46"/>
        <v>2612.87</v>
      </c>
      <c r="M250" s="3"/>
      <c r="N250" s="7">
        <f t="shared" si="47"/>
        <v>51.002732773765374</v>
      </c>
      <c r="O250" s="12"/>
      <c r="P250" s="8">
        <v>11752.97</v>
      </c>
      <c r="Q250" s="3"/>
      <c r="R250" s="7">
        <f t="shared" si="48"/>
        <v>6.3479325157171044E-4</v>
      </c>
      <c r="S250" s="3"/>
      <c r="T250" s="8">
        <v>2181.86</v>
      </c>
      <c r="U250" s="3"/>
      <c r="V250" s="7">
        <f t="shared" si="49"/>
        <v>2.7392569636486692E-4</v>
      </c>
      <c r="W250" s="3"/>
      <c r="X250" s="8">
        <f t="shared" si="50"/>
        <v>9571.1099999999988</v>
      </c>
      <c r="Y250" s="3"/>
      <c r="Z250" s="7">
        <f t="shared" si="51"/>
        <v>4.3866746720687848</v>
      </c>
    </row>
    <row r="251" spans="1:26" s="68" customFormat="1" ht="15" customHeight="1" outlineLevel="1" collapsed="1" x14ac:dyDescent="0.3">
      <c r="A251" s="26"/>
      <c r="B251" s="14" t="str">
        <f>CONCATENATE("     ","Travel                                            ")</f>
        <v xml:space="preserve">     Travel                                            </v>
      </c>
      <c r="C251" s="14"/>
      <c r="D251" s="2">
        <f>SUM(OSRRefD22_25x_0)</f>
        <v>181.83</v>
      </c>
      <c r="E251" s="2"/>
      <c r="F251" s="6">
        <f t="shared" si="44"/>
        <v>6.3396109171970076E-5</v>
      </c>
      <c r="G251" s="2"/>
      <c r="H251" s="2">
        <f>SUM(OSRRefH22_25x_0)</f>
        <v>93.02</v>
      </c>
      <c r="I251" s="2"/>
      <c r="J251" s="6">
        <f t="shared" si="45"/>
        <v>1.1430794459507935E-4</v>
      </c>
      <c r="K251" s="2"/>
      <c r="L251" s="2">
        <f t="shared" si="46"/>
        <v>88.810000000000016</v>
      </c>
      <c r="M251" s="2"/>
      <c r="N251" s="6">
        <f t="shared" si="47"/>
        <v>0.95474091593205779</v>
      </c>
      <c r="O251" s="14"/>
      <c r="P251" s="2">
        <f>SUM(OSRRefP22_25x_0)</f>
        <v>2110.85</v>
      </c>
      <c r="Q251" s="2"/>
      <c r="R251" s="6">
        <f t="shared" si="48"/>
        <v>1.1400976392181253E-4</v>
      </c>
      <c r="S251" s="2"/>
      <c r="T251" s="2">
        <f>SUM(OSRRefT22_25x_0)</f>
        <v>1235.54</v>
      </c>
      <c r="U251" s="2"/>
      <c r="V251" s="6">
        <f t="shared" si="49"/>
        <v>1.5511818122457337E-4</v>
      </c>
      <c r="W251" s="2"/>
      <c r="X251" s="2">
        <f t="shared" si="50"/>
        <v>875.31</v>
      </c>
      <c r="Y251" s="2"/>
      <c r="Z251" s="6">
        <f t="shared" si="51"/>
        <v>0.70844327176780997</v>
      </c>
    </row>
    <row r="252" spans="1:26" s="69" customFormat="1" ht="15" hidden="1" customHeight="1" outlineLevel="2" x14ac:dyDescent="0.3">
      <c r="A252" s="25"/>
      <c r="B252" s="12" t="str">
        <f>CONCATENATE("          ","6292"," - ","TRAVEL/CONFERENCE")</f>
        <v xml:space="preserve">          6292 - TRAVEL/CONFERENCE</v>
      </c>
      <c r="C252" s="12"/>
      <c r="D252" s="8"/>
      <c r="E252" s="3"/>
      <c r="F252" s="7">
        <f t="shared" si="44"/>
        <v>0</v>
      </c>
      <c r="G252" s="3"/>
      <c r="H252" s="8"/>
      <c r="I252" s="3"/>
      <c r="J252" s="7">
        <f t="shared" si="45"/>
        <v>0</v>
      </c>
      <c r="K252" s="3"/>
      <c r="L252" s="8">
        <f t="shared" si="46"/>
        <v>0</v>
      </c>
      <c r="M252" s="3"/>
      <c r="N252" s="7">
        <f t="shared" si="47"/>
        <v>0</v>
      </c>
      <c r="O252" s="12"/>
      <c r="P252" s="8">
        <v>1108.5899999999999</v>
      </c>
      <c r="Q252" s="3"/>
      <c r="R252" s="7">
        <f t="shared" si="48"/>
        <v>5.9876393010437569E-5</v>
      </c>
      <c r="S252" s="3"/>
      <c r="T252" s="8">
        <v>299.16000000000003</v>
      </c>
      <c r="U252" s="3"/>
      <c r="V252" s="7">
        <f t="shared" si="49"/>
        <v>3.7558601983864038E-5</v>
      </c>
      <c r="W252" s="3"/>
      <c r="X252" s="8">
        <f t="shared" si="50"/>
        <v>809.42999999999984</v>
      </c>
      <c r="Y252" s="3"/>
      <c r="Z252" s="7">
        <f t="shared" si="51"/>
        <v>2.7056758924989963</v>
      </c>
    </row>
    <row r="253" spans="1:26" s="69" customFormat="1" ht="15" hidden="1" customHeight="1" outlineLevel="2" x14ac:dyDescent="0.3">
      <c r="A253" s="25"/>
      <c r="B253" s="12" t="str">
        <f>CONCATENATE("          ","6294"," - ","TRAVEL OPERATIONAL")</f>
        <v xml:space="preserve">          6294 - TRAVEL OPERATIONAL</v>
      </c>
      <c r="C253" s="12"/>
      <c r="D253" s="8">
        <v>46.81</v>
      </c>
      <c r="E253" s="3"/>
      <c r="F253" s="7">
        <f t="shared" si="44"/>
        <v>1.6320584448880381E-5</v>
      </c>
      <c r="G253" s="3"/>
      <c r="H253" s="8">
        <v>93.02</v>
      </c>
      <c r="I253" s="3"/>
      <c r="J253" s="7">
        <f t="shared" si="45"/>
        <v>1.1430794459507935E-4</v>
      </c>
      <c r="K253" s="3"/>
      <c r="L253" s="8">
        <f t="shared" si="46"/>
        <v>-46.209999999999994</v>
      </c>
      <c r="M253" s="3"/>
      <c r="N253" s="7">
        <f t="shared" si="47"/>
        <v>-0.49677488712104917</v>
      </c>
      <c r="O253" s="12"/>
      <c r="P253" s="8">
        <v>403.48</v>
      </c>
      <c r="Q253" s="3"/>
      <c r="R253" s="7">
        <f t="shared" si="48"/>
        <v>2.1792481487160588E-5</v>
      </c>
      <c r="S253" s="3"/>
      <c r="T253" s="8">
        <v>544.28</v>
      </c>
      <c r="U253" s="3"/>
      <c r="V253" s="7">
        <f t="shared" si="49"/>
        <v>6.8332651048861858E-5</v>
      </c>
      <c r="W253" s="3"/>
      <c r="X253" s="8">
        <f t="shared" si="50"/>
        <v>-140.79999999999995</v>
      </c>
      <c r="Y253" s="3"/>
      <c r="Z253" s="7">
        <f t="shared" si="51"/>
        <v>-0.25869037995149546</v>
      </c>
    </row>
    <row r="254" spans="1:26" s="69" customFormat="1" ht="15" hidden="1" customHeight="1" outlineLevel="2" x14ac:dyDescent="0.3">
      <c r="A254" s="25"/>
      <c r="B254" s="12" t="str">
        <f>CONCATENATE("          ","6298"," - ","VEHICLE MILEAGE")</f>
        <v xml:space="preserve">          6298 - VEHICLE MILEAGE</v>
      </c>
      <c r="C254" s="12"/>
      <c r="D254" s="8">
        <v>135.02000000000001</v>
      </c>
      <c r="E254" s="3"/>
      <c r="F254" s="7">
        <f t="shared" si="44"/>
        <v>4.7075524723089705E-5</v>
      </c>
      <c r="G254" s="3"/>
      <c r="H254" s="8"/>
      <c r="I254" s="3"/>
      <c r="J254" s="7">
        <f t="shared" si="45"/>
        <v>0</v>
      </c>
      <c r="K254" s="3"/>
      <c r="L254" s="8">
        <f t="shared" si="46"/>
        <v>135.02000000000001</v>
      </c>
      <c r="M254" s="3"/>
      <c r="N254" s="7">
        <f t="shared" si="47"/>
        <v>0</v>
      </c>
      <c r="O254" s="12"/>
      <c r="P254" s="8">
        <v>598.78</v>
      </c>
      <c r="Q254" s="3"/>
      <c r="R254" s="7">
        <f t="shared" si="48"/>
        <v>3.2340889424214372E-5</v>
      </c>
      <c r="S254" s="3"/>
      <c r="T254" s="8">
        <v>392.1</v>
      </c>
      <c r="U254" s="3"/>
      <c r="V254" s="7">
        <f t="shared" si="49"/>
        <v>4.9226928191847465E-5</v>
      </c>
      <c r="W254" s="3"/>
      <c r="X254" s="8">
        <f t="shared" si="50"/>
        <v>206.67999999999995</v>
      </c>
      <c r="Y254" s="3"/>
      <c r="Z254" s="7">
        <f t="shared" si="51"/>
        <v>0.52711043101249666</v>
      </c>
    </row>
    <row r="255" spans="1:26" s="68" customFormat="1" ht="15" customHeight="1" outlineLevel="1" collapsed="1" x14ac:dyDescent="0.3">
      <c r="A255" s="26"/>
      <c r="B255" s="14" t="str">
        <f>CONCATENATE("     ","Utilities                                         ")</f>
        <v xml:space="preserve">     Utilities                                         </v>
      </c>
      <c r="C255" s="14"/>
      <c r="D255" s="2">
        <f>SUM(OSRRefD22_26x_0)</f>
        <v>14387.83</v>
      </c>
      <c r="E255" s="2"/>
      <c r="F255" s="6">
        <f t="shared" si="44"/>
        <v>5.016402361699094E-3</v>
      </c>
      <c r="G255" s="2"/>
      <c r="H255" s="2">
        <f>SUM(OSRRefH22_26x_0)</f>
        <v>-7524.55</v>
      </c>
      <c r="I255" s="2"/>
      <c r="J255" s="6">
        <f t="shared" si="45"/>
        <v>-9.2465689583197622E-3</v>
      </c>
      <c r="K255" s="2"/>
      <c r="L255" s="2">
        <f t="shared" si="46"/>
        <v>21912.38</v>
      </c>
      <c r="M255" s="2"/>
      <c r="N255" s="6">
        <f t="shared" si="47"/>
        <v>-2.9121183326577671</v>
      </c>
      <c r="O255" s="14"/>
      <c r="P255" s="2">
        <f>SUM(OSRRefP22_26x_0)</f>
        <v>120882.9</v>
      </c>
      <c r="Q255" s="2"/>
      <c r="R255" s="6">
        <f t="shared" si="48"/>
        <v>6.5290432248544762E-3</v>
      </c>
      <c r="S255" s="2"/>
      <c r="T255" s="2">
        <f>SUM(OSRRefT22_26x_0)</f>
        <v>55705.62</v>
      </c>
      <c r="U255" s="2"/>
      <c r="V255" s="6">
        <f t="shared" si="49"/>
        <v>6.9936662984502471E-3</v>
      </c>
      <c r="W255" s="2"/>
      <c r="X255" s="2">
        <f t="shared" si="50"/>
        <v>65177.279999999992</v>
      </c>
      <c r="Y255" s="2"/>
      <c r="Z255" s="6">
        <f t="shared" si="51"/>
        <v>1.1700306001441145</v>
      </c>
    </row>
    <row r="256" spans="1:26" s="69" customFormat="1" ht="15" hidden="1" customHeight="1" outlineLevel="2" x14ac:dyDescent="0.3">
      <c r="A256" s="25"/>
      <c r="B256" s="12" t="str">
        <f>CONCATENATE("          ","6274"," - ","UTILITIES")</f>
        <v xml:space="preserve">          6274 - UTILITIES</v>
      </c>
      <c r="C256" s="12"/>
      <c r="D256" s="8">
        <v>14387.83</v>
      </c>
      <c r="E256" s="3"/>
      <c r="F256" s="7">
        <f t="shared" si="44"/>
        <v>5.016402361699094E-3</v>
      </c>
      <c r="G256" s="3"/>
      <c r="H256" s="8">
        <v>-7524.55</v>
      </c>
      <c r="I256" s="3"/>
      <c r="J256" s="7">
        <f t="shared" si="45"/>
        <v>-9.2465689583197622E-3</v>
      </c>
      <c r="K256" s="3"/>
      <c r="L256" s="8">
        <f t="shared" si="46"/>
        <v>21912.38</v>
      </c>
      <c r="M256" s="3"/>
      <c r="N256" s="7">
        <f t="shared" si="47"/>
        <v>-2.9121183326577671</v>
      </c>
      <c r="O256" s="12"/>
      <c r="P256" s="8">
        <v>120882.9</v>
      </c>
      <c r="Q256" s="3"/>
      <c r="R256" s="7">
        <f t="shared" si="48"/>
        <v>6.5290432248544762E-3</v>
      </c>
      <c r="S256" s="3"/>
      <c r="T256" s="8">
        <v>55705.62</v>
      </c>
      <c r="U256" s="3"/>
      <c r="V256" s="7">
        <f t="shared" si="49"/>
        <v>6.9936662984502471E-3</v>
      </c>
      <c r="W256" s="3"/>
      <c r="X256" s="8">
        <f t="shared" si="50"/>
        <v>65177.279999999992</v>
      </c>
      <c r="Y256" s="3"/>
      <c r="Z256" s="7">
        <f t="shared" si="51"/>
        <v>1.1700306001441145</v>
      </c>
    </row>
    <row r="257" spans="1:26" s="64" customFormat="1" ht="15" customHeight="1" x14ac:dyDescent="0.3">
      <c r="A257" s="36"/>
      <c r="B257" s="36"/>
      <c r="C257" s="36"/>
      <c r="D257" s="2"/>
      <c r="E257" s="2"/>
      <c r="F257" s="6"/>
      <c r="G257" s="2"/>
      <c r="H257" s="2"/>
      <c r="I257" s="2"/>
      <c r="J257" s="6"/>
      <c r="K257" s="2"/>
      <c r="L257" s="2"/>
      <c r="M257" s="2"/>
      <c r="N257" s="6"/>
      <c r="O257" s="36"/>
      <c r="P257" s="2"/>
      <c r="Q257" s="2"/>
      <c r="R257" s="6"/>
      <c r="S257" s="2"/>
      <c r="T257" s="2"/>
      <c r="U257" s="2"/>
      <c r="V257" s="6"/>
      <c r="W257" s="2"/>
      <c r="X257" s="2"/>
      <c r="Y257" s="2"/>
      <c r="Z257" s="6"/>
    </row>
    <row r="258" spans="1:26" s="62" customFormat="1" ht="15" customHeight="1" collapsed="1" x14ac:dyDescent="0.3">
      <c r="A258" s="11"/>
      <c r="B258" s="28" t="s">
        <v>290</v>
      </c>
      <c r="C258" s="11"/>
      <c r="D258" s="5">
        <f>SUM(OSRRefD25x_0)</f>
        <v>208608.68</v>
      </c>
      <c r="E258" s="5"/>
      <c r="F258" s="13">
        <f t="shared" ref="F258:F266" si="52">IF(D$12=0,0,D258/D$12)</f>
        <v>7.2732654960680695E-2</v>
      </c>
      <c r="G258" s="5"/>
      <c r="H258" s="5">
        <f>SUM(OSRRefH25x_0)</f>
        <v>217934.5</v>
      </c>
      <c r="I258" s="5"/>
      <c r="J258" s="13">
        <f t="shared" ref="J258:J266" si="53">IF(H$12=0,0,H258/H$12)</f>
        <v>0.26780955441148485</v>
      </c>
      <c r="K258" s="5"/>
      <c r="L258" s="5">
        <f t="shared" ref="L258:L266" si="54">+D258-H258</f>
        <v>-9325.820000000007</v>
      </c>
      <c r="M258" s="5"/>
      <c r="N258" s="13">
        <f t="shared" ref="N258:N266" si="55">IF(H258=0,0,L258/H258)</f>
        <v>-4.2791848009378998E-2</v>
      </c>
      <c r="O258" s="11"/>
      <c r="P258" s="5">
        <f>SUM(OSRRefP25x_0)</f>
        <v>1092358.01</v>
      </c>
      <c r="Q258" s="5"/>
      <c r="R258" s="13">
        <f t="shared" ref="R258:R266" si="56">IF(P$12=0,0,P258/P$12)</f>
        <v>5.8999682041926682E-2</v>
      </c>
      <c r="S258" s="5"/>
      <c r="T258" s="5">
        <f>SUM(OSRRefT25x_0)</f>
        <v>1011946.45</v>
      </c>
      <c r="U258" s="5"/>
      <c r="V258" s="13">
        <f t="shared" ref="V258:V266" si="57">IF(T$12=0,0,T258/T$12)</f>
        <v>0.12704671060480735</v>
      </c>
      <c r="W258" s="5"/>
      <c r="X258" s="5">
        <f t="shared" ref="X258:X266" si="58">+P258-T258</f>
        <v>80411.560000000056</v>
      </c>
      <c r="Y258" s="5"/>
      <c r="Z258" s="13">
        <f t="shared" ref="Z258:Z266" si="59">IF(T258=0,0,X258/T258)</f>
        <v>7.9462267988587798E-2</v>
      </c>
    </row>
    <row r="259" spans="1:26" s="69" customFormat="1" ht="15" hidden="1" customHeight="1" outlineLevel="1" x14ac:dyDescent="0.3">
      <c r="A259" s="42"/>
      <c r="B259" s="12" t="str">
        <f>CONCATENATE("          ","4187"," - ","NON-TAXABLE SALES-COMPUTER REP")</f>
        <v xml:space="preserve">          4187 - NON-TAXABLE SALES-COMPUTER REP</v>
      </c>
      <c r="C259" s="12"/>
      <c r="D259" s="3">
        <f>0</f>
        <v>0</v>
      </c>
      <c r="E259" s="3"/>
      <c r="F259" s="20">
        <f t="shared" si="52"/>
        <v>0</v>
      </c>
      <c r="G259" s="3"/>
      <c r="H259" s="3">
        <f>--160.46</f>
        <v>160.46</v>
      </c>
      <c r="I259" s="3"/>
      <c r="J259" s="20">
        <f t="shared" si="53"/>
        <v>1.9718181885321903E-4</v>
      </c>
      <c r="K259" s="3"/>
      <c r="L259" s="3">
        <f t="shared" si="54"/>
        <v>-160.46</v>
      </c>
      <c r="M259" s="3"/>
      <c r="N259" s="20">
        <f t="shared" si="55"/>
        <v>-1</v>
      </c>
      <c r="O259" s="12"/>
      <c r="P259" s="3">
        <f>0</f>
        <v>0</v>
      </c>
      <c r="Q259" s="3"/>
      <c r="R259" s="20">
        <f t="shared" si="56"/>
        <v>0</v>
      </c>
      <c r="S259" s="3"/>
      <c r="T259" s="3">
        <f>--1614.97</f>
        <v>1614.97</v>
      </c>
      <c r="U259" s="3"/>
      <c r="V259" s="20">
        <f t="shared" si="57"/>
        <v>2.0275443055850013E-4</v>
      </c>
      <c r="W259" s="3"/>
      <c r="X259" s="3">
        <f t="shared" si="58"/>
        <v>-1614.97</v>
      </c>
      <c r="Y259" s="3"/>
      <c r="Z259" s="20">
        <f t="shared" si="59"/>
        <v>-1</v>
      </c>
    </row>
    <row r="260" spans="1:26" s="69" customFormat="1" ht="15" hidden="1" customHeight="1" outlineLevel="1" x14ac:dyDescent="0.3">
      <c r="A260" s="42"/>
      <c r="B260" s="12" t="str">
        <f>CONCATENATE("          ","9087"," - ","")</f>
        <v xml:space="preserve">          9087 - </v>
      </c>
      <c r="C260" s="12"/>
      <c r="D260" s="3">
        <f>-1475.31</f>
        <v>-1475.31</v>
      </c>
      <c r="E260" s="3"/>
      <c r="F260" s="20">
        <f t="shared" si="52"/>
        <v>-5.1437559161029078E-4</v>
      </c>
      <c r="G260" s="3"/>
      <c r="H260" s="3">
        <f>0</f>
        <v>0</v>
      </c>
      <c r="I260" s="3"/>
      <c r="J260" s="20">
        <f t="shared" si="53"/>
        <v>0</v>
      </c>
      <c r="K260" s="3"/>
      <c r="L260" s="3">
        <f t="shared" si="54"/>
        <v>-1475.31</v>
      </c>
      <c r="M260" s="3"/>
      <c r="N260" s="20">
        <f t="shared" si="55"/>
        <v>0</v>
      </c>
      <c r="O260" s="12"/>
      <c r="P260" s="3">
        <f>--731.78</f>
        <v>731.78</v>
      </c>
      <c r="Q260" s="3"/>
      <c r="R260" s="20">
        <f t="shared" si="56"/>
        <v>3.9524393037261757E-5</v>
      </c>
      <c r="S260" s="3"/>
      <c r="T260" s="3">
        <f>0</f>
        <v>0</v>
      </c>
      <c r="U260" s="3"/>
      <c r="V260" s="20">
        <f t="shared" si="57"/>
        <v>0</v>
      </c>
      <c r="W260" s="3"/>
      <c r="X260" s="3">
        <f t="shared" si="58"/>
        <v>731.78</v>
      </c>
      <c r="Y260" s="3"/>
      <c r="Z260" s="20">
        <f t="shared" si="59"/>
        <v>0</v>
      </c>
    </row>
    <row r="261" spans="1:26" s="69" customFormat="1" ht="15" hidden="1" customHeight="1" outlineLevel="1" x14ac:dyDescent="0.3">
      <c r="A261" s="42"/>
      <c r="B261" s="12" t="str">
        <f>CONCATENATE("          ","9150"," - ","MISC. INCOME")</f>
        <v xml:space="preserve">          9150 - MISC. INCOME</v>
      </c>
      <c r="C261" s="12"/>
      <c r="D261" s="3">
        <f>--34512.1</f>
        <v>34512.1</v>
      </c>
      <c r="E261" s="3"/>
      <c r="F261" s="20">
        <f t="shared" si="52"/>
        <v>1.2032848591288283E-2</v>
      </c>
      <c r="G261" s="3"/>
      <c r="H261" s="3">
        <f>--44644.47</f>
        <v>44644.47</v>
      </c>
      <c r="I261" s="3"/>
      <c r="J261" s="20">
        <f t="shared" si="53"/>
        <v>5.4861509387622902E-2</v>
      </c>
      <c r="K261" s="3"/>
      <c r="L261" s="3">
        <f t="shared" si="54"/>
        <v>-10132.370000000003</v>
      </c>
      <c r="M261" s="3"/>
      <c r="N261" s="20">
        <f t="shared" si="55"/>
        <v>-0.22695688850153226</v>
      </c>
      <c r="O261" s="12"/>
      <c r="P261" s="3">
        <f>--508649.31</f>
        <v>508649.31</v>
      </c>
      <c r="Q261" s="3"/>
      <c r="R261" s="20">
        <f t="shared" si="56"/>
        <v>2.7472813204203445E-2</v>
      </c>
      <c r="S261" s="3"/>
      <c r="T261" s="3">
        <f>--348536.83</f>
        <v>348536.83</v>
      </c>
      <c r="U261" s="3"/>
      <c r="V261" s="20">
        <f t="shared" si="57"/>
        <v>4.3757708499423995E-2</v>
      </c>
      <c r="W261" s="3"/>
      <c r="X261" s="3">
        <f t="shared" si="58"/>
        <v>160112.47999999998</v>
      </c>
      <c r="Y261" s="3"/>
      <c r="Z261" s="20">
        <f t="shared" si="59"/>
        <v>0.45938467966211771</v>
      </c>
    </row>
    <row r="262" spans="1:26" s="69" customFormat="1" ht="15" hidden="1" customHeight="1" outlineLevel="1" x14ac:dyDescent="0.3">
      <c r="A262" s="42"/>
      <c r="B262" s="12" t="str">
        <f>CONCATENATE("          ","9151"," - ","MISC. INCOME")</f>
        <v xml:space="preserve">          9151 - MISC. INCOME</v>
      </c>
      <c r="C262" s="12"/>
      <c r="D262" s="3">
        <f>0</f>
        <v>0</v>
      </c>
      <c r="E262" s="3"/>
      <c r="F262" s="20">
        <f t="shared" si="52"/>
        <v>0</v>
      </c>
      <c r="G262" s="3"/>
      <c r="H262" s="3">
        <f>-2282.24</f>
        <v>-2282.2399999999998</v>
      </c>
      <c r="I262" s="3"/>
      <c r="J262" s="20">
        <f t="shared" si="53"/>
        <v>-2.80453841617581E-3</v>
      </c>
      <c r="K262" s="3"/>
      <c r="L262" s="3">
        <f t="shared" si="54"/>
        <v>2282.2399999999998</v>
      </c>
      <c r="M262" s="3"/>
      <c r="N262" s="20">
        <f t="shared" si="55"/>
        <v>-1</v>
      </c>
      <c r="O262" s="12"/>
      <c r="P262" s="3">
        <f>--323761.7</f>
        <v>323761.7</v>
      </c>
      <c r="Q262" s="3"/>
      <c r="R262" s="20">
        <f t="shared" si="56"/>
        <v>1.7486792042980173E-2</v>
      </c>
      <c r="S262" s="3"/>
      <c r="T262" s="3">
        <f>--295628.46</f>
        <v>295628.46000000002</v>
      </c>
      <c r="U262" s="3"/>
      <c r="V262" s="20">
        <f t="shared" si="57"/>
        <v>3.7115228186397481E-2</v>
      </c>
      <c r="W262" s="3"/>
      <c r="X262" s="3">
        <f t="shared" si="58"/>
        <v>28133.239999999991</v>
      </c>
      <c r="Y262" s="3"/>
      <c r="Z262" s="20">
        <f t="shared" si="59"/>
        <v>9.5164180065748699E-2</v>
      </c>
    </row>
    <row r="263" spans="1:26" s="69" customFormat="1" ht="15" hidden="1" customHeight="1" outlineLevel="1" x14ac:dyDescent="0.3">
      <c r="A263" s="42"/>
      <c r="B263" s="12" t="str">
        <f>CONCATENATE("          ","9152"," - ","MISC. INCOME")</f>
        <v xml:space="preserve">          9152 - MISC. INCOME</v>
      </c>
      <c r="C263" s="12"/>
      <c r="D263" s="3">
        <f>--516.89</f>
        <v>516.89</v>
      </c>
      <c r="E263" s="3"/>
      <c r="F263" s="20">
        <f t="shared" si="52"/>
        <v>1.8021676769454771E-4</v>
      </c>
      <c r="G263" s="3"/>
      <c r="H263" s="3">
        <f>--397.11</f>
        <v>397.11</v>
      </c>
      <c r="I263" s="3"/>
      <c r="J263" s="20">
        <f t="shared" si="53"/>
        <v>4.8798997933941049E-4</v>
      </c>
      <c r="K263" s="3"/>
      <c r="L263" s="3">
        <f t="shared" si="54"/>
        <v>119.77999999999997</v>
      </c>
      <c r="M263" s="3"/>
      <c r="N263" s="20">
        <f t="shared" si="55"/>
        <v>0.30162927148648983</v>
      </c>
      <c r="O263" s="12"/>
      <c r="P263" s="3">
        <f>--4384.52</f>
        <v>4384.5200000000004</v>
      </c>
      <c r="Q263" s="3"/>
      <c r="R263" s="20">
        <f t="shared" si="56"/>
        <v>2.368136485825452E-4</v>
      </c>
      <c r="S263" s="3"/>
      <c r="T263" s="3">
        <f>--3710.56</f>
        <v>3710.56</v>
      </c>
      <c r="U263" s="3"/>
      <c r="V263" s="20">
        <f t="shared" si="57"/>
        <v>4.6584919834619109E-4</v>
      </c>
      <c r="W263" s="3"/>
      <c r="X263" s="3">
        <f t="shared" si="58"/>
        <v>673.96000000000049</v>
      </c>
      <c r="Y263" s="3"/>
      <c r="Z263" s="20">
        <f t="shared" si="59"/>
        <v>0.18163296106248128</v>
      </c>
    </row>
    <row r="264" spans="1:26" s="69" customFormat="1" ht="15" hidden="1" customHeight="1" outlineLevel="1" x14ac:dyDescent="0.3">
      <c r="A264" s="42"/>
      <c r="B264" s="12" t="str">
        <f>CONCATENATE("          ","9160"," - ","MISC. INCOME")</f>
        <v xml:space="preserve">          9160 - MISC. INCOME</v>
      </c>
      <c r="C264" s="12"/>
      <c r="D264" s="3">
        <f>0</f>
        <v>0</v>
      </c>
      <c r="E264" s="3"/>
      <c r="F264" s="20">
        <f t="shared" si="52"/>
        <v>0</v>
      </c>
      <c r="G264" s="3"/>
      <c r="H264" s="3">
        <f>0</f>
        <v>0</v>
      </c>
      <c r="I264" s="3"/>
      <c r="J264" s="20">
        <f t="shared" si="53"/>
        <v>0</v>
      </c>
      <c r="K264" s="3"/>
      <c r="L264" s="3">
        <f t="shared" si="54"/>
        <v>0</v>
      </c>
      <c r="M264" s="3"/>
      <c r="N264" s="20">
        <f t="shared" si="55"/>
        <v>0</v>
      </c>
      <c r="O264" s="12"/>
      <c r="P264" s="3">
        <f>0</f>
        <v>0</v>
      </c>
      <c r="Q264" s="3"/>
      <c r="R264" s="20">
        <f t="shared" si="56"/>
        <v>0</v>
      </c>
      <c r="S264" s="3"/>
      <c r="T264" s="3">
        <f>--12882.96</f>
        <v>12882.96</v>
      </c>
      <c r="U264" s="3"/>
      <c r="V264" s="20">
        <f t="shared" si="57"/>
        <v>1.6174153196083733E-3</v>
      </c>
      <c r="W264" s="3"/>
      <c r="X264" s="3">
        <f t="shared" si="58"/>
        <v>-12882.96</v>
      </c>
      <c r="Y264" s="3"/>
      <c r="Z264" s="20">
        <f t="shared" si="59"/>
        <v>-1</v>
      </c>
    </row>
    <row r="265" spans="1:26" s="69" customFormat="1" ht="15" hidden="1" customHeight="1" outlineLevel="1" x14ac:dyDescent="0.3">
      <c r="A265" s="42"/>
      <c r="B265" s="12" t="str">
        <f>CONCATENATE("          ","9163"," - ","MISC. INCOME")</f>
        <v xml:space="preserve">          9163 - MISC. INCOME</v>
      </c>
      <c r="C265" s="12"/>
      <c r="D265" s="3">
        <f>--175055</f>
        <v>175055</v>
      </c>
      <c r="E265" s="3"/>
      <c r="F265" s="20">
        <f t="shared" si="52"/>
        <v>6.1033965193308157E-2</v>
      </c>
      <c r="G265" s="3"/>
      <c r="H265" s="3">
        <f>--175014.7</f>
        <v>175014.7</v>
      </c>
      <c r="I265" s="3"/>
      <c r="J265" s="20">
        <f t="shared" si="53"/>
        <v>0.21506741164184515</v>
      </c>
      <c r="K265" s="3"/>
      <c r="L265" s="3">
        <f t="shared" si="54"/>
        <v>40.299999999988358</v>
      </c>
      <c r="M265" s="3"/>
      <c r="N265" s="20">
        <f t="shared" si="55"/>
        <v>2.3026637191040728E-4</v>
      </c>
      <c r="O265" s="12"/>
      <c r="P265" s="3">
        <f>--254830.7</f>
        <v>254830.7</v>
      </c>
      <c r="Q265" s="3"/>
      <c r="R265" s="20">
        <f t="shared" si="56"/>
        <v>1.3763738753123261E-2</v>
      </c>
      <c r="S265" s="3"/>
      <c r="T265" s="3">
        <f>--346434.46</f>
        <v>346434.46</v>
      </c>
      <c r="U265" s="3"/>
      <c r="V265" s="20">
        <f t="shared" si="57"/>
        <v>4.3493762523849663E-2</v>
      </c>
      <c r="W265" s="3"/>
      <c r="X265" s="3">
        <f t="shared" si="58"/>
        <v>-91603.760000000009</v>
      </c>
      <c r="Y265" s="3"/>
      <c r="Z265" s="20">
        <f t="shared" si="59"/>
        <v>-0.26441873016904843</v>
      </c>
    </row>
    <row r="266" spans="1:26" s="69" customFormat="1" ht="15" hidden="1" customHeight="1" outlineLevel="1" x14ac:dyDescent="0.3">
      <c r="A266" s="42"/>
      <c r="B266" s="12" t="str">
        <f>CONCATENATE("          ","9165"," - ","OTHER INCOME")</f>
        <v xml:space="preserve">          9165 - OTHER INCOME</v>
      </c>
      <c r="C266" s="12"/>
      <c r="D266" s="3">
        <f>0</f>
        <v>0</v>
      </c>
      <c r="E266" s="3"/>
      <c r="F266" s="20">
        <f t="shared" si="52"/>
        <v>0</v>
      </c>
      <c r="G266" s="3"/>
      <c r="H266" s="3">
        <f>0</f>
        <v>0</v>
      </c>
      <c r="I266" s="3"/>
      <c r="J266" s="20">
        <f t="shared" si="53"/>
        <v>0</v>
      </c>
      <c r="K266" s="3"/>
      <c r="L266" s="3">
        <f t="shared" si="54"/>
        <v>0</v>
      </c>
      <c r="M266" s="3"/>
      <c r="N266" s="20">
        <f t="shared" si="55"/>
        <v>0</v>
      </c>
      <c r="O266" s="12"/>
      <c r="P266" s="3">
        <f>0</f>
        <v>0</v>
      </c>
      <c r="Q266" s="3"/>
      <c r="R266" s="20">
        <f t="shared" si="56"/>
        <v>0</v>
      </c>
      <c r="S266" s="3"/>
      <c r="T266" s="3">
        <f>--3138.21</f>
        <v>3138.21</v>
      </c>
      <c r="U266" s="3"/>
      <c r="V266" s="20">
        <f t="shared" si="57"/>
        <v>3.939924466231513E-4</v>
      </c>
      <c r="W266" s="3"/>
      <c r="X266" s="3">
        <f t="shared" si="58"/>
        <v>-3138.21</v>
      </c>
      <c r="Y266" s="3"/>
      <c r="Z266" s="20">
        <f t="shared" si="59"/>
        <v>-1</v>
      </c>
    </row>
    <row r="267" spans="1:26" ht="15" customHeight="1" x14ac:dyDescent="0.3">
      <c r="A267" s="10"/>
      <c r="B267" s="11"/>
      <c r="C267" s="11"/>
      <c r="D267" s="4"/>
      <c r="E267" s="4"/>
      <c r="F267" s="9"/>
      <c r="G267" s="4"/>
      <c r="H267" s="4"/>
      <c r="I267" s="4"/>
      <c r="J267" s="9"/>
      <c r="K267" s="4"/>
      <c r="L267" s="4"/>
      <c r="M267" s="4"/>
      <c r="N267" s="9"/>
      <c r="O267" s="11"/>
      <c r="P267" s="4"/>
      <c r="Q267" s="4"/>
      <c r="R267" s="9"/>
      <c r="S267" s="4"/>
      <c r="T267" s="4"/>
      <c r="U267" s="4"/>
      <c r="V267" s="9"/>
      <c r="W267" s="4"/>
      <c r="X267" s="4"/>
      <c r="Y267" s="4"/>
      <c r="Z267" s="9"/>
    </row>
    <row r="268" spans="1:26" s="62" customFormat="1" ht="15" customHeight="1" x14ac:dyDescent="0.3">
      <c r="A268" s="11"/>
      <c r="B268" s="27" t="s">
        <v>291</v>
      </c>
      <c r="C268" s="27"/>
      <c r="D268" s="22">
        <f>+D159-D161+D258</f>
        <v>790066.26999999955</v>
      </c>
      <c r="E268" s="15"/>
      <c r="F268" s="21">
        <f>IF(D$12=0,0,D268/D$12)</f>
        <v>0.27546129629880195</v>
      </c>
      <c r="G268" s="15"/>
      <c r="H268" s="22">
        <f>+H159-H161+H258</f>
        <v>-81603.829999999783</v>
      </c>
      <c r="I268" s="15"/>
      <c r="J268" s="21">
        <f>IF(H$12=0,0,H268/H$12)</f>
        <v>-0.10027914511273113</v>
      </c>
      <c r="K268" s="17"/>
      <c r="L268" s="22">
        <f>+D268-H268</f>
        <v>871670.09999999939</v>
      </c>
      <c r="M268" s="17"/>
      <c r="N268" s="21">
        <f>IF(H268=0,0,L268/H268)</f>
        <v>-10.681730257023496</v>
      </c>
      <c r="O268" s="28"/>
      <c r="P268" s="22">
        <f>+P159-P161+P258</f>
        <v>2627178.0100000016</v>
      </c>
      <c r="Q268" s="15"/>
      <c r="R268" s="21">
        <f>IF(P$12=0,0,P268/P$12)</f>
        <v>0.14189731373649356</v>
      </c>
      <c r="S268" s="15"/>
      <c r="T268" s="22">
        <f>+T159-T161+T258</f>
        <v>-2121477.4799999995</v>
      </c>
      <c r="U268" s="15"/>
      <c r="V268" s="21">
        <f>IF(T$12=0,0,T268/T$12)</f>
        <v>-0.26634485990456896</v>
      </c>
      <c r="W268" s="17"/>
      <c r="X268" s="22">
        <f>+P268-T268</f>
        <v>4748655.4900000012</v>
      </c>
      <c r="Y268" s="17"/>
      <c r="Z268" s="21">
        <f>IF(T268=0,0,X268/T268)</f>
        <v>-2.2383718586539048</v>
      </c>
    </row>
    <row r="269" spans="1:26" ht="15" customHeight="1" x14ac:dyDescent="0.3">
      <c r="A269" s="10"/>
      <c r="B269" s="11"/>
      <c r="C269" s="10"/>
      <c r="D269" s="4"/>
      <c r="E269" s="4"/>
      <c r="F269" s="9"/>
      <c r="G269" s="4"/>
      <c r="H269" s="4"/>
      <c r="I269" s="4"/>
      <c r="J269" s="9"/>
      <c r="K269" s="4"/>
      <c r="L269" s="4"/>
      <c r="M269" s="4"/>
      <c r="N269" s="9"/>
      <c r="P269" s="4"/>
      <c r="Q269" s="4"/>
      <c r="R269" s="9"/>
      <c r="S269" s="4"/>
      <c r="T269" s="4"/>
      <c r="U269" s="4"/>
      <c r="V269" s="9"/>
      <c r="W269" s="4"/>
      <c r="X269" s="4"/>
      <c r="Y269" s="4"/>
      <c r="Z269" s="9"/>
    </row>
    <row r="270" spans="1:26" s="62" customFormat="1" ht="15" customHeight="1" x14ac:dyDescent="0.3">
      <c r="A270" s="48"/>
      <c r="B270" s="11" t="s">
        <v>292</v>
      </c>
      <c r="C270" s="11"/>
      <c r="D270" s="5">
        <v>256640.54</v>
      </c>
      <c r="E270" s="5"/>
      <c r="F270" s="13">
        <f>IF(D$12=0,0,D270/D$12)</f>
        <v>8.9479248153733454E-2</v>
      </c>
      <c r="G270" s="5"/>
      <c r="H270" s="5">
        <v>225320.12</v>
      </c>
      <c r="I270" s="5"/>
      <c r="J270" s="13">
        <f>IF(H$12=0,0,H270/H$12)</f>
        <v>0.27688539876496054</v>
      </c>
      <c r="K270" s="5"/>
      <c r="L270" s="5">
        <f>+D270-H270</f>
        <v>31320.420000000013</v>
      </c>
      <c r="M270" s="5"/>
      <c r="N270" s="13">
        <f>IF(H270=0,0,L270/H270)</f>
        <v>0.13900409781425652</v>
      </c>
      <c r="O270" s="11"/>
      <c r="P270" s="5">
        <v>2209677.14</v>
      </c>
      <c r="Q270" s="5"/>
      <c r="R270" s="13">
        <f>IF(P$12=0,0,P270/P$12)</f>
        <v>0.11934754675833238</v>
      </c>
      <c r="S270" s="5"/>
      <c r="T270" s="5">
        <v>1641550.35</v>
      </c>
      <c r="U270" s="5"/>
      <c r="V270" s="13">
        <f>IF(T$12=0,0,T270/T$12)</f>
        <v>0.20609151033601653</v>
      </c>
      <c r="W270" s="5"/>
      <c r="X270" s="5">
        <f>+P270-T270</f>
        <v>568126.79</v>
      </c>
      <c r="Y270" s="5"/>
      <c r="Z270" s="13">
        <f>IF(T270=0,0,X270/T270)</f>
        <v>0.34609160175927595</v>
      </c>
    </row>
    <row r="271" spans="1:26" ht="15" customHeight="1" x14ac:dyDescent="0.3">
      <c r="A271" s="10"/>
      <c r="B271" s="11"/>
      <c r="C271" s="11"/>
      <c r="D271" s="4"/>
      <c r="E271" s="4"/>
      <c r="F271" s="9"/>
      <c r="G271" s="4"/>
      <c r="H271" s="4"/>
      <c r="I271" s="4"/>
      <c r="J271" s="9"/>
      <c r="K271" s="4"/>
      <c r="L271" s="4"/>
      <c r="M271" s="4"/>
      <c r="N271" s="9"/>
      <c r="O271" s="11"/>
      <c r="P271" s="4"/>
      <c r="Q271" s="4"/>
      <c r="R271" s="9"/>
      <c r="S271" s="4"/>
      <c r="T271" s="4"/>
      <c r="U271" s="4"/>
      <c r="V271" s="9"/>
      <c r="W271" s="4"/>
      <c r="X271" s="4"/>
      <c r="Y271" s="4"/>
      <c r="Z271" s="9"/>
    </row>
    <row r="272" spans="1:26" s="62" customFormat="1" ht="15" customHeight="1" x14ac:dyDescent="0.3">
      <c r="A272" s="11"/>
      <c r="B272" s="27" t="s">
        <v>293</v>
      </c>
      <c r="C272" s="27"/>
      <c r="D272" s="34">
        <f>+D268-D270</f>
        <v>533425.72999999952</v>
      </c>
      <c r="E272" s="15"/>
      <c r="F272" s="33">
        <f>IF(D$12=0,0,D272/D$12)</f>
        <v>0.1859820481450685</v>
      </c>
      <c r="G272" s="15"/>
      <c r="H272" s="34">
        <f>+H268-H270</f>
        <v>-306923.94999999978</v>
      </c>
      <c r="I272" s="15"/>
      <c r="J272" s="33">
        <f>IF(H$12=0,0,H272/H$12)</f>
        <v>-0.37716454387769166</v>
      </c>
      <c r="K272" s="17"/>
      <c r="L272" s="34">
        <f>D272-H272</f>
        <v>840349.67999999924</v>
      </c>
      <c r="M272" s="17"/>
      <c r="N272" s="33">
        <f>IF(H272=0,0,L272/H272)</f>
        <v>-2.7379736250624944</v>
      </c>
      <c r="O272" s="28"/>
      <c r="P272" s="34">
        <f>+P268-P270</f>
        <v>417500.87000000151</v>
      </c>
      <c r="Q272" s="15"/>
      <c r="R272" s="33">
        <f>IF(P$12=0,0,P272/P$12)</f>
        <v>2.2549766978161176E-2</v>
      </c>
      <c r="S272" s="15"/>
      <c r="T272" s="34">
        <f>+T268-T270</f>
        <v>-3763027.8299999996</v>
      </c>
      <c r="U272" s="15"/>
      <c r="V272" s="33">
        <f>IF(T$12=0,0,T272/T$12)</f>
        <v>-0.47243637024058549</v>
      </c>
      <c r="W272" s="17"/>
      <c r="X272" s="34">
        <f>P272-T272</f>
        <v>4180528.7000000011</v>
      </c>
      <c r="Y272" s="17"/>
      <c r="Z272" s="33">
        <f>IF(T272=0,0,X272/T272)</f>
        <v>-1.1109481217947839</v>
      </c>
    </row>
    <row r="273" spans="1:26" ht="15" customHeight="1" x14ac:dyDescent="0.3">
      <c r="A273" s="10"/>
      <c r="B273" s="10"/>
      <c r="C273" s="10"/>
      <c r="D273" s="4"/>
      <c r="E273" s="4"/>
      <c r="F273" s="9"/>
      <c r="G273" s="4"/>
      <c r="H273" s="4"/>
      <c r="I273" s="4"/>
      <c r="J273" s="9"/>
      <c r="K273" s="4"/>
      <c r="L273" s="4"/>
      <c r="M273" s="4"/>
      <c r="N273" s="9"/>
      <c r="P273" s="4"/>
      <c r="Q273" s="4"/>
      <c r="R273" s="9"/>
      <c r="S273" s="4"/>
      <c r="T273" s="4"/>
      <c r="U273" s="4"/>
      <c r="V273" s="9"/>
      <c r="W273" s="4"/>
      <c r="X273" s="4"/>
      <c r="Y273" s="4"/>
      <c r="Z273" s="9"/>
    </row>
    <row r="274" spans="1:26" s="62" customFormat="1" ht="15" customHeight="1" x14ac:dyDescent="0.3">
      <c r="A274" s="48"/>
      <c r="B274" s="11" t="s">
        <v>294</v>
      </c>
      <c r="C274" s="11"/>
      <c r="D274" s="5">
        <f>-38582.65</f>
        <v>-38582.65</v>
      </c>
      <c r="E274" s="5"/>
      <c r="F274" s="13">
        <f>IF(D$12=0,0,D274/D$12)</f>
        <v>-1.3452070018940282E-2</v>
      </c>
      <c r="G274" s="5"/>
      <c r="H274" s="5">
        <f>--105259.22</f>
        <v>105259.22</v>
      </c>
      <c r="I274" s="5"/>
      <c r="J274" s="13">
        <f>IF(H$12=0,0,H274/H$12)</f>
        <v>0.12934815188003942</v>
      </c>
      <c r="K274" s="5"/>
      <c r="L274" s="5">
        <f>+D274-H274</f>
        <v>-143841.87</v>
      </c>
      <c r="M274" s="5"/>
      <c r="N274" s="13">
        <f>IF(H274=0,0,L274/H274)</f>
        <v>-1.3665488875938849</v>
      </c>
      <c r="O274" s="11"/>
      <c r="P274" s="5">
        <f>-954916.37</f>
        <v>-954916.37</v>
      </c>
      <c r="Q274" s="5"/>
      <c r="R274" s="13">
        <f>IF(P$12=0,0,P274/P$12)</f>
        <v>-5.157627965453452E-2</v>
      </c>
      <c r="S274" s="5"/>
      <c r="T274" s="5">
        <f>--2296813.19</f>
        <v>2296813.19</v>
      </c>
      <c r="U274" s="5"/>
      <c r="V274" s="13">
        <f>IF(T$12=0,0,T274/T$12)</f>
        <v>0.28835770970216296</v>
      </c>
      <c r="W274" s="5"/>
      <c r="X274" s="5">
        <f>+P274-T274</f>
        <v>-3251729.56</v>
      </c>
      <c r="Y274" s="5"/>
      <c r="Z274" s="13">
        <f>IF(T274=0,0,X274/T274)</f>
        <v>-1.4157570908063273</v>
      </c>
    </row>
    <row r="275" spans="1:26" s="62" customFormat="1" ht="15" customHeight="1" x14ac:dyDescent="0.3">
      <c r="A275" s="48"/>
      <c r="B275" s="11" t="s">
        <v>295</v>
      </c>
      <c r="C275" s="11"/>
      <c r="D275" s="5">
        <f>--14325.83</f>
        <v>14325.83</v>
      </c>
      <c r="E275" s="5"/>
      <c r="F275" s="13">
        <f>IF(D$12=0,0,D275/D$12)</f>
        <v>4.9947856935548818E-3</v>
      </c>
      <c r="G275" s="5"/>
      <c r="H275" s="5">
        <f>--15480.93</f>
        <v>15480.93</v>
      </c>
      <c r="I275" s="5"/>
      <c r="J275" s="13">
        <f>IF(H$12=0,0,H275/H$12)</f>
        <v>1.9023793686522274E-2</v>
      </c>
      <c r="K275" s="5"/>
      <c r="L275" s="5">
        <f>+D275-H275</f>
        <v>-1155.1000000000004</v>
      </c>
      <c r="M275" s="5"/>
      <c r="N275" s="13">
        <f>IF(H275=0,0,L275/H275)</f>
        <v>-7.4614380402210995E-2</v>
      </c>
      <c r="O275" s="11"/>
      <c r="P275" s="5">
        <f>--2333265.47</f>
        <v>2333265.4700000002</v>
      </c>
      <c r="Q275" s="5"/>
      <c r="R275" s="13">
        <f>IF(P$12=0,0,P275/P$12)</f>
        <v>0.12602271378905039</v>
      </c>
      <c r="S275" s="5"/>
      <c r="T275" s="5">
        <f>--82536.19</f>
        <v>82536.19</v>
      </c>
      <c r="U275" s="5"/>
      <c r="V275" s="13">
        <f>IF(T$12=0,0,T275/T$12)</f>
        <v>1.0362160414074673E-2</v>
      </c>
      <c r="W275" s="5"/>
      <c r="X275" s="5">
        <f>+P275-T275</f>
        <v>2250729.2800000003</v>
      </c>
      <c r="Y275" s="5"/>
      <c r="Z275" s="13">
        <f>IF(T275=0,0,X275/T275)</f>
        <v>27.269604763680032</v>
      </c>
    </row>
    <row r="276" spans="1:26" ht="15" customHeight="1" x14ac:dyDescent="0.3">
      <c r="A276" s="10"/>
      <c r="B276" s="10"/>
      <c r="C276" s="10"/>
      <c r="D276" s="4"/>
      <c r="E276" s="4"/>
      <c r="F276" s="9"/>
      <c r="G276" s="4"/>
      <c r="H276" s="4"/>
      <c r="I276" s="4"/>
      <c r="J276" s="9"/>
      <c r="K276" s="4"/>
      <c r="L276" s="4"/>
      <c r="M276" s="4"/>
      <c r="N276" s="9"/>
      <c r="P276" s="4"/>
      <c r="Q276" s="4"/>
      <c r="R276" s="9"/>
      <c r="S276" s="4"/>
      <c r="T276" s="4"/>
      <c r="U276" s="4"/>
      <c r="V276" s="9"/>
      <c r="W276" s="4"/>
      <c r="X276" s="4"/>
      <c r="Y276" s="4"/>
      <c r="Z276" s="9"/>
    </row>
    <row r="277" spans="1:26" s="62" customFormat="1" ht="15" customHeight="1" x14ac:dyDescent="0.3">
      <c r="A277" s="11"/>
      <c r="B277" s="27" t="s">
        <v>296</v>
      </c>
      <c r="C277" s="27"/>
      <c r="D277" s="31">
        <f>SUM(D272:D276)</f>
        <v>509168.90999999951</v>
      </c>
      <c r="E277" s="15"/>
      <c r="F277" s="32">
        <f>IF(D$12=0,0,D277/D$12)</f>
        <v>0.1775247638196831</v>
      </c>
      <c r="G277" s="15"/>
      <c r="H277" s="31">
        <f>SUM(H272:H276)</f>
        <v>-186183.79999999978</v>
      </c>
      <c r="I277" s="15"/>
      <c r="J277" s="32">
        <f>IF(H$12=0,0,H277/H$12)</f>
        <v>-0.22879259831112997</v>
      </c>
      <c r="K277" s="17"/>
      <c r="L277" s="31">
        <f>+D277-H277</f>
        <v>695352.70999999926</v>
      </c>
      <c r="M277" s="17"/>
      <c r="N277" s="32">
        <f>IF(H277=0,0,L277/H277)</f>
        <v>-3.7347648399055129</v>
      </c>
      <c r="O277" s="28"/>
      <c r="P277" s="31">
        <f>SUM(P272:P276)</f>
        <v>1795849.9700000016</v>
      </c>
      <c r="Q277" s="15"/>
      <c r="R277" s="32">
        <f>IF(P$12=0,0,P277/P$12)</f>
        <v>9.6996201112677025E-2</v>
      </c>
      <c r="S277" s="15"/>
      <c r="T277" s="31">
        <f>SUM(T272:T276)</f>
        <v>-1383678.4499999997</v>
      </c>
      <c r="U277" s="15"/>
      <c r="V277" s="32">
        <f>IF(T$12=0,0,T277/T$12)</f>
        <v>-0.17371650012434783</v>
      </c>
      <c r="W277" s="17"/>
      <c r="X277" s="31">
        <f>+P277-T277</f>
        <v>3179528.4200000013</v>
      </c>
      <c r="Y277" s="17"/>
      <c r="Z277" s="32">
        <f>IF(T277=0,0,X277/T277)</f>
        <v>-2.2978809997366092</v>
      </c>
    </row>
    <row r="278" spans="1:26" ht="15" customHeight="1" x14ac:dyDescent="0.3">
      <c r="A278" s="10"/>
      <c r="C278" s="10"/>
      <c r="D278" s="19"/>
      <c r="E278" s="19"/>
      <c r="G278" s="19"/>
      <c r="H278" s="19"/>
      <c r="I278" s="19"/>
      <c r="J278" s="40"/>
      <c r="K278" s="19"/>
      <c r="L278" s="19"/>
      <c r="M278" s="19"/>
      <c r="P278" s="19"/>
      <c r="Q278" s="19"/>
      <c r="R278" s="40"/>
      <c r="S278" s="19"/>
      <c r="T278" s="19"/>
      <c r="U278" s="19"/>
      <c r="V278" s="40"/>
      <c r="W278" s="19"/>
      <c r="X278" s="19"/>
    </row>
    <row r="279" spans="1:26" ht="15" customHeight="1" x14ac:dyDescent="0.3">
      <c r="A279" s="10"/>
      <c r="B279" s="56">
        <v>44663.038536770837</v>
      </c>
      <c r="D279" s="19"/>
      <c r="E279" s="19"/>
      <c r="G279" s="19"/>
      <c r="H279" s="19"/>
      <c r="I279" s="19"/>
      <c r="J279" s="40"/>
      <c r="K279" s="19"/>
      <c r="L279" s="19"/>
      <c r="M279" s="19"/>
      <c r="P279" s="19"/>
      <c r="Q279" s="19"/>
      <c r="R279" s="40"/>
      <c r="S279" s="19"/>
      <c r="T279" s="19"/>
      <c r="U279" s="19"/>
      <c r="V279" s="40"/>
      <c r="W279" s="19"/>
      <c r="X279" s="19"/>
    </row>
    <row r="280" spans="1:26" ht="15" customHeight="1" x14ac:dyDescent="0.3">
      <c r="A280" s="10"/>
      <c r="B280" s="57" t="s">
        <v>297</v>
      </c>
      <c r="D280" s="19"/>
      <c r="E280" s="19"/>
      <c r="G280" s="19"/>
      <c r="H280" s="19"/>
      <c r="I280" s="19"/>
      <c r="J280" s="40"/>
      <c r="K280" s="19"/>
      <c r="L280" s="19"/>
      <c r="M280" s="19"/>
      <c r="P280" s="19"/>
      <c r="Q280" s="19"/>
      <c r="R280" s="40"/>
      <c r="S280" s="19"/>
      <c r="T280" s="19"/>
      <c r="U280" s="19"/>
      <c r="V280" s="40"/>
      <c r="W280" s="19"/>
      <c r="X280" s="19"/>
    </row>
    <row r="281" spans="1:26" ht="15" customHeight="1" x14ac:dyDescent="0.3">
      <c r="A281" s="10"/>
      <c r="B281" s="58"/>
      <c r="D281" s="19"/>
      <c r="E281" s="19"/>
      <c r="G281" s="19"/>
      <c r="H281" s="19"/>
      <c r="I281" s="19"/>
      <c r="J281" s="40"/>
      <c r="K281" s="19"/>
      <c r="L281" s="19"/>
      <c r="M281" s="19"/>
      <c r="P281" s="19"/>
      <c r="Q281" s="19"/>
      <c r="R281" s="40"/>
      <c r="S281" s="19"/>
      <c r="T281" s="19"/>
      <c r="U281" s="19"/>
      <c r="V281" s="40"/>
      <c r="W281" s="19"/>
      <c r="X281" s="19"/>
    </row>
    <row r="282" spans="1:26" ht="15" customHeight="1" x14ac:dyDescent="0.3">
      <c r="D282" s="19"/>
      <c r="E282" s="19"/>
      <c r="G282" s="19"/>
      <c r="H282" s="19"/>
      <c r="I282" s="19"/>
      <c r="J282" s="40"/>
      <c r="K282" s="19"/>
      <c r="L282" s="19"/>
      <c r="M282" s="19"/>
      <c r="P282" s="19"/>
      <c r="Q282" s="19"/>
      <c r="R282" s="40"/>
      <c r="S282" s="19"/>
      <c r="T282" s="19"/>
      <c r="U282" s="19"/>
      <c r="V282" s="40"/>
      <c r="W282" s="19"/>
      <c r="X28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8817E-022C-FBBA-F734-0EE3EFF53A6E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310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0287-C51C-2FBE-703D-13CE791995F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311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ABE13-9439-5E22-F1B5-E2999EE5FF71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311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9F22A-1DE5-92A7-E95C-A2F773C1726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312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371BB-48E8-01C9-CBEF-967800755B2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312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23AA5-1A0A-E1D9-7D7C-EB927C9D569B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313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22FD8-E71D-4E5F-39C9-E63F48D3819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313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E907F-1B6A-1168-2FB5-2BD0A8C17147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314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2B89A-BE3D-C3C6-49EC-DB8B6D8A07C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314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840BA-1051-3359-7BFE-1C3610CA8B27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","100"," - ","Corporate")</f>
        <v>Department 100 - Corporate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>
        <f>SUM(0)</f>
        <v>0</v>
      </c>
      <c r="E18" s="23"/>
      <c r="F18" s="35">
        <f>IF(D$12=0,0,D18/D$12)</f>
        <v>0</v>
      </c>
      <c r="G18" s="23"/>
      <c r="H18" s="23">
        <f>SUM(0)</f>
        <v>0</v>
      </c>
      <c r="I18" s="23"/>
      <c r="J18" s="35">
        <f>IF(H$12=0,0,H18/H$12)</f>
        <v>0</v>
      </c>
      <c r="K18" s="5"/>
      <c r="L18" s="23">
        <f>+D18-H18</f>
        <v>0</v>
      </c>
      <c r="M18" s="5"/>
      <c r="N18" s="35">
        <f>IF(H18=0,0,L18/H18)</f>
        <v>0</v>
      </c>
      <c r="O18" s="11"/>
      <c r="P18" s="23">
        <f>SUM(0)</f>
        <v>0</v>
      </c>
      <c r="Q18" s="23"/>
      <c r="R18" s="35">
        <f>IF(P$12=0,0,P18/P$12)</f>
        <v>0</v>
      </c>
      <c r="S18" s="23"/>
      <c r="T18" s="23">
        <f>SUM(0)</f>
        <v>0</v>
      </c>
      <c r="U18" s="23"/>
      <c r="V18" s="35">
        <f>IF(T$12=0,0,T18/T$12)</f>
        <v>0</v>
      </c>
      <c r="W18" s="5"/>
      <c r="X18" s="23">
        <f>+P18-T18</f>
        <v>0</v>
      </c>
      <c r="Y18" s="5"/>
      <c r="Z18" s="35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7" t="s">
        <v>291</v>
      </c>
      <c r="C22" s="27"/>
      <c r="D22" s="22">
        <f>+D16-D18+D20</f>
        <v>0</v>
      </c>
      <c r="E22" s="15"/>
      <c r="F22" s="21">
        <f>IF(D$12=0,0,D22/D$12)</f>
        <v>0</v>
      </c>
      <c r="G22" s="15"/>
      <c r="H22" s="22">
        <f>+H16-H18+H20</f>
        <v>0</v>
      </c>
      <c r="I22" s="15"/>
      <c r="J22" s="21">
        <f>IF(H$12=0,0,H22/H$12)</f>
        <v>0</v>
      </c>
      <c r="K22" s="17"/>
      <c r="L22" s="22">
        <f>+D22-H22</f>
        <v>0</v>
      </c>
      <c r="M22" s="17"/>
      <c r="N22" s="21">
        <f>IF(H22=0,0,L22/H22)</f>
        <v>0</v>
      </c>
      <c r="O22" s="28"/>
      <c r="P22" s="22">
        <f>+P16-P18+P20</f>
        <v>0</v>
      </c>
      <c r="Q22" s="15"/>
      <c r="R22" s="21">
        <f>IF(P$12=0,0,P22/P$12)</f>
        <v>0</v>
      </c>
      <c r="S22" s="15"/>
      <c r="T22" s="22">
        <f>+T16-T18+T20</f>
        <v>0</v>
      </c>
      <c r="U22" s="15"/>
      <c r="V22" s="21">
        <f>IF(T$12=0,0,T22/T$12)</f>
        <v>0</v>
      </c>
      <c r="W22" s="17"/>
      <c r="X22" s="22">
        <f>+P22-T22</f>
        <v>0</v>
      </c>
      <c r="Y22" s="17"/>
      <c r="Z22" s="21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7" t="s">
        <v>293</v>
      </c>
      <c r="C26" s="27"/>
      <c r="D26" s="34">
        <f>+D22-D24</f>
        <v>0</v>
      </c>
      <c r="E26" s="15"/>
      <c r="F26" s="33">
        <f>IF(D$12=0,0,D26/D$12)</f>
        <v>0</v>
      </c>
      <c r="G26" s="15"/>
      <c r="H26" s="34">
        <f>+H22-H24</f>
        <v>0</v>
      </c>
      <c r="I26" s="15"/>
      <c r="J26" s="33">
        <f>IF(H$12=0,0,H26/H$12)</f>
        <v>0</v>
      </c>
      <c r="K26" s="17"/>
      <c r="L26" s="34">
        <f>D26-H26</f>
        <v>0</v>
      </c>
      <c r="M26" s="17"/>
      <c r="N26" s="33">
        <f>IF(H26=0,0,L26/H26)</f>
        <v>0</v>
      </c>
      <c r="O26" s="28"/>
      <c r="P26" s="34">
        <f>+P22-P24</f>
        <v>0</v>
      </c>
      <c r="Q26" s="15"/>
      <c r="R26" s="33">
        <f>IF(P$12=0,0,P26/P$12)</f>
        <v>0</v>
      </c>
      <c r="S26" s="15"/>
      <c r="T26" s="34">
        <f>+T22-T24</f>
        <v>0</v>
      </c>
      <c r="U26" s="15"/>
      <c r="V26" s="33">
        <f>IF(T$12=0,0,T26/T$12)</f>
        <v>0</v>
      </c>
      <c r="W26" s="17"/>
      <c r="X26" s="34">
        <f>P26-T26</f>
        <v>0</v>
      </c>
      <c r="Y26" s="17"/>
      <c r="Z26" s="33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294</v>
      </c>
      <c r="C28" s="11"/>
      <c r="D28" s="5">
        <f>-38582.65</f>
        <v>-38582.65</v>
      </c>
      <c r="E28" s="5"/>
      <c r="F28" s="13">
        <f>IF(D$12=0,0,D28/D$12)</f>
        <v>0</v>
      </c>
      <c r="G28" s="5"/>
      <c r="H28" s="5">
        <f>--105259.22</f>
        <v>105259.22</v>
      </c>
      <c r="I28" s="5"/>
      <c r="J28" s="13">
        <f>IF(H$12=0,0,H28/H$12)</f>
        <v>0</v>
      </c>
      <c r="K28" s="5"/>
      <c r="L28" s="5">
        <f>+D28-H28</f>
        <v>-143841.87</v>
      </c>
      <c r="M28" s="5"/>
      <c r="N28" s="13">
        <f>IF(H28=0,0,L28/H28)</f>
        <v>-1.3665488875938849</v>
      </c>
      <c r="O28" s="11"/>
      <c r="P28" s="5">
        <f>-954916.37</f>
        <v>-954916.37</v>
      </c>
      <c r="Q28" s="5"/>
      <c r="R28" s="13">
        <f>IF(P$12=0,0,P28/P$12)</f>
        <v>0</v>
      </c>
      <c r="S28" s="5"/>
      <c r="T28" s="5">
        <f>--2296813.19</f>
        <v>2296813.19</v>
      </c>
      <c r="U28" s="5"/>
      <c r="V28" s="13">
        <f>IF(T$12=0,0,T28/T$12)</f>
        <v>0</v>
      </c>
      <c r="W28" s="5"/>
      <c r="X28" s="5">
        <f>+P28-T28</f>
        <v>-3251729.56</v>
      </c>
      <c r="Y28" s="5"/>
      <c r="Z28" s="13">
        <f>IF(T28=0,0,X28/T28)</f>
        <v>-1.4157570908063273</v>
      </c>
    </row>
    <row r="29" spans="1:26" s="62" customFormat="1" ht="15" customHeight="1" x14ac:dyDescent="0.3">
      <c r="A29" s="48"/>
      <c r="B29" s="11" t="s">
        <v>295</v>
      </c>
      <c r="C29" s="11"/>
      <c r="D29" s="5">
        <f>--14325.83</f>
        <v>14325.83</v>
      </c>
      <c r="E29" s="5"/>
      <c r="F29" s="13">
        <f>IF(D$12=0,0,D29/D$12)</f>
        <v>0</v>
      </c>
      <c r="G29" s="5"/>
      <c r="H29" s="5">
        <f>--15480.93</f>
        <v>15480.93</v>
      </c>
      <c r="I29" s="5"/>
      <c r="J29" s="13">
        <f>IF(H$12=0,0,H29/H$12)</f>
        <v>0</v>
      </c>
      <c r="K29" s="5"/>
      <c r="L29" s="5">
        <f>+D29-H29</f>
        <v>-1155.1000000000004</v>
      </c>
      <c r="M29" s="5"/>
      <c r="N29" s="13">
        <f>IF(H29=0,0,L29/H29)</f>
        <v>-7.4614380402210995E-2</v>
      </c>
      <c r="O29" s="11"/>
      <c r="P29" s="5">
        <f>--2333265.47</f>
        <v>2333265.4700000002</v>
      </c>
      <c r="Q29" s="5"/>
      <c r="R29" s="13">
        <f>IF(P$12=0,0,P29/P$12)</f>
        <v>0</v>
      </c>
      <c r="S29" s="5"/>
      <c r="T29" s="5">
        <f>--82536.19</f>
        <v>82536.19</v>
      </c>
      <c r="U29" s="5"/>
      <c r="V29" s="13">
        <f>IF(T$12=0,0,T29/T$12)</f>
        <v>0</v>
      </c>
      <c r="W29" s="5"/>
      <c r="X29" s="5">
        <f>+P29-T29</f>
        <v>2250729.2800000003</v>
      </c>
      <c r="Y29" s="5"/>
      <c r="Z29" s="13">
        <f>IF(T29=0,0,X29/T29)</f>
        <v>27.269604763680032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296</v>
      </c>
      <c r="C31" s="27"/>
      <c r="D31" s="31">
        <f>SUM(D26:D30)</f>
        <v>-24256.82</v>
      </c>
      <c r="E31" s="15"/>
      <c r="F31" s="32">
        <f>IF(D$12=0,0,D31/D$12)</f>
        <v>0</v>
      </c>
      <c r="G31" s="15"/>
      <c r="H31" s="31">
        <f>SUM(H26:H30)</f>
        <v>120740.15</v>
      </c>
      <c r="I31" s="15"/>
      <c r="J31" s="32">
        <f>IF(H$12=0,0,H31/H$12)</f>
        <v>0</v>
      </c>
      <c r="K31" s="17"/>
      <c r="L31" s="31">
        <f>+D31-H31</f>
        <v>-144996.97</v>
      </c>
      <c r="M31" s="17"/>
      <c r="N31" s="32">
        <f>IF(H31=0,0,L31/H31)</f>
        <v>-1.2009010258807862</v>
      </c>
      <c r="O31" s="28"/>
      <c r="P31" s="31">
        <f>SUM(P26:P30)</f>
        <v>1378349.1</v>
      </c>
      <c r="Q31" s="15"/>
      <c r="R31" s="32">
        <f>IF(P$12=0,0,P31/P$12)</f>
        <v>0</v>
      </c>
      <c r="S31" s="15"/>
      <c r="T31" s="31">
        <f>SUM(T26:T30)</f>
        <v>2379349.38</v>
      </c>
      <c r="U31" s="15"/>
      <c r="V31" s="32">
        <f>IF(T$12=0,0,T31/T$12)</f>
        <v>0</v>
      </c>
      <c r="W31" s="17"/>
      <c r="X31" s="31">
        <f>+P31-T31</f>
        <v>-1001000.2799999998</v>
      </c>
      <c r="Y31" s="17"/>
      <c r="Z31" s="32">
        <f>IF(T31=0,0,X31/T31)</f>
        <v>-0.42070336051278012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6">
        <v>44663.03859679398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7" t="s">
        <v>297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8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A49AB-E149-227B-C81A-C568D0A0955E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278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51E31-37B3-841B-72F8-F0D7DE5FBAA5}">
  <sheetPr>
    <tabColor rgb="FFFFC00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299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256640.54000000004</v>
      </c>
      <c r="E18" s="23"/>
      <c r="F18" s="35">
        <f t="shared" ref="F18:F49" si="0">IF(D$12=0,0,D18/D$12)</f>
        <v>0</v>
      </c>
      <c r="G18" s="23"/>
      <c r="H18" s="23" cm="1">
        <f t="array" ref="H18">SUM(OSRRefH22x_0)</f>
        <v>225320.12000000008</v>
      </c>
      <c r="I18" s="23"/>
      <c r="J18" s="35">
        <f t="shared" ref="J18:J49" si="1">IF(H$12=0,0,H18/H$12)</f>
        <v>0</v>
      </c>
      <c r="K18" s="5"/>
      <c r="L18" s="23">
        <f t="shared" ref="L18:L49" si="2">+D18-H18</f>
        <v>31320.419999999955</v>
      </c>
      <c r="M18" s="5"/>
      <c r="N18" s="35">
        <f t="shared" ref="N18:N49" si="3">IF(H18=0,0,L18/H18)</f>
        <v>0.13900409781425618</v>
      </c>
      <c r="O18" s="11"/>
      <c r="P18" s="23" cm="1">
        <f t="array" ref="P18">SUM(OSRRefP22x_0)</f>
        <v>2209677.14</v>
      </c>
      <c r="Q18" s="23"/>
      <c r="R18" s="35">
        <f t="shared" ref="R18:R49" si="4">IF(P$12=0,0,P18/P$12)</f>
        <v>0</v>
      </c>
      <c r="S18" s="23"/>
      <c r="T18" s="23" cm="1">
        <f t="array" ref="T18">SUM(OSRRefT22x_0)</f>
        <v>1641550.3499999999</v>
      </c>
      <c r="U18" s="23"/>
      <c r="V18" s="35">
        <f t="shared" ref="V18:V49" si="5">IF(T$12=0,0,T18/T$12)</f>
        <v>0</v>
      </c>
      <c r="W18" s="5"/>
      <c r="X18" s="23">
        <f t="shared" ref="X18:X49" si="6">+P18-T18</f>
        <v>568126.79000000027</v>
      </c>
      <c r="Y18" s="5"/>
      <c r="Z18" s="35">
        <f t="shared" ref="Z18:Z49" si="7">IF(T18=0,0,X18/T18)</f>
        <v>0.34609160175927611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78300.220000000016</v>
      </c>
      <c r="E19" s="2"/>
      <c r="F19" s="6">
        <f t="shared" si="0"/>
        <v>0</v>
      </c>
      <c r="G19" s="2"/>
      <c r="H19" s="2">
        <f>SUM(OSRRefH22_0x_0)</f>
        <v>77919.67</v>
      </c>
      <c r="I19" s="2"/>
      <c r="J19" s="6">
        <f t="shared" si="1"/>
        <v>0</v>
      </c>
      <c r="K19" s="2"/>
      <c r="L19" s="2">
        <f t="shared" si="2"/>
        <v>380.55000000001746</v>
      </c>
      <c r="M19" s="2"/>
      <c r="N19" s="6">
        <f t="shared" si="3"/>
        <v>4.8838759199059424E-3</v>
      </c>
      <c r="O19" s="14"/>
      <c r="P19" s="2">
        <f>SUM(OSRRefP22_0x_0)</f>
        <v>774215.75</v>
      </c>
      <c r="Q19" s="2"/>
      <c r="R19" s="6">
        <f t="shared" si="4"/>
        <v>0</v>
      </c>
      <c r="S19" s="2"/>
      <c r="T19" s="2">
        <f>SUM(OSRRefT22_0x_0)</f>
        <v>339910.97999999992</v>
      </c>
      <c r="U19" s="2"/>
      <c r="V19" s="6">
        <f t="shared" si="5"/>
        <v>0</v>
      </c>
      <c r="W19" s="2"/>
      <c r="X19" s="2">
        <f t="shared" si="6"/>
        <v>434304.77000000008</v>
      </c>
      <c r="Y19" s="2"/>
      <c r="Z19" s="6">
        <f t="shared" si="7"/>
        <v>1.2777015029052612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8137.27</v>
      </c>
      <c r="E20" s="3"/>
      <c r="F20" s="7">
        <f t="shared" si="0"/>
        <v>0</v>
      </c>
      <c r="G20" s="3"/>
      <c r="H20" s="8">
        <v>6995.86</v>
      </c>
      <c r="I20" s="3"/>
      <c r="J20" s="7">
        <f t="shared" si="1"/>
        <v>0</v>
      </c>
      <c r="K20" s="3"/>
      <c r="L20" s="8">
        <f t="shared" si="2"/>
        <v>1141.4100000000008</v>
      </c>
      <c r="M20" s="3"/>
      <c r="N20" s="7">
        <f t="shared" si="3"/>
        <v>0.16315506599617499</v>
      </c>
      <c r="O20" s="12"/>
      <c r="P20" s="8">
        <v>73205.84</v>
      </c>
      <c r="Q20" s="3"/>
      <c r="R20" s="7">
        <f t="shared" si="4"/>
        <v>0</v>
      </c>
      <c r="S20" s="3"/>
      <c r="T20" s="8">
        <v>68910.179999999993</v>
      </c>
      <c r="U20" s="3"/>
      <c r="V20" s="7">
        <f t="shared" si="5"/>
        <v>0</v>
      </c>
      <c r="W20" s="3"/>
      <c r="X20" s="8">
        <f t="shared" si="6"/>
        <v>4295.6600000000035</v>
      </c>
      <c r="Y20" s="3"/>
      <c r="Z20" s="7">
        <f t="shared" si="7"/>
        <v>6.2337088656567202E-2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1564.25</v>
      </c>
      <c r="E21" s="3"/>
      <c r="F21" s="7">
        <f t="shared" si="0"/>
        <v>0</v>
      </c>
      <c r="G21" s="3"/>
      <c r="H21" s="8">
        <v>584.14</v>
      </c>
      <c r="I21" s="3"/>
      <c r="J21" s="7">
        <f t="shared" si="1"/>
        <v>0</v>
      </c>
      <c r="K21" s="3"/>
      <c r="L21" s="8">
        <f t="shared" si="2"/>
        <v>980.11</v>
      </c>
      <c r="M21" s="3"/>
      <c r="N21" s="7">
        <f t="shared" si="3"/>
        <v>1.6778683192385389</v>
      </c>
      <c r="O21" s="12"/>
      <c r="P21" s="8">
        <v>14624.05</v>
      </c>
      <c r="Q21" s="3"/>
      <c r="R21" s="7">
        <f t="shared" si="4"/>
        <v>0</v>
      </c>
      <c r="S21" s="3"/>
      <c r="T21" s="8">
        <v>5886.92</v>
      </c>
      <c r="U21" s="3"/>
      <c r="V21" s="7">
        <f t="shared" si="5"/>
        <v>0</v>
      </c>
      <c r="W21" s="3"/>
      <c r="X21" s="8">
        <f t="shared" si="6"/>
        <v>8737.1299999999992</v>
      </c>
      <c r="Y21" s="3"/>
      <c r="Z21" s="7">
        <f t="shared" si="7"/>
        <v>1.4841597983325745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20065.64</v>
      </c>
      <c r="E22" s="3"/>
      <c r="F22" s="7">
        <f t="shared" si="0"/>
        <v>0</v>
      </c>
      <c r="G22" s="3"/>
      <c r="H22" s="8">
        <v>22431.15</v>
      </c>
      <c r="I22" s="3"/>
      <c r="J22" s="7">
        <f t="shared" si="1"/>
        <v>0</v>
      </c>
      <c r="K22" s="3"/>
      <c r="L22" s="8">
        <f t="shared" si="2"/>
        <v>-2365.510000000002</v>
      </c>
      <c r="M22" s="3"/>
      <c r="N22" s="7">
        <f t="shared" si="3"/>
        <v>-0.10545647459002333</v>
      </c>
      <c r="O22" s="12"/>
      <c r="P22" s="8">
        <v>194993.66</v>
      </c>
      <c r="Q22" s="3"/>
      <c r="R22" s="7">
        <f t="shared" si="4"/>
        <v>0</v>
      </c>
      <c r="S22" s="3"/>
      <c r="T22" s="8">
        <v>205261.23</v>
      </c>
      <c r="U22" s="3"/>
      <c r="V22" s="7">
        <f t="shared" si="5"/>
        <v>0</v>
      </c>
      <c r="W22" s="3"/>
      <c r="X22" s="8">
        <f t="shared" si="6"/>
        <v>-10267.570000000007</v>
      </c>
      <c r="Y22" s="3"/>
      <c r="Z22" s="7">
        <f t="shared" si="7"/>
        <v>-5.0021964693478679E-2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277.2</v>
      </c>
      <c r="E23" s="3"/>
      <c r="F23" s="7">
        <f t="shared" si="0"/>
        <v>0</v>
      </c>
      <c r="G23" s="3"/>
      <c r="H23" s="8">
        <v>240.46</v>
      </c>
      <c r="I23" s="3"/>
      <c r="J23" s="7">
        <f t="shared" si="1"/>
        <v>0</v>
      </c>
      <c r="K23" s="3"/>
      <c r="L23" s="8">
        <f t="shared" si="2"/>
        <v>36.739999999999981</v>
      </c>
      <c r="M23" s="3"/>
      <c r="N23" s="7">
        <f t="shared" si="3"/>
        <v>0.15279048490393404</v>
      </c>
      <c r="O23" s="12"/>
      <c r="P23" s="8">
        <v>2594.11</v>
      </c>
      <c r="Q23" s="3"/>
      <c r="R23" s="7">
        <f t="shared" si="4"/>
        <v>0</v>
      </c>
      <c r="S23" s="3"/>
      <c r="T23" s="8">
        <v>2541.8200000000002</v>
      </c>
      <c r="U23" s="3"/>
      <c r="V23" s="7">
        <f t="shared" si="5"/>
        <v>0</v>
      </c>
      <c r="W23" s="3"/>
      <c r="X23" s="8">
        <f t="shared" si="6"/>
        <v>52.289999999999964</v>
      </c>
      <c r="Y23" s="3"/>
      <c r="Z23" s="7">
        <f t="shared" si="7"/>
        <v>2.0571873696799914E-2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8060.71</v>
      </c>
      <c r="E24" s="3"/>
      <c r="F24" s="7">
        <f t="shared" si="0"/>
        <v>0</v>
      </c>
      <c r="G24" s="3"/>
      <c r="H24" s="8">
        <v>7812.41</v>
      </c>
      <c r="I24" s="3"/>
      <c r="J24" s="7">
        <f t="shared" si="1"/>
        <v>0</v>
      </c>
      <c r="K24" s="3"/>
      <c r="L24" s="8">
        <f t="shared" si="2"/>
        <v>248.30000000000018</v>
      </c>
      <c r="M24" s="3"/>
      <c r="N24" s="7">
        <f t="shared" si="3"/>
        <v>3.1782766137465925E-2</v>
      </c>
      <c r="O24" s="12"/>
      <c r="P24" s="8">
        <v>73484.649999999994</v>
      </c>
      <c r="Q24" s="3"/>
      <c r="R24" s="7">
        <f t="shared" si="4"/>
        <v>0</v>
      </c>
      <c r="S24" s="3"/>
      <c r="T24" s="8">
        <v>82375.56</v>
      </c>
      <c r="U24" s="3"/>
      <c r="V24" s="7">
        <f t="shared" si="5"/>
        <v>0</v>
      </c>
      <c r="W24" s="3"/>
      <c r="X24" s="8">
        <f t="shared" si="6"/>
        <v>-8890.9100000000035</v>
      </c>
      <c r="Y24" s="3"/>
      <c r="Z24" s="7">
        <f t="shared" si="7"/>
        <v>-0.10793140586843966</v>
      </c>
    </row>
    <row r="25" spans="1:26" s="69" customFormat="1" ht="15" hidden="1" customHeight="1" outlineLevel="2" x14ac:dyDescent="0.3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2636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2636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5"/>
      <c r="B26" s="12" t="str">
        <f>CONCATENATE("          ","6117"," - ","RETIREMENT STAFF HOURLY")</f>
        <v xml:space="preserve">          6117 - RETIREMENT STAFF HOURLY</v>
      </c>
      <c r="C26" s="12"/>
      <c r="D26" s="8">
        <v>682.41</v>
      </c>
      <c r="E26" s="3"/>
      <c r="F26" s="7">
        <f t="shared" si="0"/>
        <v>0</v>
      </c>
      <c r="G26" s="3"/>
      <c r="H26" s="8">
        <v>775.13</v>
      </c>
      <c r="I26" s="3"/>
      <c r="J26" s="7">
        <f t="shared" si="1"/>
        <v>0</v>
      </c>
      <c r="K26" s="3"/>
      <c r="L26" s="8">
        <f t="shared" si="2"/>
        <v>-92.720000000000027</v>
      </c>
      <c r="M26" s="3"/>
      <c r="N26" s="7">
        <f t="shared" si="3"/>
        <v>-0.11961864461445181</v>
      </c>
      <c r="O26" s="12"/>
      <c r="P26" s="8">
        <v>9325</v>
      </c>
      <c r="Q26" s="3"/>
      <c r="R26" s="7">
        <f t="shared" si="4"/>
        <v>0</v>
      </c>
      <c r="S26" s="3"/>
      <c r="T26" s="8">
        <v>6551.99</v>
      </c>
      <c r="U26" s="3"/>
      <c r="V26" s="7">
        <f t="shared" si="5"/>
        <v>0</v>
      </c>
      <c r="W26" s="3"/>
      <c r="X26" s="8">
        <f t="shared" si="6"/>
        <v>2773.01</v>
      </c>
      <c r="Y26" s="3"/>
      <c r="Z26" s="7">
        <f t="shared" si="7"/>
        <v>0.42323172043913382</v>
      </c>
    </row>
    <row r="27" spans="1:26" s="69" customFormat="1" ht="15" hidden="1" customHeight="1" outlineLevel="2" x14ac:dyDescent="0.3">
      <c r="A27" s="25"/>
      <c r="B27" s="12" t="str">
        <f>CONCATENATE("          ","6118"," - ","VACATION")</f>
        <v xml:space="preserve">          6118 - VACATION</v>
      </c>
      <c r="C27" s="12"/>
      <c r="D27" s="8">
        <v>6292.04</v>
      </c>
      <c r="E27" s="3"/>
      <c r="F27" s="7">
        <f t="shared" si="0"/>
        <v>0</v>
      </c>
      <c r="G27" s="3"/>
      <c r="H27" s="8">
        <v>6386.63</v>
      </c>
      <c r="I27" s="3"/>
      <c r="J27" s="7">
        <f t="shared" si="1"/>
        <v>0</v>
      </c>
      <c r="K27" s="3"/>
      <c r="L27" s="8">
        <f t="shared" si="2"/>
        <v>-94.590000000000146</v>
      </c>
      <c r="M27" s="3"/>
      <c r="N27" s="7">
        <f t="shared" si="3"/>
        <v>-1.4810627827195272E-2</v>
      </c>
      <c r="O27" s="12"/>
      <c r="P27" s="8">
        <v>75020.52</v>
      </c>
      <c r="Q27" s="3"/>
      <c r="R27" s="7">
        <f t="shared" si="4"/>
        <v>0</v>
      </c>
      <c r="S27" s="3"/>
      <c r="T27" s="8">
        <v>56962.53</v>
      </c>
      <c r="U27" s="3"/>
      <c r="V27" s="7">
        <f t="shared" si="5"/>
        <v>0</v>
      </c>
      <c r="W27" s="3"/>
      <c r="X27" s="8">
        <f t="shared" si="6"/>
        <v>18057.990000000005</v>
      </c>
      <c r="Y27" s="3"/>
      <c r="Z27" s="7">
        <f t="shared" si="7"/>
        <v>0.31701523791165886</v>
      </c>
    </row>
    <row r="28" spans="1:26" s="69" customFormat="1" ht="15" hidden="1" customHeight="1" outlineLevel="2" x14ac:dyDescent="0.3">
      <c r="A28" s="25"/>
      <c r="B28" s="12" t="str">
        <f>CONCATENATE("          ","6119"," - ","SICK LEAVE")</f>
        <v xml:space="preserve">          6119 - SICK LEAVE</v>
      </c>
      <c r="C28" s="12"/>
      <c r="D28" s="8">
        <v>4588.54</v>
      </c>
      <c r="E28" s="3"/>
      <c r="F28" s="7">
        <f t="shared" si="0"/>
        <v>0</v>
      </c>
      <c r="G28" s="3"/>
      <c r="H28" s="8">
        <v>4114.22</v>
      </c>
      <c r="I28" s="3"/>
      <c r="J28" s="7">
        <f t="shared" si="1"/>
        <v>0</v>
      </c>
      <c r="K28" s="3"/>
      <c r="L28" s="8">
        <f t="shared" si="2"/>
        <v>474.31999999999971</v>
      </c>
      <c r="M28" s="3"/>
      <c r="N28" s="7">
        <f t="shared" si="3"/>
        <v>0.11528795251590816</v>
      </c>
      <c r="O28" s="12"/>
      <c r="P28" s="8">
        <v>69016.490000000005</v>
      </c>
      <c r="Q28" s="3"/>
      <c r="R28" s="7">
        <f t="shared" si="4"/>
        <v>0</v>
      </c>
      <c r="S28" s="3"/>
      <c r="T28" s="8">
        <v>38919.040000000001</v>
      </c>
      <c r="U28" s="3"/>
      <c r="V28" s="7">
        <f t="shared" si="5"/>
        <v>0</v>
      </c>
      <c r="W28" s="3"/>
      <c r="X28" s="8">
        <f t="shared" si="6"/>
        <v>30097.450000000004</v>
      </c>
      <c r="Y28" s="3"/>
      <c r="Z28" s="7">
        <f t="shared" si="7"/>
        <v>0.77333485101379695</v>
      </c>
    </row>
    <row r="29" spans="1:26" s="69" customFormat="1" ht="15" hidden="1" customHeight="1" outlineLevel="2" x14ac:dyDescent="0.3">
      <c r="A29" s="25"/>
      <c r="B29" s="12" t="str">
        <f>CONCATENATE("          ","6120"," - ","RETIREES HEALTH INSURANCE")</f>
        <v xml:space="preserve">          6120 - RETIREES HEALTH INSURANCE</v>
      </c>
      <c r="C29" s="12"/>
      <c r="D29" s="8">
        <v>26491.86</v>
      </c>
      <c r="E29" s="3"/>
      <c r="F29" s="7">
        <f t="shared" si="0"/>
        <v>0</v>
      </c>
      <c r="G29" s="3"/>
      <c r="H29" s="8">
        <v>28050.7</v>
      </c>
      <c r="I29" s="3"/>
      <c r="J29" s="7">
        <f t="shared" si="1"/>
        <v>0</v>
      </c>
      <c r="K29" s="3"/>
      <c r="L29" s="8">
        <f t="shared" si="2"/>
        <v>-1558.8400000000001</v>
      </c>
      <c r="M29" s="3"/>
      <c r="N29" s="7">
        <f t="shared" si="3"/>
        <v>-5.5572231709012612E-2</v>
      </c>
      <c r="O29" s="12"/>
      <c r="P29" s="8">
        <v>245191.94</v>
      </c>
      <c r="Q29" s="3"/>
      <c r="R29" s="7">
        <f t="shared" si="4"/>
        <v>0</v>
      </c>
      <c r="S29" s="3"/>
      <c r="T29" s="8">
        <v>-133017.22</v>
      </c>
      <c r="U29" s="3"/>
      <c r="V29" s="7">
        <f t="shared" si="5"/>
        <v>0</v>
      </c>
      <c r="W29" s="3"/>
      <c r="X29" s="8">
        <f t="shared" si="6"/>
        <v>378209.16000000003</v>
      </c>
      <c r="Y29" s="3"/>
      <c r="Z29" s="7">
        <f t="shared" si="7"/>
        <v>-2.8433097609467408</v>
      </c>
    </row>
    <row r="30" spans="1:26" s="69" customFormat="1" ht="15" hidden="1" customHeight="1" outlineLevel="2" x14ac:dyDescent="0.3">
      <c r="A30" s="25"/>
      <c r="B30" s="12" t="str">
        <f>CONCATENATE("          ","6156"," - ","EMPLOYEE MEALS")</f>
        <v xml:space="preserve">          6156 - EMPLOYEE MEALS</v>
      </c>
      <c r="C30" s="12"/>
      <c r="D30" s="8">
        <v>2140.3000000000002</v>
      </c>
      <c r="E30" s="3"/>
      <c r="F30" s="7">
        <f t="shared" si="0"/>
        <v>0</v>
      </c>
      <c r="G30" s="3"/>
      <c r="H30" s="8">
        <v>528.97</v>
      </c>
      <c r="I30" s="3"/>
      <c r="J30" s="7">
        <f t="shared" si="1"/>
        <v>0</v>
      </c>
      <c r="K30" s="3"/>
      <c r="L30" s="8">
        <f t="shared" si="2"/>
        <v>1611.3300000000002</v>
      </c>
      <c r="M30" s="3"/>
      <c r="N30" s="7">
        <f t="shared" si="3"/>
        <v>3.0461651889521146</v>
      </c>
      <c r="O30" s="12"/>
      <c r="P30" s="8">
        <v>14123.49</v>
      </c>
      <c r="Q30" s="3"/>
      <c r="R30" s="7">
        <f t="shared" si="4"/>
        <v>0</v>
      </c>
      <c r="S30" s="3"/>
      <c r="T30" s="8">
        <v>5518.93</v>
      </c>
      <c r="U30" s="3"/>
      <c r="V30" s="7">
        <f t="shared" si="5"/>
        <v>0</v>
      </c>
      <c r="W30" s="3"/>
      <c r="X30" s="8">
        <f t="shared" si="6"/>
        <v>8604.56</v>
      </c>
      <c r="Y30" s="3"/>
      <c r="Z30" s="7">
        <f t="shared" si="7"/>
        <v>1.559099318164934</v>
      </c>
    </row>
    <row r="31" spans="1:26" s="68" customFormat="1" ht="15" customHeight="1" outlineLevel="1" collapsed="1" x14ac:dyDescent="0.3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102628.98000000001</v>
      </c>
      <c r="E31" s="2"/>
      <c r="F31" s="6">
        <f t="shared" si="0"/>
        <v>0</v>
      </c>
      <c r="G31" s="2"/>
      <c r="H31" s="2">
        <f>SUM(OSRRefH22_1x_0)</f>
        <v>91072.549999999988</v>
      </c>
      <c r="I31" s="2"/>
      <c r="J31" s="6">
        <f t="shared" si="1"/>
        <v>0</v>
      </c>
      <c r="K31" s="2"/>
      <c r="L31" s="2">
        <f t="shared" si="2"/>
        <v>11556.430000000022</v>
      </c>
      <c r="M31" s="2"/>
      <c r="N31" s="6">
        <f t="shared" si="3"/>
        <v>0.12689257081304986</v>
      </c>
      <c r="O31" s="14"/>
      <c r="P31" s="2">
        <f>SUM(OSRRefP22_1x_0)</f>
        <v>931218.52</v>
      </c>
      <c r="Q31" s="2"/>
      <c r="R31" s="6">
        <f t="shared" si="4"/>
        <v>0</v>
      </c>
      <c r="S31" s="2"/>
      <c r="T31" s="2">
        <f>SUM(OSRRefT22_1x_0)</f>
        <v>836243.42</v>
      </c>
      <c r="U31" s="2"/>
      <c r="V31" s="6">
        <f t="shared" si="5"/>
        <v>0</v>
      </c>
      <c r="W31" s="2"/>
      <c r="X31" s="2">
        <f t="shared" si="6"/>
        <v>94975.099999999977</v>
      </c>
      <c r="Y31" s="2"/>
      <c r="Z31" s="6">
        <f t="shared" si="7"/>
        <v>0.1135735094932047</v>
      </c>
    </row>
    <row r="32" spans="1:26" s="69" customFormat="1" ht="15" hidden="1" customHeight="1" outlineLevel="2" x14ac:dyDescent="0.3">
      <c r="A32" s="25"/>
      <c r="B32" s="12" t="str">
        <f>CONCATENATE("          ","6001"," - ","ADMINISTRATIVE SALARIES")</f>
        <v xml:space="preserve">          6001 - ADMINISTRATIVE SALARIES</v>
      </c>
      <c r="C32" s="12"/>
      <c r="D32" s="8">
        <v>29328.66</v>
      </c>
      <c r="E32" s="3"/>
      <c r="F32" s="7">
        <f t="shared" si="0"/>
        <v>0</v>
      </c>
      <c r="G32" s="3"/>
      <c r="H32" s="8">
        <v>23690.23</v>
      </c>
      <c r="I32" s="3"/>
      <c r="J32" s="7">
        <f t="shared" si="1"/>
        <v>0</v>
      </c>
      <c r="K32" s="3"/>
      <c r="L32" s="8">
        <f t="shared" si="2"/>
        <v>5638.43</v>
      </c>
      <c r="M32" s="3"/>
      <c r="N32" s="7">
        <f t="shared" si="3"/>
        <v>0.23800655375654861</v>
      </c>
      <c r="O32" s="12"/>
      <c r="P32" s="8">
        <v>252002.86</v>
      </c>
      <c r="Q32" s="3"/>
      <c r="R32" s="7">
        <f t="shared" si="4"/>
        <v>0</v>
      </c>
      <c r="S32" s="3"/>
      <c r="T32" s="8">
        <v>224941.23</v>
      </c>
      <c r="U32" s="3"/>
      <c r="V32" s="7">
        <f t="shared" si="5"/>
        <v>0</v>
      </c>
      <c r="W32" s="3"/>
      <c r="X32" s="8">
        <f t="shared" si="6"/>
        <v>27061.629999999976</v>
      </c>
      <c r="Y32" s="3"/>
      <c r="Z32" s="7">
        <f t="shared" si="7"/>
        <v>0.12030533486457762</v>
      </c>
    </row>
    <row r="33" spans="1:26" s="69" customFormat="1" ht="15" hidden="1" customHeight="1" outlineLevel="2" x14ac:dyDescent="0.3">
      <c r="A33" s="25"/>
      <c r="B33" s="12" t="str">
        <f>CONCATENATE("          ","6002"," - ","STAFF SALARIES")</f>
        <v xml:space="preserve">          6002 - STAFF SALARIES</v>
      </c>
      <c r="C33" s="12"/>
      <c r="D33" s="8">
        <v>48032.53</v>
      </c>
      <c r="E33" s="3"/>
      <c r="F33" s="7">
        <f t="shared" si="0"/>
        <v>0</v>
      </c>
      <c r="G33" s="3"/>
      <c r="H33" s="8">
        <v>46843.35</v>
      </c>
      <c r="I33" s="3"/>
      <c r="J33" s="7">
        <f t="shared" si="1"/>
        <v>0</v>
      </c>
      <c r="K33" s="3"/>
      <c r="L33" s="8">
        <f t="shared" si="2"/>
        <v>1189.1800000000003</v>
      </c>
      <c r="M33" s="3"/>
      <c r="N33" s="7">
        <f t="shared" si="3"/>
        <v>2.5386314172662721E-2</v>
      </c>
      <c r="O33" s="12"/>
      <c r="P33" s="8">
        <v>455628.2</v>
      </c>
      <c r="Q33" s="3"/>
      <c r="R33" s="7">
        <f t="shared" si="4"/>
        <v>0</v>
      </c>
      <c r="S33" s="3"/>
      <c r="T33" s="8">
        <v>437076.21</v>
      </c>
      <c r="U33" s="3"/>
      <c r="V33" s="7">
        <f t="shared" si="5"/>
        <v>0</v>
      </c>
      <c r="W33" s="3"/>
      <c r="X33" s="8">
        <f t="shared" si="6"/>
        <v>18551.989999999991</v>
      </c>
      <c r="Y33" s="3"/>
      <c r="Z33" s="7">
        <f t="shared" si="7"/>
        <v>4.2445664109698376E-2</v>
      </c>
    </row>
    <row r="34" spans="1:26" s="69" customFormat="1" ht="15" hidden="1" customHeight="1" outlineLevel="2" x14ac:dyDescent="0.3">
      <c r="A34" s="25"/>
      <c r="B34" s="12" t="str">
        <f>CONCATENATE("          ","6004"," - ","STAFF HOURLY")</f>
        <v xml:space="preserve">          6004 - STAFF HOURLY</v>
      </c>
      <c r="C34" s="12"/>
      <c r="D34" s="8">
        <v>14716.39</v>
      </c>
      <c r="E34" s="3"/>
      <c r="F34" s="7">
        <f t="shared" si="0"/>
        <v>0</v>
      </c>
      <c r="G34" s="3"/>
      <c r="H34" s="8">
        <v>14154.51</v>
      </c>
      <c r="I34" s="3"/>
      <c r="J34" s="7">
        <f t="shared" si="1"/>
        <v>0</v>
      </c>
      <c r="K34" s="3"/>
      <c r="L34" s="8">
        <f t="shared" si="2"/>
        <v>561.8799999999992</v>
      </c>
      <c r="M34" s="3"/>
      <c r="N34" s="7">
        <f t="shared" si="3"/>
        <v>3.9696181641045804E-2</v>
      </c>
      <c r="O34" s="12"/>
      <c r="P34" s="8">
        <v>180799.57</v>
      </c>
      <c r="Q34" s="3"/>
      <c r="R34" s="7">
        <f t="shared" si="4"/>
        <v>0</v>
      </c>
      <c r="S34" s="3"/>
      <c r="T34" s="8">
        <v>154224.81</v>
      </c>
      <c r="U34" s="3"/>
      <c r="V34" s="7">
        <f t="shared" si="5"/>
        <v>0</v>
      </c>
      <c r="W34" s="3"/>
      <c r="X34" s="8">
        <f t="shared" si="6"/>
        <v>26574.760000000009</v>
      </c>
      <c r="Y34" s="3"/>
      <c r="Z34" s="7">
        <f t="shared" si="7"/>
        <v>0.17231183491164626</v>
      </c>
    </row>
    <row r="35" spans="1:26" s="69" customFormat="1" ht="15" hidden="1" customHeight="1" outlineLevel="2" x14ac:dyDescent="0.3">
      <c r="A35" s="25"/>
      <c r="B35" s="12" t="str">
        <f>CONCATENATE("          ","6005"," - ","TEMPORARY WAGES-HOURLY")</f>
        <v xml:space="preserve">          6005 - TEMPORARY WAGES-HOURLY</v>
      </c>
      <c r="C35" s="12"/>
      <c r="D35" s="8">
        <v>3917.32</v>
      </c>
      <c r="E35" s="3"/>
      <c r="F35" s="7">
        <f t="shared" si="0"/>
        <v>0</v>
      </c>
      <c r="G35" s="3"/>
      <c r="H35" s="8">
        <v>3704.26</v>
      </c>
      <c r="I35" s="3"/>
      <c r="J35" s="7">
        <f t="shared" si="1"/>
        <v>0</v>
      </c>
      <c r="K35" s="3"/>
      <c r="L35" s="8">
        <f t="shared" si="2"/>
        <v>213.05999999999995</v>
      </c>
      <c r="M35" s="3"/>
      <c r="N35" s="7">
        <f t="shared" si="3"/>
        <v>5.7517560862358458E-2</v>
      </c>
      <c r="O35" s="12"/>
      <c r="P35" s="8">
        <v>21216.87</v>
      </c>
      <c r="Q35" s="3"/>
      <c r="R35" s="7">
        <f t="shared" si="4"/>
        <v>0</v>
      </c>
      <c r="S35" s="3"/>
      <c r="T35" s="8">
        <v>47940.67</v>
      </c>
      <c r="U35" s="3"/>
      <c r="V35" s="7">
        <f t="shared" si="5"/>
        <v>0</v>
      </c>
      <c r="W35" s="3"/>
      <c r="X35" s="8">
        <f t="shared" si="6"/>
        <v>-26723.8</v>
      </c>
      <c r="Y35" s="3"/>
      <c r="Z35" s="7">
        <f t="shared" si="7"/>
        <v>-0.55743484602947768</v>
      </c>
    </row>
    <row r="36" spans="1:26" s="69" customFormat="1" ht="15" hidden="1" customHeight="1" outlineLevel="2" x14ac:dyDescent="0.3">
      <c r="A36" s="25"/>
      <c r="B36" s="12" t="str">
        <f>CONCATENATE("          ","6007"," - ","STUDENT HOURLY")</f>
        <v xml:space="preserve">          6007 - STUDENT HOURLY</v>
      </c>
      <c r="C36" s="12"/>
      <c r="D36" s="8">
        <v>6634.08</v>
      </c>
      <c r="E36" s="3"/>
      <c r="F36" s="7">
        <f t="shared" si="0"/>
        <v>0</v>
      </c>
      <c r="G36" s="3"/>
      <c r="H36" s="8">
        <v>1517</v>
      </c>
      <c r="I36" s="3"/>
      <c r="J36" s="7">
        <f t="shared" si="1"/>
        <v>0</v>
      </c>
      <c r="K36" s="3"/>
      <c r="L36" s="8">
        <f t="shared" si="2"/>
        <v>5117.08</v>
      </c>
      <c r="M36" s="3"/>
      <c r="N36" s="7">
        <f t="shared" si="3"/>
        <v>3.3731575477916942</v>
      </c>
      <c r="O36" s="12"/>
      <c r="P36" s="8">
        <v>10095.82</v>
      </c>
      <c r="Q36" s="3"/>
      <c r="R36" s="7">
        <f t="shared" si="4"/>
        <v>0</v>
      </c>
      <c r="S36" s="3"/>
      <c r="T36" s="8">
        <v>-39854.01</v>
      </c>
      <c r="U36" s="3"/>
      <c r="V36" s="7">
        <f t="shared" si="5"/>
        <v>0</v>
      </c>
      <c r="W36" s="3"/>
      <c r="X36" s="8">
        <f t="shared" si="6"/>
        <v>49949.83</v>
      </c>
      <c r="Y36" s="3"/>
      <c r="Z36" s="7">
        <f t="shared" si="7"/>
        <v>-1.2533200548702628</v>
      </c>
    </row>
    <row r="37" spans="1:26" s="69" customFormat="1" ht="15" hidden="1" customHeight="1" outlineLevel="2" x14ac:dyDescent="0.3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1163.2</v>
      </c>
      <c r="I37" s="3"/>
      <c r="J37" s="7">
        <f t="shared" si="1"/>
        <v>0</v>
      </c>
      <c r="K37" s="3"/>
      <c r="L37" s="8">
        <f t="shared" si="2"/>
        <v>-1163.2</v>
      </c>
      <c r="M37" s="3"/>
      <c r="N37" s="7">
        <f t="shared" si="3"/>
        <v>-1</v>
      </c>
      <c r="O37" s="12"/>
      <c r="P37" s="8">
        <v>11475.2</v>
      </c>
      <c r="Q37" s="3"/>
      <c r="R37" s="7">
        <f t="shared" si="4"/>
        <v>0</v>
      </c>
      <c r="S37" s="3"/>
      <c r="T37" s="8">
        <v>11914.51</v>
      </c>
      <c r="U37" s="3"/>
      <c r="V37" s="7">
        <f t="shared" si="5"/>
        <v>0</v>
      </c>
      <c r="W37" s="3"/>
      <c r="X37" s="8">
        <f t="shared" si="6"/>
        <v>-439.30999999999949</v>
      </c>
      <c r="Y37" s="3"/>
      <c r="Z37" s="7">
        <f t="shared" si="7"/>
        <v>-3.6871847856101467E-2</v>
      </c>
    </row>
    <row r="38" spans="1:26" s="68" customFormat="1" ht="15" customHeight="1" outlineLevel="1" collapsed="1" x14ac:dyDescent="0.3">
      <c r="A38" s="26"/>
      <c r="B38" s="14" t="str">
        <f>CONCATENATE("     ","Advertising/Promo                                 ")</f>
        <v xml:space="preserve">     Advertising/Promo                                 </v>
      </c>
      <c r="C38" s="14"/>
      <c r="D38" s="2">
        <f>SUM(OSRRefD22_2x_0)</f>
        <v>253.72</v>
      </c>
      <c r="E38" s="2"/>
      <c r="F38" s="6">
        <f t="shared" si="0"/>
        <v>0</v>
      </c>
      <c r="G38" s="2"/>
      <c r="H38" s="2">
        <f>SUM(OSRRefH22_2x_0)</f>
        <v>173.21</v>
      </c>
      <c r="I38" s="2"/>
      <c r="J38" s="6">
        <f t="shared" si="1"/>
        <v>0</v>
      </c>
      <c r="K38" s="2"/>
      <c r="L38" s="2">
        <f t="shared" si="2"/>
        <v>80.509999999999991</v>
      </c>
      <c r="M38" s="2"/>
      <c r="N38" s="6">
        <f t="shared" si="3"/>
        <v>0.46481150049073372</v>
      </c>
      <c r="O38" s="14"/>
      <c r="P38" s="2">
        <f>SUM(OSRRefP22_2x_0)</f>
        <v>4003.67</v>
      </c>
      <c r="Q38" s="2"/>
      <c r="R38" s="6">
        <f t="shared" si="4"/>
        <v>0</v>
      </c>
      <c r="S38" s="2"/>
      <c r="T38" s="2">
        <f>SUM(OSRRefT22_2x_0)</f>
        <v>1625.69</v>
      </c>
      <c r="U38" s="2"/>
      <c r="V38" s="6">
        <f t="shared" si="5"/>
        <v>0</v>
      </c>
      <c r="W38" s="2"/>
      <c r="X38" s="2">
        <f t="shared" si="6"/>
        <v>2377.98</v>
      </c>
      <c r="Y38" s="2"/>
      <c r="Z38" s="6">
        <f t="shared" si="7"/>
        <v>1.4627512010284864</v>
      </c>
    </row>
    <row r="39" spans="1:26" s="69" customFormat="1" ht="15" hidden="1" customHeight="1" outlineLevel="2" x14ac:dyDescent="0.3">
      <c r="A39" s="25"/>
      <c r="B39" s="12" t="str">
        <f>CONCATENATE("          ","6362"," - ","ADVERTISING EXPENSE")</f>
        <v xml:space="preserve">          6362 - ADVERTISING EXPENSE</v>
      </c>
      <c r="C39" s="12"/>
      <c r="D39" s="8">
        <v>253.72</v>
      </c>
      <c r="E39" s="3"/>
      <c r="F39" s="7">
        <f t="shared" si="0"/>
        <v>0</v>
      </c>
      <c r="G39" s="3"/>
      <c r="H39" s="8">
        <v>173.21</v>
      </c>
      <c r="I39" s="3"/>
      <c r="J39" s="7">
        <f t="shared" si="1"/>
        <v>0</v>
      </c>
      <c r="K39" s="3"/>
      <c r="L39" s="8">
        <f t="shared" si="2"/>
        <v>80.509999999999991</v>
      </c>
      <c r="M39" s="3"/>
      <c r="N39" s="7">
        <f t="shared" si="3"/>
        <v>0.46481150049073372</v>
      </c>
      <c r="O39" s="12"/>
      <c r="P39" s="8">
        <v>4003.67</v>
      </c>
      <c r="Q39" s="3"/>
      <c r="R39" s="7">
        <f t="shared" si="4"/>
        <v>0</v>
      </c>
      <c r="S39" s="3"/>
      <c r="T39" s="8">
        <v>1625.69</v>
      </c>
      <c r="U39" s="3"/>
      <c r="V39" s="7">
        <f t="shared" si="5"/>
        <v>0</v>
      </c>
      <c r="W39" s="3"/>
      <c r="X39" s="8">
        <f t="shared" si="6"/>
        <v>2377.98</v>
      </c>
      <c r="Y39" s="3"/>
      <c r="Z39" s="7">
        <f t="shared" si="7"/>
        <v>1.4627512010284864</v>
      </c>
    </row>
    <row r="40" spans="1:26" s="68" customFormat="1" ht="15" customHeight="1" outlineLevel="1" collapsed="1" x14ac:dyDescent="0.3">
      <c r="A40" s="26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SUM(OSRRefD22_3x_0)</f>
        <v>272.95</v>
      </c>
      <c r="E40" s="2"/>
      <c r="F40" s="6">
        <f t="shared" si="0"/>
        <v>0</v>
      </c>
      <c r="G40" s="2"/>
      <c r="H40" s="2">
        <f>SUM(OSRRefH22_3x_0)</f>
        <v>7</v>
      </c>
      <c r="I40" s="2"/>
      <c r="J40" s="6">
        <f t="shared" si="1"/>
        <v>0</v>
      </c>
      <c r="K40" s="2"/>
      <c r="L40" s="2">
        <f t="shared" si="2"/>
        <v>265.95</v>
      </c>
      <c r="M40" s="2"/>
      <c r="N40" s="6">
        <f t="shared" si="3"/>
        <v>37.99285714285714</v>
      </c>
      <c r="O40" s="14"/>
      <c r="P40" s="2">
        <f>SUM(OSRRefP22_3x_0)</f>
        <v>9808.7800000000007</v>
      </c>
      <c r="Q40" s="2"/>
      <c r="R40" s="6">
        <f t="shared" si="4"/>
        <v>0</v>
      </c>
      <c r="S40" s="2"/>
      <c r="T40" s="2">
        <f>SUM(OSRRefT22_3x_0)</f>
        <v>5125.54</v>
      </c>
      <c r="U40" s="2"/>
      <c r="V40" s="6">
        <f t="shared" si="5"/>
        <v>0</v>
      </c>
      <c r="W40" s="2"/>
      <c r="X40" s="2">
        <f t="shared" si="6"/>
        <v>4683.2400000000007</v>
      </c>
      <c r="Y40" s="2"/>
      <c r="Z40" s="6">
        <f t="shared" si="7"/>
        <v>0.91370665334774492</v>
      </c>
    </row>
    <row r="41" spans="1:26" s="69" customFormat="1" ht="15" hidden="1" customHeight="1" outlineLevel="2" x14ac:dyDescent="0.3">
      <c r="A41" s="25"/>
      <c r="B41" s="12" t="str">
        <f>CONCATENATE("          ","6381"," - ","BANK/CREDIT CARD FEES")</f>
        <v xml:space="preserve">          6381 - BANK/CREDIT CARD FEES</v>
      </c>
      <c r="C41" s="12"/>
      <c r="D41" s="8">
        <v>272.95</v>
      </c>
      <c r="E41" s="3"/>
      <c r="F41" s="7">
        <f t="shared" si="0"/>
        <v>0</v>
      </c>
      <c r="G41" s="3"/>
      <c r="H41" s="8">
        <v>7</v>
      </c>
      <c r="I41" s="3"/>
      <c r="J41" s="7">
        <f t="shared" si="1"/>
        <v>0</v>
      </c>
      <c r="K41" s="3"/>
      <c r="L41" s="8">
        <f t="shared" si="2"/>
        <v>265.95</v>
      </c>
      <c r="M41" s="3"/>
      <c r="N41" s="7">
        <f t="shared" si="3"/>
        <v>37.99285714285714</v>
      </c>
      <c r="O41" s="12"/>
      <c r="P41" s="8">
        <v>9808.7800000000007</v>
      </c>
      <c r="Q41" s="3"/>
      <c r="R41" s="7">
        <f t="shared" si="4"/>
        <v>0</v>
      </c>
      <c r="S41" s="3"/>
      <c r="T41" s="8">
        <v>5125.54</v>
      </c>
      <c r="U41" s="3"/>
      <c r="V41" s="7">
        <f t="shared" si="5"/>
        <v>0</v>
      </c>
      <c r="W41" s="3"/>
      <c r="X41" s="8">
        <f t="shared" si="6"/>
        <v>4683.2400000000007</v>
      </c>
      <c r="Y41" s="3"/>
      <c r="Z41" s="7">
        <f t="shared" si="7"/>
        <v>0.91370665334774492</v>
      </c>
    </row>
    <row r="42" spans="1:26" s="68" customFormat="1" ht="15" customHeight="1" outlineLevel="1" collapsed="1" x14ac:dyDescent="0.3">
      <c r="A42" s="26"/>
      <c r="B42" s="14" t="str">
        <f>CONCATENATE("     ","Board                                             ")</f>
        <v xml:space="preserve">     Board                                             </v>
      </c>
      <c r="C42" s="14"/>
      <c r="D42" s="2">
        <f>SUM(OSRRefD22_4x_0)</f>
        <v>4257.28</v>
      </c>
      <c r="E42" s="2"/>
      <c r="F42" s="6">
        <f t="shared" si="0"/>
        <v>0</v>
      </c>
      <c r="G42" s="2"/>
      <c r="H42" s="2">
        <f>SUM(OSRRefH22_4x_0)</f>
        <v>685.41</v>
      </c>
      <c r="I42" s="2"/>
      <c r="J42" s="6">
        <f t="shared" si="1"/>
        <v>0</v>
      </c>
      <c r="K42" s="2"/>
      <c r="L42" s="2">
        <f t="shared" si="2"/>
        <v>3571.87</v>
      </c>
      <c r="M42" s="2"/>
      <c r="N42" s="6">
        <f t="shared" si="3"/>
        <v>5.2112895930902674</v>
      </c>
      <c r="O42" s="14"/>
      <c r="P42" s="2">
        <f>SUM(OSRRefP22_4x_0)</f>
        <v>14343.02</v>
      </c>
      <c r="Q42" s="2"/>
      <c r="R42" s="6">
        <f t="shared" si="4"/>
        <v>0</v>
      </c>
      <c r="S42" s="2"/>
      <c r="T42" s="2">
        <f>SUM(OSRRefT22_4x_0)</f>
        <v>10832.16</v>
      </c>
      <c r="U42" s="2"/>
      <c r="V42" s="6">
        <f t="shared" si="5"/>
        <v>0</v>
      </c>
      <c r="W42" s="2"/>
      <c r="X42" s="2">
        <f t="shared" si="6"/>
        <v>3510.8600000000006</v>
      </c>
      <c r="Y42" s="2"/>
      <c r="Z42" s="6">
        <f t="shared" si="7"/>
        <v>0.3241144887077001</v>
      </c>
    </row>
    <row r="43" spans="1:26" s="69" customFormat="1" ht="15" hidden="1" customHeight="1" outlineLevel="2" x14ac:dyDescent="0.3">
      <c r="A43" s="25"/>
      <c r="B43" s="12" t="str">
        <f>CONCATENATE("          ","6397"," - ","BOARD EXPENSES")</f>
        <v xml:space="preserve">          6397 - BOARD EXPENSES</v>
      </c>
      <c r="C43" s="12"/>
      <c r="D43" s="8">
        <v>4257.28</v>
      </c>
      <c r="E43" s="3"/>
      <c r="F43" s="7">
        <f t="shared" si="0"/>
        <v>0</v>
      </c>
      <c r="G43" s="3"/>
      <c r="H43" s="8">
        <v>685.41</v>
      </c>
      <c r="I43" s="3"/>
      <c r="J43" s="7">
        <f t="shared" si="1"/>
        <v>0</v>
      </c>
      <c r="K43" s="3"/>
      <c r="L43" s="8">
        <f t="shared" si="2"/>
        <v>3571.87</v>
      </c>
      <c r="M43" s="3"/>
      <c r="N43" s="7">
        <f t="shared" si="3"/>
        <v>5.2112895930902674</v>
      </c>
      <c r="O43" s="12"/>
      <c r="P43" s="8">
        <v>14343.02</v>
      </c>
      <c r="Q43" s="3"/>
      <c r="R43" s="7">
        <f t="shared" si="4"/>
        <v>0</v>
      </c>
      <c r="S43" s="3"/>
      <c r="T43" s="8">
        <v>10832.16</v>
      </c>
      <c r="U43" s="3"/>
      <c r="V43" s="7">
        <f t="shared" si="5"/>
        <v>0</v>
      </c>
      <c r="W43" s="3"/>
      <c r="X43" s="8">
        <f t="shared" si="6"/>
        <v>3510.8600000000006</v>
      </c>
      <c r="Y43" s="3"/>
      <c r="Z43" s="7">
        <f t="shared" si="7"/>
        <v>0.3241144887077001</v>
      </c>
    </row>
    <row r="44" spans="1:26" s="68" customFormat="1" ht="15" customHeight="1" outlineLevel="1" collapsed="1" x14ac:dyDescent="0.3">
      <c r="A44" s="26"/>
      <c r="B44" s="14" t="str">
        <f>CONCATENATE("     ","Depreciation                                      ")</f>
        <v xml:space="preserve">     Depreciation                                      </v>
      </c>
      <c r="C44" s="14"/>
      <c r="D44" s="2">
        <f>SUM(OSRRefD22_5x_0)</f>
        <v>2455.7600000000002</v>
      </c>
      <c r="E44" s="2"/>
      <c r="F44" s="6">
        <f t="shared" si="0"/>
        <v>0</v>
      </c>
      <c r="G44" s="2"/>
      <c r="H44" s="2">
        <f>SUM(OSRRefH22_5x_0)</f>
        <v>6867.78</v>
      </c>
      <c r="I44" s="2"/>
      <c r="J44" s="6">
        <f t="shared" si="1"/>
        <v>0</v>
      </c>
      <c r="K44" s="2"/>
      <c r="L44" s="2">
        <f t="shared" si="2"/>
        <v>-4412.0199999999995</v>
      </c>
      <c r="M44" s="2"/>
      <c r="N44" s="6">
        <f t="shared" si="3"/>
        <v>-0.64242302461639711</v>
      </c>
      <c r="O44" s="14"/>
      <c r="P44" s="2">
        <f>SUM(OSRRefP22_5x_0)</f>
        <v>43445.279999999999</v>
      </c>
      <c r="Q44" s="2"/>
      <c r="R44" s="6">
        <f t="shared" si="4"/>
        <v>0</v>
      </c>
      <c r="S44" s="2"/>
      <c r="T44" s="2">
        <f>SUM(OSRRefT22_5x_0)</f>
        <v>65279.48</v>
      </c>
      <c r="U44" s="2"/>
      <c r="V44" s="6">
        <f t="shared" si="5"/>
        <v>0</v>
      </c>
      <c r="W44" s="2"/>
      <c r="X44" s="2">
        <f t="shared" si="6"/>
        <v>-21834.200000000004</v>
      </c>
      <c r="Y44" s="2"/>
      <c r="Z44" s="6">
        <f t="shared" si="7"/>
        <v>-0.33447263979431213</v>
      </c>
    </row>
    <row r="45" spans="1:26" s="69" customFormat="1" ht="15" hidden="1" customHeight="1" outlineLevel="2" x14ac:dyDescent="0.3">
      <c r="A45" s="25"/>
      <c r="B45" s="12" t="str">
        <f>CONCATENATE("          ","6322"," - ","EQUIPMENT DEPRECIATION EXPENSE")</f>
        <v xml:space="preserve">          6322 - EQUIPMENT DEPRECIATION EXPENSE</v>
      </c>
      <c r="C45" s="12"/>
      <c r="D45" s="8">
        <v>2455.7600000000002</v>
      </c>
      <c r="E45" s="3"/>
      <c r="F45" s="7">
        <f t="shared" si="0"/>
        <v>0</v>
      </c>
      <c r="G45" s="3"/>
      <c r="H45" s="8">
        <v>6867.78</v>
      </c>
      <c r="I45" s="3"/>
      <c r="J45" s="7">
        <f t="shared" si="1"/>
        <v>0</v>
      </c>
      <c r="K45" s="3"/>
      <c r="L45" s="8">
        <f t="shared" si="2"/>
        <v>-4412.0199999999995</v>
      </c>
      <c r="M45" s="3"/>
      <c r="N45" s="7">
        <f t="shared" si="3"/>
        <v>-0.64242302461639711</v>
      </c>
      <c r="O45" s="12"/>
      <c r="P45" s="8">
        <v>43445.279999999999</v>
      </c>
      <c r="Q45" s="3"/>
      <c r="R45" s="7">
        <f t="shared" si="4"/>
        <v>0</v>
      </c>
      <c r="S45" s="3"/>
      <c r="T45" s="8">
        <v>65279.48</v>
      </c>
      <c r="U45" s="3"/>
      <c r="V45" s="7">
        <f t="shared" si="5"/>
        <v>0</v>
      </c>
      <c r="W45" s="3"/>
      <c r="X45" s="8">
        <f t="shared" si="6"/>
        <v>-21834.200000000004</v>
      </c>
      <c r="Y45" s="3"/>
      <c r="Z45" s="7">
        <f t="shared" si="7"/>
        <v>-0.33447263979431213</v>
      </c>
    </row>
    <row r="46" spans="1:26" s="68" customFormat="1" ht="15" customHeight="1" outlineLevel="1" collapsed="1" x14ac:dyDescent="0.3">
      <c r="A46" s="26"/>
      <c r="B46" s="14" t="str">
        <f>CONCATENATE("     ","Donations                                         ")</f>
        <v xml:space="preserve">     Donations              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25300</v>
      </c>
      <c r="Q46" s="2"/>
      <c r="R46" s="6">
        <f t="shared" si="4"/>
        <v>0</v>
      </c>
      <c r="S46" s="2"/>
      <c r="T46" s="2">
        <f>SUM(OSRRefT22_6x_0)</f>
        <v>25000</v>
      </c>
      <c r="U46" s="2"/>
      <c r="V46" s="6">
        <f t="shared" si="5"/>
        <v>0</v>
      </c>
      <c r="W46" s="2"/>
      <c r="X46" s="2">
        <f t="shared" si="6"/>
        <v>300</v>
      </c>
      <c r="Y46" s="2"/>
      <c r="Z46" s="6">
        <f t="shared" si="7"/>
        <v>1.2E-2</v>
      </c>
    </row>
    <row r="47" spans="1:26" s="69" customFormat="1" ht="15" hidden="1" customHeight="1" outlineLevel="2" x14ac:dyDescent="0.3">
      <c r="A47" s="25"/>
      <c r="B47" s="12" t="str">
        <f>CONCATENATE("          ","6399"," - ","DONATION-ON CAMPUS")</f>
        <v xml:space="preserve">          6399 - DONATION-ON CAMPUS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25300</v>
      </c>
      <c r="Q47" s="3"/>
      <c r="R47" s="7">
        <f t="shared" si="4"/>
        <v>0</v>
      </c>
      <c r="S47" s="3"/>
      <c r="T47" s="8">
        <v>25000</v>
      </c>
      <c r="U47" s="3"/>
      <c r="V47" s="7">
        <f t="shared" si="5"/>
        <v>0</v>
      </c>
      <c r="W47" s="3"/>
      <c r="X47" s="8">
        <f t="shared" si="6"/>
        <v>300</v>
      </c>
      <c r="Y47" s="3"/>
      <c r="Z47" s="7">
        <f t="shared" si="7"/>
        <v>1.2E-2</v>
      </c>
    </row>
    <row r="48" spans="1:26" s="68" customFormat="1" ht="15" customHeight="1" outlineLevel="1" collapsed="1" x14ac:dyDescent="0.3">
      <c r="A48" s="26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SUM(OSRRefD22_7x_0)</f>
        <v>114.87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114.87</v>
      </c>
      <c r="M48" s="2"/>
      <c r="N48" s="6">
        <f t="shared" si="3"/>
        <v>0</v>
      </c>
      <c r="O48" s="14"/>
      <c r="P48" s="2">
        <f>SUM(OSRRefP22_7x_0)</f>
        <v>758.47</v>
      </c>
      <c r="Q48" s="2"/>
      <c r="R48" s="6">
        <f t="shared" si="4"/>
        <v>0</v>
      </c>
      <c r="S48" s="2"/>
      <c r="T48" s="2">
        <f>SUM(OSRRefT22_7x_0)</f>
        <v>81.56</v>
      </c>
      <c r="U48" s="2"/>
      <c r="V48" s="6">
        <f t="shared" si="5"/>
        <v>0</v>
      </c>
      <c r="W48" s="2"/>
      <c r="X48" s="2">
        <f t="shared" si="6"/>
        <v>676.91000000000008</v>
      </c>
      <c r="Y48" s="2"/>
      <c r="Z48" s="6">
        <f t="shared" si="7"/>
        <v>8.2995340853359494</v>
      </c>
    </row>
    <row r="49" spans="1:26" s="69" customFormat="1" ht="15" hidden="1" customHeight="1" outlineLevel="2" x14ac:dyDescent="0.3">
      <c r="A49" s="25"/>
      <c r="B49" s="12" t="str">
        <f>CONCATENATE("          ","6277"," - ","EMPLOYEE APPRECIATION")</f>
        <v xml:space="preserve">          6277 - EMPLOYEE APPRECIATION</v>
      </c>
      <c r="C49" s="12"/>
      <c r="D49" s="8">
        <v>114.87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114.87</v>
      </c>
      <c r="M49" s="3"/>
      <c r="N49" s="7">
        <f t="shared" si="3"/>
        <v>0</v>
      </c>
      <c r="O49" s="12"/>
      <c r="P49" s="8">
        <v>758.47</v>
      </c>
      <c r="Q49" s="3"/>
      <c r="R49" s="7">
        <f t="shared" si="4"/>
        <v>0</v>
      </c>
      <c r="S49" s="3"/>
      <c r="T49" s="8">
        <v>81.56</v>
      </c>
      <c r="U49" s="3"/>
      <c r="V49" s="7">
        <f t="shared" si="5"/>
        <v>0</v>
      </c>
      <c r="W49" s="3"/>
      <c r="X49" s="8">
        <f t="shared" si="6"/>
        <v>676.91000000000008</v>
      </c>
      <c r="Y49" s="3"/>
      <c r="Z49" s="7">
        <f t="shared" si="7"/>
        <v>8.2995340853359494</v>
      </c>
    </row>
    <row r="50" spans="1:26" s="68" customFormat="1" ht="15" customHeight="1" outlineLevel="1" collapsed="1" x14ac:dyDescent="0.3">
      <c r="A50" s="26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SUM(OSRRefD22_8x_0)</f>
        <v>208.97</v>
      </c>
      <c r="E50" s="2"/>
      <c r="F50" s="6">
        <f t="shared" ref="F50:F86" si="8">IF(D$12=0,0,D50/D$12)</f>
        <v>0</v>
      </c>
      <c r="G50" s="2"/>
      <c r="H50" s="2">
        <f>SUM(OSRRefH22_8x_0)</f>
        <v>300.23</v>
      </c>
      <c r="I50" s="2"/>
      <c r="J50" s="6">
        <f t="shared" ref="J50:J86" si="9">IF(H$12=0,0,H50/H$12)</f>
        <v>0</v>
      </c>
      <c r="K50" s="2"/>
      <c r="L50" s="2">
        <f t="shared" ref="L50:L86" si="10">+D50-H50</f>
        <v>-91.260000000000019</v>
      </c>
      <c r="M50" s="2"/>
      <c r="N50" s="6">
        <f t="shared" ref="N50:N86" si="11">IF(H50=0,0,L50/H50)</f>
        <v>-0.30396695866502355</v>
      </c>
      <c r="O50" s="14"/>
      <c r="P50" s="2">
        <f>SUM(OSRRefP22_8x_0)</f>
        <v>1880.73</v>
      </c>
      <c r="Q50" s="2"/>
      <c r="R50" s="6">
        <f t="shared" ref="R50:R86" si="12">IF(P$12=0,0,P50/P$12)</f>
        <v>0</v>
      </c>
      <c r="S50" s="2"/>
      <c r="T50" s="2">
        <f>SUM(OSRRefT22_8x_0)</f>
        <v>1971.99</v>
      </c>
      <c r="U50" s="2"/>
      <c r="V50" s="6">
        <f t="shared" ref="V50:V86" si="13">IF(T$12=0,0,T50/T$12)</f>
        <v>0</v>
      </c>
      <c r="W50" s="2"/>
      <c r="X50" s="2">
        <f t="shared" ref="X50:X86" si="14">+P50-T50</f>
        <v>-91.259999999999991</v>
      </c>
      <c r="Y50" s="2"/>
      <c r="Z50" s="6">
        <f t="shared" ref="Z50:Z86" si="15">IF(T50=0,0,X50/T50)</f>
        <v>-4.6278125142622424E-2</v>
      </c>
    </row>
    <row r="51" spans="1:26" s="69" customFormat="1" ht="15" hidden="1" customHeight="1" outlineLevel="2" x14ac:dyDescent="0.3">
      <c r="A51" s="25"/>
      <c r="B51" s="12" t="str">
        <f>CONCATENATE("          ","6351"," - ","EQUIPMENT RENTAL")</f>
        <v xml:space="preserve">          6351 - EQUIPMENT RENTAL</v>
      </c>
      <c r="C51" s="12"/>
      <c r="D51" s="8">
        <v>208.97</v>
      </c>
      <c r="E51" s="3"/>
      <c r="F51" s="7">
        <f t="shared" si="8"/>
        <v>0</v>
      </c>
      <c r="G51" s="3"/>
      <c r="H51" s="8">
        <v>300.23</v>
      </c>
      <c r="I51" s="3"/>
      <c r="J51" s="7">
        <f t="shared" si="9"/>
        <v>0</v>
      </c>
      <c r="K51" s="3"/>
      <c r="L51" s="8">
        <f t="shared" si="10"/>
        <v>-91.260000000000019</v>
      </c>
      <c r="M51" s="3"/>
      <c r="N51" s="7">
        <f t="shared" si="11"/>
        <v>-0.30396695866502355</v>
      </c>
      <c r="O51" s="12"/>
      <c r="P51" s="8">
        <v>1880.73</v>
      </c>
      <c r="Q51" s="3"/>
      <c r="R51" s="7">
        <f t="shared" si="12"/>
        <v>0</v>
      </c>
      <c r="S51" s="3"/>
      <c r="T51" s="8">
        <v>1971.99</v>
      </c>
      <c r="U51" s="3"/>
      <c r="V51" s="7">
        <f t="shared" si="13"/>
        <v>0</v>
      </c>
      <c r="W51" s="3"/>
      <c r="X51" s="8">
        <f t="shared" si="14"/>
        <v>-91.259999999999991</v>
      </c>
      <c r="Y51" s="3"/>
      <c r="Z51" s="7">
        <f t="shared" si="15"/>
        <v>-4.6278125142622424E-2</v>
      </c>
    </row>
    <row r="52" spans="1:26" s="68" customFormat="1" ht="15" customHeight="1" outlineLevel="1" collapsed="1" x14ac:dyDescent="0.3">
      <c r="A52" s="26"/>
      <c r="B52" s="14" t="str">
        <f>CONCATENATE("     ","Freight out/Postage                               ")</f>
        <v xml:space="preserve">     Freight out/Postage                               </v>
      </c>
      <c r="C52" s="14"/>
      <c r="D52" s="2">
        <f>SUM(OSRRefD22_9x_0)</f>
        <v>186.9</v>
      </c>
      <c r="E52" s="2"/>
      <c r="F52" s="6">
        <f t="shared" si="8"/>
        <v>0</v>
      </c>
      <c r="G52" s="2"/>
      <c r="H52" s="2">
        <f>SUM(OSRRefH22_9x_0)</f>
        <v>91.82</v>
      </c>
      <c r="I52" s="2"/>
      <c r="J52" s="6">
        <f t="shared" si="9"/>
        <v>0</v>
      </c>
      <c r="K52" s="2"/>
      <c r="L52" s="2">
        <f t="shared" si="10"/>
        <v>95.080000000000013</v>
      </c>
      <c r="M52" s="2"/>
      <c r="N52" s="6">
        <f t="shared" si="11"/>
        <v>1.0355042474406448</v>
      </c>
      <c r="O52" s="14"/>
      <c r="P52" s="2">
        <f>SUM(OSRRefP22_9x_0)</f>
        <v>1497.61</v>
      </c>
      <c r="Q52" s="2"/>
      <c r="R52" s="6">
        <f t="shared" si="12"/>
        <v>0</v>
      </c>
      <c r="S52" s="2"/>
      <c r="T52" s="2">
        <f>SUM(OSRRefT22_9x_0)</f>
        <v>1004.1</v>
      </c>
      <c r="U52" s="2"/>
      <c r="V52" s="6">
        <f t="shared" si="13"/>
        <v>0</v>
      </c>
      <c r="W52" s="2"/>
      <c r="X52" s="2">
        <f t="shared" si="14"/>
        <v>493.50999999999988</v>
      </c>
      <c r="Y52" s="2"/>
      <c r="Z52" s="6">
        <f t="shared" si="15"/>
        <v>0.49149487102878187</v>
      </c>
    </row>
    <row r="53" spans="1:26" s="69" customFormat="1" ht="15" hidden="1" customHeight="1" outlineLevel="2" x14ac:dyDescent="0.3">
      <c r="A53" s="25"/>
      <c r="B53" s="12" t="str">
        <f>CONCATENATE("          ","6305"," - ","FREIGHT OUT")</f>
        <v xml:space="preserve">          6305 - FREIGHT OUT</v>
      </c>
      <c r="C53" s="12"/>
      <c r="D53" s="8"/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/>
      <c r="Q53" s="3"/>
      <c r="R53" s="7">
        <f t="shared" si="12"/>
        <v>0</v>
      </c>
      <c r="S53" s="3"/>
      <c r="T53" s="8">
        <v>5.41</v>
      </c>
      <c r="U53" s="3"/>
      <c r="V53" s="7">
        <f t="shared" si="13"/>
        <v>0</v>
      </c>
      <c r="W53" s="3"/>
      <c r="X53" s="8">
        <f t="shared" si="14"/>
        <v>-5.41</v>
      </c>
      <c r="Y53" s="3"/>
      <c r="Z53" s="7">
        <f t="shared" si="15"/>
        <v>-1</v>
      </c>
    </row>
    <row r="54" spans="1:26" s="69" customFormat="1" ht="15" hidden="1" customHeight="1" outlineLevel="2" x14ac:dyDescent="0.3">
      <c r="A54" s="25"/>
      <c r="B54" s="12" t="str">
        <f>CONCATENATE("          ","6307"," - ","POSTAGE")</f>
        <v xml:space="preserve">          6307 - POSTAGE</v>
      </c>
      <c r="C54" s="12"/>
      <c r="D54" s="8">
        <v>186.9</v>
      </c>
      <c r="E54" s="3"/>
      <c r="F54" s="7">
        <f t="shared" si="8"/>
        <v>0</v>
      </c>
      <c r="G54" s="3"/>
      <c r="H54" s="8">
        <v>91.82</v>
      </c>
      <c r="I54" s="3"/>
      <c r="J54" s="7">
        <f t="shared" si="9"/>
        <v>0</v>
      </c>
      <c r="K54" s="3"/>
      <c r="L54" s="8">
        <f t="shared" si="10"/>
        <v>95.080000000000013</v>
      </c>
      <c r="M54" s="3"/>
      <c r="N54" s="7">
        <f t="shared" si="11"/>
        <v>1.0355042474406448</v>
      </c>
      <c r="O54" s="12"/>
      <c r="P54" s="8">
        <v>1497.61</v>
      </c>
      <c r="Q54" s="3"/>
      <c r="R54" s="7">
        <f t="shared" si="12"/>
        <v>0</v>
      </c>
      <c r="S54" s="3"/>
      <c r="T54" s="8">
        <v>998.69</v>
      </c>
      <c r="U54" s="3"/>
      <c r="V54" s="7">
        <f t="shared" si="13"/>
        <v>0</v>
      </c>
      <c r="W54" s="3"/>
      <c r="X54" s="8">
        <f t="shared" si="14"/>
        <v>498.91999999999985</v>
      </c>
      <c r="Y54" s="3"/>
      <c r="Z54" s="7">
        <f t="shared" si="15"/>
        <v>0.49957444251970062</v>
      </c>
    </row>
    <row r="55" spans="1:26" s="68" customFormat="1" ht="15" customHeight="1" outlineLevel="1" collapsed="1" x14ac:dyDescent="0.3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SUM(OSRRefD22_10x_0)</f>
        <v>-653.15</v>
      </c>
      <c r="E55" s="2"/>
      <c r="F55" s="6">
        <f t="shared" si="8"/>
        <v>0</v>
      </c>
      <c r="G55" s="2"/>
      <c r="H55" s="2">
        <f>SUM(OSRRefH22_10x_0)</f>
        <v>52</v>
      </c>
      <c r="I55" s="2"/>
      <c r="J55" s="6">
        <f t="shared" si="9"/>
        <v>0</v>
      </c>
      <c r="K55" s="2"/>
      <c r="L55" s="2">
        <f t="shared" si="10"/>
        <v>-705.15</v>
      </c>
      <c r="M55" s="2"/>
      <c r="N55" s="6">
        <f t="shared" si="11"/>
        <v>-13.560576923076923</v>
      </c>
      <c r="O55" s="14"/>
      <c r="P55" s="2">
        <f>SUM(OSRRefP22_10x_0)</f>
        <v>1229.53</v>
      </c>
      <c r="Q55" s="2"/>
      <c r="R55" s="6">
        <f t="shared" si="12"/>
        <v>0</v>
      </c>
      <c r="S55" s="2"/>
      <c r="T55" s="2">
        <f>SUM(OSRRefT22_10x_0)</f>
        <v>-9.66</v>
      </c>
      <c r="U55" s="2"/>
      <c r="V55" s="6">
        <f t="shared" si="13"/>
        <v>0</v>
      </c>
      <c r="W55" s="2"/>
      <c r="X55" s="2">
        <f t="shared" si="14"/>
        <v>1239.19</v>
      </c>
      <c r="Y55" s="2"/>
      <c r="Z55" s="6">
        <f t="shared" si="15"/>
        <v>-128.28053830227745</v>
      </c>
    </row>
    <row r="56" spans="1:26" s="69" customFormat="1" ht="15" hidden="1" customHeight="1" outlineLevel="2" x14ac:dyDescent="0.3">
      <c r="A56" s="25"/>
      <c r="B56" s="12" t="str">
        <f>CONCATENATE("          ","6279"," - ","GENERAL EXPENSE")</f>
        <v xml:space="preserve">          6279 - GENERAL EXPENSE</v>
      </c>
      <c r="C56" s="12"/>
      <c r="D56" s="8">
        <v>-653.15</v>
      </c>
      <c r="E56" s="3"/>
      <c r="F56" s="7">
        <f t="shared" si="8"/>
        <v>0</v>
      </c>
      <c r="G56" s="3"/>
      <c r="H56" s="8">
        <v>52</v>
      </c>
      <c r="I56" s="3"/>
      <c r="J56" s="7">
        <f t="shared" si="9"/>
        <v>0</v>
      </c>
      <c r="K56" s="3"/>
      <c r="L56" s="8">
        <f t="shared" si="10"/>
        <v>-705.15</v>
      </c>
      <c r="M56" s="3"/>
      <c r="N56" s="7">
        <f t="shared" si="11"/>
        <v>-13.560576923076923</v>
      </c>
      <c r="O56" s="12"/>
      <c r="P56" s="8">
        <v>1229.53</v>
      </c>
      <c r="Q56" s="3"/>
      <c r="R56" s="7">
        <f t="shared" si="12"/>
        <v>0</v>
      </c>
      <c r="S56" s="3"/>
      <c r="T56" s="8">
        <v>-9.66</v>
      </c>
      <c r="U56" s="3"/>
      <c r="V56" s="7">
        <f t="shared" si="13"/>
        <v>0</v>
      </c>
      <c r="W56" s="3"/>
      <c r="X56" s="8">
        <f t="shared" si="14"/>
        <v>1239.19</v>
      </c>
      <c r="Y56" s="3"/>
      <c r="Z56" s="7">
        <f t="shared" si="15"/>
        <v>-128.28053830227745</v>
      </c>
    </row>
    <row r="57" spans="1:26" s="68" customFormat="1" ht="15" customHeight="1" outlineLevel="1" collapsed="1" x14ac:dyDescent="0.3">
      <c r="A57" s="26"/>
      <c r="B57" s="14" t="str">
        <f>CONCATENATE("     ","Insurance                                         ")</f>
        <v xml:space="preserve">     Insurance                                         </v>
      </c>
      <c r="C57" s="14"/>
      <c r="D57" s="2">
        <f>SUM(OSRRefD22_11x_0)</f>
        <v>535.05999999999995</v>
      </c>
      <c r="E57" s="2"/>
      <c r="F57" s="6">
        <f t="shared" si="8"/>
        <v>0</v>
      </c>
      <c r="G57" s="2"/>
      <c r="H57" s="2">
        <f>SUM(OSRRefH22_11x_0)</f>
        <v>393.67</v>
      </c>
      <c r="I57" s="2"/>
      <c r="J57" s="6">
        <f t="shared" si="9"/>
        <v>0</v>
      </c>
      <c r="K57" s="2"/>
      <c r="L57" s="2">
        <f t="shared" si="10"/>
        <v>141.38999999999993</v>
      </c>
      <c r="M57" s="2"/>
      <c r="N57" s="6">
        <f t="shared" si="11"/>
        <v>0.35915868620926139</v>
      </c>
      <c r="O57" s="14"/>
      <c r="P57" s="2">
        <f>SUM(OSRRefP22_11x_0)</f>
        <v>4815.54</v>
      </c>
      <c r="Q57" s="2"/>
      <c r="R57" s="6">
        <f t="shared" si="12"/>
        <v>0</v>
      </c>
      <c r="S57" s="2"/>
      <c r="T57" s="2">
        <f>SUM(OSRRefT22_11x_0)</f>
        <v>3543.03</v>
      </c>
      <c r="U57" s="2"/>
      <c r="V57" s="6">
        <f t="shared" si="13"/>
        <v>0</v>
      </c>
      <c r="W57" s="2"/>
      <c r="X57" s="2">
        <f t="shared" si="14"/>
        <v>1272.5099999999998</v>
      </c>
      <c r="Y57" s="2"/>
      <c r="Z57" s="6">
        <f t="shared" si="15"/>
        <v>0.3591586862092615</v>
      </c>
    </row>
    <row r="58" spans="1:26" s="69" customFormat="1" ht="15" hidden="1" customHeight="1" outlineLevel="2" x14ac:dyDescent="0.3">
      <c r="A58" s="25"/>
      <c r="B58" s="12" t="str">
        <f>CONCATENATE("          ","6314"," - ","LIABILITY INSURANCE")</f>
        <v xml:space="preserve">          6314 - LIABILITY INSURANCE</v>
      </c>
      <c r="C58" s="12"/>
      <c r="D58" s="8">
        <v>535.05999999999995</v>
      </c>
      <c r="E58" s="3"/>
      <c r="F58" s="7">
        <f t="shared" si="8"/>
        <v>0</v>
      </c>
      <c r="G58" s="3"/>
      <c r="H58" s="8">
        <v>393.67</v>
      </c>
      <c r="I58" s="3"/>
      <c r="J58" s="7">
        <f t="shared" si="9"/>
        <v>0</v>
      </c>
      <c r="K58" s="3"/>
      <c r="L58" s="8">
        <f t="shared" si="10"/>
        <v>141.38999999999993</v>
      </c>
      <c r="M58" s="3"/>
      <c r="N58" s="7">
        <f t="shared" si="11"/>
        <v>0.35915868620926139</v>
      </c>
      <c r="O58" s="12"/>
      <c r="P58" s="8">
        <v>4815.54</v>
      </c>
      <c r="Q58" s="3"/>
      <c r="R58" s="7">
        <f t="shared" si="12"/>
        <v>0</v>
      </c>
      <c r="S58" s="3"/>
      <c r="T58" s="8">
        <v>3543.03</v>
      </c>
      <c r="U58" s="3"/>
      <c r="V58" s="7">
        <f t="shared" si="13"/>
        <v>0</v>
      </c>
      <c r="W58" s="3"/>
      <c r="X58" s="8">
        <f t="shared" si="14"/>
        <v>1272.5099999999998</v>
      </c>
      <c r="Y58" s="3"/>
      <c r="Z58" s="7">
        <f t="shared" si="15"/>
        <v>0.3591586862092615</v>
      </c>
    </row>
    <row r="59" spans="1:26" s="68" customFormat="1" ht="15" customHeight="1" outlineLevel="1" collapsed="1" x14ac:dyDescent="0.3">
      <c r="A59" s="26"/>
      <c r="B59" s="14" t="str">
        <f>CONCATENATE("     ","Professional Services                             ")</f>
        <v xml:space="preserve">     Professional Services                             </v>
      </c>
      <c r="C59" s="14"/>
      <c r="D59" s="2">
        <f>SUM(OSRRefD22_12x_0)</f>
        <v>5617.33</v>
      </c>
      <c r="E59" s="2"/>
      <c r="F59" s="6">
        <f t="shared" si="8"/>
        <v>0</v>
      </c>
      <c r="G59" s="2"/>
      <c r="H59" s="2">
        <f>SUM(OSRRefH22_12x_0)</f>
        <v>0</v>
      </c>
      <c r="I59" s="2"/>
      <c r="J59" s="6">
        <f t="shared" si="9"/>
        <v>0</v>
      </c>
      <c r="K59" s="2"/>
      <c r="L59" s="2">
        <f t="shared" si="10"/>
        <v>5617.33</v>
      </c>
      <c r="M59" s="2"/>
      <c r="N59" s="6">
        <f t="shared" si="11"/>
        <v>0</v>
      </c>
      <c r="O59" s="14"/>
      <c r="P59" s="2">
        <f>SUM(OSRRefP22_12x_0)</f>
        <v>99214.26</v>
      </c>
      <c r="Q59" s="2"/>
      <c r="R59" s="6">
        <f t="shared" si="12"/>
        <v>0</v>
      </c>
      <c r="S59" s="2"/>
      <c r="T59" s="2">
        <f>SUM(OSRRefT22_12x_0)</f>
        <v>94181.37000000001</v>
      </c>
      <c r="U59" s="2"/>
      <c r="V59" s="6">
        <f t="shared" si="13"/>
        <v>0</v>
      </c>
      <c r="W59" s="2"/>
      <c r="X59" s="2">
        <f t="shared" si="14"/>
        <v>5032.8899999999849</v>
      </c>
      <c r="Y59" s="2"/>
      <c r="Z59" s="6">
        <f t="shared" si="15"/>
        <v>5.3438275531561968E-2</v>
      </c>
    </row>
    <row r="60" spans="1:26" s="69" customFormat="1" ht="15" hidden="1" customHeight="1" outlineLevel="2" x14ac:dyDescent="0.3">
      <c r="A60" s="25"/>
      <c r="B60" s="12" t="str">
        <f>CONCATENATE("          ","6331"," - ","INDIRECT COSTS-AUXILIARY ORGAN")</f>
        <v xml:space="preserve">          6331 - INDIRECT COSTS-AUXILIARY ORGAN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79513.25</v>
      </c>
      <c r="Q60" s="3"/>
      <c r="R60" s="7">
        <f t="shared" si="12"/>
        <v>0</v>
      </c>
      <c r="S60" s="3"/>
      <c r="T60" s="8">
        <v>80832.25</v>
      </c>
      <c r="U60" s="3"/>
      <c r="V60" s="7">
        <f t="shared" si="13"/>
        <v>0</v>
      </c>
      <c r="W60" s="3"/>
      <c r="X60" s="8">
        <f t="shared" si="14"/>
        <v>-1319</v>
      </c>
      <c r="Y60" s="3"/>
      <c r="Z60" s="7">
        <f t="shared" si="15"/>
        <v>-1.6317744464616535E-2</v>
      </c>
    </row>
    <row r="61" spans="1:26" s="69" customFormat="1" ht="15" hidden="1" customHeight="1" outlineLevel="2" x14ac:dyDescent="0.3">
      <c r="A61" s="25"/>
      <c r="B61" s="12" t="str">
        <f>CONCATENATE("          ","6334"," - ","LEGAL COUNCIL EXPENSE")</f>
        <v xml:space="preserve">          6334 - LEGAL COUNCIL EXPENSE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3455</v>
      </c>
      <c r="Q61" s="3"/>
      <c r="R61" s="7">
        <f t="shared" si="12"/>
        <v>0</v>
      </c>
      <c r="S61" s="3"/>
      <c r="T61" s="8">
        <v>6979.24</v>
      </c>
      <c r="U61" s="3"/>
      <c r="V61" s="7">
        <f t="shared" si="13"/>
        <v>0</v>
      </c>
      <c r="W61" s="3"/>
      <c r="X61" s="8">
        <f t="shared" si="14"/>
        <v>-3524.24</v>
      </c>
      <c r="Y61" s="3"/>
      <c r="Z61" s="7">
        <f t="shared" si="15"/>
        <v>-0.5049604254904545</v>
      </c>
    </row>
    <row r="62" spans="1:26" s="69" customFormat="1" ht="15" hidden="1" customHeight="1" outlineLevel="2" x14ac:dyDescent="0.3">
      <c r="A62" s="25"/>
      <c r="B62" s="12" t="str">
        <f>CONCATENATE("          ","6336"," - ","PROFESSIONAL SERVICES")</f>
        <v xml:space="preserve">          6336 - PROFESSIONAL SERVICES</v>
      </c>
      <c r="C62" s="12"/>
      <c r="D62" s="8">
        <v>5617.33</v>
      </c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5617.33</v>
      </c>
      <c r="M62" s="3"/>
      <c r="N62" s="7">
        <f t="shared" si="11"/>
        <v>0</v>
      </c>
      <c r="O62" s="12"/>
      <c r="P62" s="8">
        <v>16246.01</v>
      </c>
      <c r="Q62" s="3"/>
      <c r="R62" s="7">
        <f t="shared" si="12"/>
        <v>0</v>
      </c>
      <c r="S62" s="3"/>
      <c r="T62" s="8">
        <v>6369.88</v>
      </c>
      <c r="U62" s="3"/>
      <c r="V62" s="7">
        <f t="shared" si="13"/>
        <v>0</v>
      </c>
      <c r="W62" s="3"/>
      <c r="X62" s="8">
        <f t="shared" si="14"/>
        <v>9876.130000000001</v>
      </c>
      <c r="Y62" s="3"/>
      <c r="Z62" s="7">
        <f t="shared" si="15"/>
        <v>1.5504420805415489</v>
      </c>
    </row>
    <row r="63" spans="1:26" s="68" customFormat="1" ht="15" customHeight="1" outlineLevel="1" collapsed="1" x14ac:dyDescent="0.3">
      <c r="A63" s="26"/>
      <c r="B63" s="14" t="str">
        <f>CONCATENATE("     ","Repair and Maintenance                            ")</f>
        <v xml:space="preserve">     Repair and Maintenance                            </v>
      </c>
      <c r="C63" s="14"/>
      <c r="D63" s="2">
        <f>SUM(OSRRefD22_13x_0)</f>
        <v>53521.99</v>
      </c>
      <c r="E63" s="2"/>
      <c r="F63" s="6">
        <f t="shared" si="8"/>
        <v>0</v>
      </c>
      <c r="G63" s="2"/>
      <c r="H63" s="2">
        <f>SUM(OSRRefH22_13x_0)</f>
        <v>43851.63</v>
      </c>
      <c r="I63" s="2"/>
      <c r="J63" s="6">
        <f t="shared" si="9"/>
        <v>0</v>
      </c>
      <c r="K63" s="2"/>
      <c r="L63" s="2">
        <f t="shared" si="10"/>
        <v>9670.36</v>
      </c>
      <c r="M63" s="2"/>
      <c r="N63" s="6">
        <f t="shared" si="11"/>
        <v>0.22052452782256898</v>
      </c>
      <c r="O63" s="14"/>
      <c r="P63" s="2">
        <f>SUM(OSRRefP22_13x_0)</f>
        <v>219328.25</v>
      </c>
      <c r="Q63" s="2"/>
      <c r="R63" s="6">
        <f t="shared" si="12"/>
        <v>0</v>
      </c>
      <c r="S63" s="2"/>
      <c r="T63" s="2">
        <f>SUM(OSRRefT22_13x_0)</f>
        <v>222598.12</v>
      </c>
      <c r="U63" s="2"/>
      <c r="V63" s="6">
        <f t="shared" si="13"/>
        <v>0</v>
      </c>
      <c r="W63" s="2"/>
      <c r="X63" s="2">
        <f t="shared" si="14"/>
        <v>-3269.8699999999953</v>
      </c>
      <c r="Y63" s="2"/>
      <c r="Z63" s="6">
        <f t="shared" si="15"/>
        <v>-1.4689567009820189E-2</v>
      </c>
    </row>
    <row r="64" spans="1:26" s="69" customFormat="1" ht="15" hidden="1" customHeight="1" outlineLevel="2" x14ac:dyDescent="0.3">
      <c r="A64" s="25"/>
      <c r="B64" s="12" t="str">
        <f>CONCATENATE("          ","6371"," - ","COMPUTER SOFTWARE MAINTENANCE")</f>
        <v xml:space="preserve">          6371 - COMPUTER SOFTWARE MAINTENANCE</v>
      </c>
      <c r="C64" s="12"/>
      <c r="D64" s="8">
        <v>42960.2</v>
      </c>
      <c r="E64" s="3"/>
      <c r="F64" s="7">
        <f t="shared" si="8"/>
        <v>0</v>
      </c>
      <c r="G64" s="3"/>
      <c r="H64" s="8">
        <v>28902.76</v>
      </c>
      <c r="I64" s="3"/>
      <c r="J64" s="7">
        <f t="shared" si="9"/>
        <v>0</v>
      </c>
      <c r="K64" s="3"/>
      <c r="L64" s="8">
        <f t="shared" si="10"/>
        <v>14057.439999999999</v>
      </c>
      <c r="M64" s="3"/>
      <c r="N64" s="7">
        <f t="shared" si="11"/>
        <v>0.48637015980480752</v>
      </c>
      <c r="O64" s="12"/>
      <c r="P64" s="8">
        <v>97144.8</v>
      </c>
      <c r="Q64" s="3"/>
      <c r="R64" s="7">
        <f t="shared" si="12"/>
        <v>0</v>
      </c>
      <c r="S64" s="3"/>
      <c r="T64" s="8">
        <v>81288.509999999995</v>
      </c>
      <c r="U64" s="3"/>
      <c r="V64" s="7">
        <f t="shared" si="13"/>
        <v>0</v>
      </c>
      <c r="W64" s="3"/>
      <c r="X64" s="8">
        <f t="shared" si="14"/>
        <v>15856.290000000008</v>
      </c>
      <c r="Y64" s="3"/>
      <c r="Z64" s="7">
        <f t="shared" si="15"/>
        <v>0.19506188512989117</v>
      </c>
    </row>
    <row r="65" spans="1:26" s="69" customFormat="1" ht="15" hidden="1" customHeight="1" outlineLevel="2" x14ac:dyDescent="0.3">
      <c r="A65" s="25"/>
      <c r="B65" s="12" t="str">
        <f>CONCATENATE("          ","6372"," - ","COMPUTER HARDWARE MAINTENANCE")</f>
        <v xml:space="preserve">          6372 - COMPUTER HARDWARE MAINTENANCE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4760.47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4760.47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5"/>
      <c r="B66" s="12" t="str">
        <f>CONCATENATE("          ","6373"," - ","MAINTENANCE CONTRACTS")</f>
        <v xml:space="preserve">          6373 - MAINTENANCE CONTRACTS</v>
      </c>
      <c r="C66" s="12"/>
      <c r="D66" s="8">
        <v>10561.79</v>
      </c>
      <c r="E66" s="3"/>
      <c r="F66" s="7">
        <f t="shared" si="8"/>
        <v>0</v>
      </c>
      <c r="G66" s="3"/>
      <c r="H66" s="8">
        <v>14948.87</v>
      </c>
      <c r="I66" s="3"/>
      <c r="J66" s="7">
        <f t="shared" si="9"/>
        <v>0</v>
      </c>
      <c r="K66" s="3"/>
      <c r="L66" s="8">
        <f t="shared" si="10"/>
        <v>-4387.08</v>
      </c>
      <c r="M66" s="3"/>
      <c r="N66" s="7">
        <f t="shared" si="11"/>
        <v>-0.29347234941503936</v>
      </c>
      <c r="O66" s="12"/>
      <c r="P66" s="8">
        <v>115568.29</v>
      </c>
      <c r="Q66" s="3"/>
      <c r="R66" s="7">
        <f t="shared" si="12"/>
        <v>0</v>
      </c>
      <c r="S66" s="3"/>
      <c r="T66" s="8">
        <v>139012.29999999999</v>
      </c>
      <c r="U66" s="3"/>
      <c r="V66" s="7">
        <f t="shared" si="13"/>
        <v>0</v>
      </c>
      <c r="W66" s="3"/>
      <c r="X66" s="8">
        <f t="shared" si="14"/>
        <v>-23444.009999999995</v>
      </c>
      <c r="Y66" s="3"/>
      <c r="Z66" s="7">
        <f t="shared" si="15"/>
        <v>-0.16864701900479306</v>
      </c>
    </row>
    <row r="67" spans="1:26" s="69" customFormat="1" ht="15" hidden="1" customHeight="1" outlineLevel="2" x14ac:dyDescent="0.3">
      <c r="A67" s="25"/>
      <c r="B67" s="12" t="str">
        <f>CONCATENATE("          ","6375"," - ","OUTSIDE REPAIRS &amp; MAINTENANCE")</f>
        <v xml:space="preserve">          6375 - OUTSIDE REPAIRS &amp; MAINTENANCE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1854.69</v>
      </c>
      <c r="Q67" s="3"/>
      <c r="R67" s="7">
        <f t="shared" si="12"/>
        <v>0</v>
      </c>
      <c r="S67" s="3"/>
      <c r="T67" s="8">
        <v>2297.31</v>
      </c>
      <c r="U67" s="3"/>
      <c r="V67" s="7">
        <f t="shared" si="13"/>
        <v>0</v>
      </c>
      <c r="W67" s="3"/>
      <c r="X67" s="8">
        <f t="shared" si="14"/>
        <v>-442.61999999999989</v>
      </c>
      <c r="Y67" s="3"/>
      <c r="Z67" s="7">
        <f t="shared" si="15"/>
        <v>-0.19266881700771768</v>
      </c>
    </row>
    <row r="68" spans="1:26" s="68" customFormat="1" ht="15" customHeight="1" outlineLevel="1" collapsed="1" x14ac:dyDescent="0.3">
      <c r="A68" s="26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SUM(OSRRefD22_14x_0)</f>
        <v>1938.08</v>
      </c>
      <c r="E68" s="2"/>
      <c r="F68" s="6">
        <f t="shared" si="8"/>
        <v>0</v>
      </c>
      <c r="G68" s="2"/>
      <c r="H68" s="2">
        <f>SUM(OSRRefH22_14x_0)</f>
        <v>1251.32</v>
      </c>
      <c r="I68" s="2"/>
      <c r="J68" s="6">
        <f t="shared" si="9"/>
        <v>0</v>
      </c>
      <c r="K68" s="2"/>
      <c r="L68" s="2">
        <f t="shared" si="10"/>
        <v>686.76</v>
      </c>
      <c r="M68" s="2"/>
      <c r="N68" s="6">
        <f t="shared" si="11"/>
        <v>0.54882843717034813</v>
      </c>
      <c r="O68" s="14"/>
      <c r="P68" s="2">
        <f>SUM(OSRRefP22_14x_0)</f>
        <v>8104.68</v>
      </c>
      <c r="Q68" s="2"/>
      <c r="R68" s="6">
        <f t="shared" si="12"/>
        <v>0</v>
      </c>
      <c r="S68" s="2"/>
      <c r="T68" s="2">
        <f>SUM(OSRRefT22_14x_0)</f>
        <v>5580.34</v>
      </c>
      <c r="U68" s="2"/>
      <c r="V68" s="6">
        <f t="shared" si="13"/>
        <v>0</v>
      </c>
      <c r="W68" s="2"/>
      <c r="X68" s="2">
        <f t="shared" si="14"/>
        <v>2524.34</v>
      </c>
      <c r="Y68" s="2"/>
      <c r="Z68" s="6">
        <f t="shared" si="15"/>
        <v>0.45236311765949744</v>
      </c>
    </row>
    <row r="69" spans="1:26" s="69" customFormat="1" ht="15" hidden="1" customHeight="1" outlineLevel="2" x14ac:dyDescent="0.3">
      <c r="A69" s="25"/>
      <c r="B69" s="12" t="str">
        <f>CONCATENATE("          ","6281"," - ","STORAGE FEE")</f>
        <v xml:space="preserve">          6281 - STORAGE FEE</v>
      </c>
      <c r="C69" s="12"/>
      <c r="D69" s="8">
        <v>1938.08</v>
      </c>
      <c r="E69" s="3"/>
      <c r="F69" s="7">
        <f t="shared" si="8"/>
        <v>0</v>
      </c>
      <c r="G69" s="3"/>
      <c r="H69" s="8">
        <v>1251.32</v>
      </c>
      <c r="I69" s="3"/>
      <c r="J69" s="7">
        <f t="shared" si="9"/>
        <v>0</v>
      </c>
      <c r="K69" s="3"/>
      <c r="L69" s="8">
        <f t="shared" si="10"/>
        <v>686.76</v>
      </c>
      <c r="M69" s="3"/>
      <c r="N69" s="7">
        <f t="shared" si="11"/>
        <v>0.54882843717034813</v>
      </c>
      <c r="O69" s="12"/>
      <c r="P69" s="8">
        <v>8104.68</v>
      </c>
      <c r="Q69" s="3"/>
      <c r="R69" s="7">
        <f t="shared" si="12"/>
        <v>0</v>
      </c>
      <c r="S69" s="3"/>
      <c r="T69" s="8">
        <v>5580.34</v>
      </c>
      <c r="U69" s="3"/>
      <c r="V69" s="7">
        <f t="shared" si="13"/>
        <v>0</v>
      </c>
      <c r="W69" s="3"/>
      <c r="X69" s="8">
        <f t="shared" si="14"/>
        <v>2524.34</v>
      </c>
      <c r="Y69" s="3"/>
      <c r="Z69" s="7">
        <f t="shared" si="15"/>
        <v>0.45236311765949744</v>
      </c>
    </row>
    <row r="70" spans="1:26" s="68" customFormat="1" ht="15" customHeight="1" outlineLevel="1" collapsed="1" x14ac:dyDescent="0.3">
      <c r="A70" s="26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SUM(OSRRefD22_15x_0)</f>
        <v>775</v>
      </c>
      <c r="E70" s="2"/>
      <c r="F70" s="6">
        <f t="shared" si="8"/>
        <v>0</v>
      </c>
      <c r="G70" s="2"/>
      <c r="H70" s="2">
        <f>SUM(OSRRefH22_15x_0)</f>
        <v>0</v>
      </c>
      <c r="I70" s="2"/>
      <c r="J70" s="6">
        <f t="shared" si="9"/>
        <v>0</v>
      </c>
      <c r="K70" s="2"/>
      <c r="L70" s="2">
        <f t="shared" si="10"/>
        <v>775</v>
      </c>
      <c r="M70" s="2"/>
      <c r="N70" s="6">
        <f t="shared" si="11"/>
        <v>0</v>
      </c>
      <c r="O70" s="14"/>
      <c r="P70" s="2">
        <f>SUM(OSRRefP22_15x_0)</f>
        <v>4505.8999999999996</v>
      </c>
      <c r="Q70" s="2"/>
      <c r="R70" s="6">
        <f t="shared" si="12"/>
        <v>0</v>
      </c>
      <c r="S70" s="2"/>
      <c r="T70" s="2">
        <f>SUM(OSRRefT22_15x_0)</f>
        <v>3054.99</v>
      </c>
      <c r="U70" s="2"/>
      <c r="V70" s="6">
        <f t="shared" si="13"/>
        <v>0</v>
      </c>
      <c r="W70" s="2"/>
      <c r="X70" s="2">
        <f t="shared" si="14"/>
        <v>1450.9099999999999</v>
      </c>
      <c r="Y70" s="2"/>
      <c r="Z70" s="6">
        <f t="shared" si="15"/>
        <v>0.47493117817079594</v>
      </c>
    </row>
    <row r="71" spans="1:26" s="69" customFormat="1" ht="15" hidden="1" customHeight="1" outlineLevel="2" x14ac:dyDescent="0.3">
      <c r="A71" s="25"/>
      <c r="B71" s="12" t="str">
        <f>CONCATENATE("          ","6258"," - ","MEMBERSHIP DUES")</f>
        <v xml:space="preserve">          6258 - MEMBERSHIP DUES</v>
      </c>
      <c r="C71" s="12"/>
      <c r="D71" s="8">
        <v>775</v>
      </c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775</v>
      </c>
      <c r="M71" s="3"/>
      <c r="N71" s="7">
        <f t="shared" si="11"/>
        <v>0</v>
      </c>
      <c r="O71" s="12"/>
      <c r="P71" s="8">
        <v>3227</v>
      </c>
      <c r="Q71" s="3"/>
      <c r="R71" s="7">
        <f t="shared" si="12"/>
        <v>0</v>
      </c>
      <c r="S71" s="3"/>
      <c r="T71" s="8">
        <v>3054.99</v>
      </c>
      <c r="U71" s="3"/>
      <c r="V71" s="7">
        <f t="shared" si="13"/>
        <v>0</v>
      </c>
      <c r="W71" s="3"/>
      <c r="X71" s="8">
        <f t="shared" si="14"/>
        <v>172.01000000000022</v>
      </c>
      <c r="Y71" s="3"/>
      <c r="Z71" s="7">
        <f t="shared" si="15"/>
        <v>5.6304603288390542E-2</v>
      </c>
    </row>
    <row r="72" spans="1:26" s="69" customFormat="1" ht="15" hidden="1" customHeight="1" outlineLevel="2" x14ac:dyDescent="0.3">
      <c r="A72" s="25"/>
      <c r="B72" s="12" t="str">
        <f>CONCATENATE("          ","6275"," - ","SUBSCRIPTIONS")</f>
        <v xml:space="preserve">          6275 - SUBSCRIPTIONS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1278.9000000000001</v>
      </c>
      <c r="Q72" s="3"/>
      <c r="R72" s="7">
        <f t="shared" si="12"/>
        <v>0</v>
      </c>
      <c r="S72" s="3"/>
      <c r="T72" s="8"/>
      <c r="U72" s="3"/>
      <c r="V72" s="7">
        <f t="shared" si="13"/>
        <v>0</v>
      </c>
      <c r="W72" s="3"/>
      <c r="X72" s="8">
        <f t="shared" si="14"/>
        <v>1278.9000000000001</v>
      </c>
      <c r="Y72" s="3"/>
      <c r="Z72" s="7">
        <f t="shared" si="15"/>
        <v>0</v>
      </c>
    </row>
    <row r="73" spans="1:26" s="68" customFormat="1" ht="15" customHeight="1" outlineLevel="1" collapsed="1" x14ac:dyDescent="0.3">
      <c r="A73" s="26"/>
      <c r="B73" s="14" t="str">
        <f>CONCATENATE("     ","Supplies                                          ")</f>
        <v xml:space="preserve">     Supplies                                          </v>
      </c>
      <c r="C73" s="14"/>
      <c r="D73" s="2">
        <f>SUM(OSRRefD22_16x_0)</f>
        <v>4659.3999999999996</v>
      </c>
      <c r="E73" s="2"/>
      <c r="F73" s="6">
        <f t="shared" si="8"/>
        <v>0</v>
      </c>
      <c r="G73" s="2"/>
      <c r="H73" s="2">
        <f>SUM(OSRRefH22_16x_0)</f>
        <v>446.47</v>
      </c>
      <c r="I73" s="2"/>
      <c r="J73" s="6">
        <f t="shared" si="9"/>
        <v>0</v>
      </c>
      <c r="K73" s="2"/>
      <c r="L73" s="2">
        <f t="shared" si="10"/>
        <v>4212.9299999999994</v>
      </c>
      <c r="M73" s="2"/>
      <c r="N73" s="6">
        <f t="shared" si="11"/>
        <v>9.4360875310771135</v>
      </c>
      <c r="O73" s="14"/>
      <c r="P73" s="2">
        <f>SUM(OSRRefP22_16x_0)</f>
        <v>43923.87</v>
      </c>
      <c r="Q73" s="2"/>
      <c r="R73" s="6">
        <f t="shared" si="12"/>
        <v>0</v>
      </c>
      <c r="S73" s="2"/>
      <c r="T73" s="2">
        <f>SUM(OSRRefT22_16x_0)</f>
        <v>3354.54</v>
      </c>
      <c r="U73" s="2"/>
      <c r="V73" s="6">
        <f t="shared" si="13"/>
        <v>0</v>
      </c>
      <c r="W73" s="2"/>
      <c r="X73" s="2">
        <f t="shared" si="14"/>
        <v>40569.33</v>
      </c>
      <c r="Y73" s="2"/>
      <c r="Z73" s="6">
        <f t="shared" si="15"/>
        <v>12.093857876191668</v>
      </c>
    </row>
    <row r="74" spans="1:26" s="69" customFormat="1" ht="15" hidden="1" customHeight="1" outlineLevel="2" x14ac:dyDescent="0.3">
      <c r="A74" s="25"/>
      <c r="B74" s="12" t="str">
        <f>CONCATENATE("          ","6234"," - ","EXPENDABLE SUPPLIES &amp; EQUIPMEN")</f>
        <v xml:space="preserve">          6234 - EXPENDABLE SUPPLIES &amp; EQUIPMEN</v>
      </c>
      <c r="C74" s="12"/>
      <c r="D74" s="8">
        <v>2697.42</v>
      </c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2697.42</v>
      </c>
      <c r="M74" s="3"/>
      <c r="N74" s="7">
        <f t="shared" si="11"/>
        <v>0</v>
      </c>
      <c r="O74" s="12"/>
      <c r="P74" s="8">
        <v>2723.52</v>
      </c>
      <c r="Q74" s="3"/>
      <c r="R74" s="7">
        <f t="shared" si="12"/>
        <v>0</v>
      </c>
      <c r="S74" s="3"/>
      <c r="T74" s="8"/>
      <c r="U74" s="3"/>
      <c r="V74" s="7">
        <f t="shared" si="13"/>
        <v>0</v>
      </c>
      <c r="W74" s="3"/>
      <c r="X74" s="8">
        <f t="shared" si="14"/>
        <v>2723.52</v>
      </c>
      <c r="Y74" s="3"/>
      <c r="Z74" s="7">
        <f t="shared" si="15"/>
        <v>0</v>
      </c>
    </row>
    <row r="75" spans="1:26" s="69" customFormat="1" ht="15" hidden="1" customHeight="1" outlineLevel="2" x14ac:dyDescent="0.3">
      <c r="A75" s="25"/>
      <c r="B75" s="12" t="str">
        <f>CONCATENATE("          ","6235"," - ","COVID-19 EXPENSES")</f>
        <v xml:space="preserve">          6235 - COVID-19 EXPENSES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>
        <v>2636.13</v>
      </c>
      <c r="Q75" s="3"/>
      <c r="R75" s="7">
        <f t="shared" si="12"/>
        <v>0</v>
      </c>
      <c r="S75" s="3"/>
      <c r="T75" s="8">
        <v>810.3</v>
      </c>
      <c r="U75" s="3"/>
      <c r="V75" s="7">
        <f t="shared" si="13"/>
        <v>0</v>
      </c>
      <c r="W75" s="3"/>
      <c r="X75" s="8">
        <f t="shared" si="14"/>
        <v>1825.8300000000002</v>
      </c>
      <c r="Y75" s="3"/>
      <c r="Z75" s="7">
        <f t="shared" si="15"/>
        <v>2.2532765642354686</v>
      </c>
    </row>
    <row r="76" spans="1:26" s="69" customFormat="1" ht="15" hidden="1" customHeight="1" outlineLevel="2" x14ac:dyDescent="0.3">
      <c r="A76" s="25"/>
      <c r="B76" s="12" t="str">
        <f>CONCATENATE("          ","6241"," - ","OFFICE EXPENSE")</f>
        <v xml:space="preserve">          6241 - OFFICE EXPENSE</v>
      </c>
      <c r="C76" s="12"/>
      <c r="D76" s="8">
        <v>1961.98</v>
      </c>
      <c r="E76" s="3"/>
      <c r="F76" s="7">
        <f t="shared" si="8"/>
        <v>0</v>
      </c>
      <c r="G76" s="3"/>
      <c r="H76" s="8">
        <v>446.47</v>
      </c>
      <c r="I76" s="3"/>
      <c r="J76" s="7">
        <f t="shared" si="9"/>
        <v>0</v>
      </c>
      <c r="K76" s="3"/>
      <c r="L76" s="8">
        <f t="shared" si="10"/>
        <v>1515.51</v>
      </c>
      <c r="M76" s="3"/>
      <c r="N76" s="7">
        <f t="shared" si="11"/>
        <v>3.3944273971375454</v>
      </c>
      <c r="O76" s="12"/>
      <c r="P76" s="8">
        <v>26627.93</v>
      </c>
      <c r="Q76" s="3"/>
      <c r="R76" s="7">
        <f t="shared" si="12"/>
        <v>0</v>
      </c>
      <c r="S76" s="3"/>
      <c r="T76" s="8">
        <v>2321.5300000000002</v>
      </c>
      <c r="U76" s="3"/>
      <c r="V76" s="7">
        <f t="shared" si="13"/>
        <v>0</v>
      </c>
      <c r="W76" s="3"/>
      <c r="X76" s="8">
        <f t="shared" si="14"/>
        <v>24306.400000000001</v>
      </c>
      <c r="Y76" s="3"/>
      <c r="Z76" s="7">
        <f t="shared" si="15"/>
        <v>10.469991772667163</v>
      </c>
    </row>
    <row r="77" spans="1:26" s="69" customFormat="1" ht="15" hidden="1" customHeight="1" outlineLevel="2" x14ac:dyDescent="0.3">
      <c r="A77" s="25"/>
      <c r="B77" s="12" t="str">
        <f>CONCATENATE("          ","6244"," - ","SAFETY SUPPLY EXPENSE")</f>
        <v xml:space="preserve">          6244 - SAFETY SUPPLY EXPENSE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650</v>
      </c>
      <c r="Q77" s="3"/>
      <c r="R77" s="7">
        <f t="shared" si="12"/>
        <v>0</v>
      </c>
      <c r="S77" s="3"/>
      <c r="T77" s="8">
        <v>222.71</v>
      </c>
      <c r="U77" s="3"/>
      <c r="V77" s="7">
        <f t="shared" si="13"/>
        <v>0</v>
      </c>
      <c r="W77" s="3"/>
      <c r="X77" s="8">
        <f t="shared" si="14"/>
        <v>427.28999999999996</v>
      </c>
      <c r="Y77" s="3"/>
      <c r="Z77" s="7">
        <f t="shared" si="15"/>
        <v>1.9185936868573479</v>
      </c>
    </row>
    <row r="78" spans="1:26" s="69" customFormat="1" ht="15" hidden="1" customHeight="1" outlineLevel="2" x14ac:dyDescent="0.3">
      <c r="A78" s="25"/>
      <c r="B78" s="12" t="str">
        <f>CONCATENATE("          ","6248"," - ","UNIFORMS")</f>
        <v xml:space="preserve">          6248 - UNIFORMS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11286.29</v>
      </c>
      <c r="Q78" s="3"/>
      <c r="R78" s="7">
        <f t="shared" si="12"/>
        <v>0</v>
      </c>
      <c r="S78" s="3"/>
      <c r="T78" s="8"/>
      <c r="U78" s="3"/>
      <c r="V78" s="7">
        <f t="shared" si="13"/>
        <v>0</v>
      </c>
      <c r="W78" s="3"/>
      <c r="X78" s="8">
        <f t="shared" si="14"/>
        <v>11286.29</v>
      </c>
      <c r="Y78" s="3"/>
      <c r="Z78" s="7">
        <f t="shared" si="15"/>
        <v>0</v>
      </c>
    </row>
    <row r="79" spans="1:26" s="68" customFormat="1" ht="15" customHeight="1" outlineLevel="1" collapsed="1" x14ac:dyDescent="0.3">
      <c r="A79" s="26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SUM(OSRRefD22_17x_0)</f>
        <v>2162.1799999999998</v>
      </c>
      <c r="E79" s="2"/>
      <c r="F79" s="6">
        <f t="shared" si="8"/>
        <v>0</v>
      </c>
      <c r="G79" s="2"/>
      <c r="H79" s="2">
        <f>SUM(OSRRefH22_17x_0)</f>
        <v>1800.76</v>
      </c>
      <c r="I79" s="2"/>
      <c r="J79" s="6">
        <f t="shared" si="9"/>
        <v>0</v>
      </c>
      <c r="K79" s="2"/>
      <c r="L79" s="2">
        <f t="shared" si="10"/>
        <v>361.41999999999985</v>
      </c>
      <c r="M79" s="2"/>
      <c r="N79" s="6">
        <f t="shared" si="11"/>
        <v>0.20070414713787504</v>
      </c>
      <c r="O79" s="14"/>
      <c r="P79" s="2">
        <f>SUM(OSRRefP22_17x_0)</f>
        <v>20883.879999999997</v>
      </c>
      <c r="Q79" s="2"/>
      <c r="R79" s="6">
        <f t="shared" si="12"/>
        <v>0</v>
      </c>
      <c r="S79" s="2"/>
      <c r="T79" s="2">
        <f>SUM(OSRRefT22_17x_0)</f>
        <v>19151.78</v>
      </c>
      <c r="U79" s="2"/>
      <c r="V79" s="6">
        <f t="shared" si="13"/>
        <v>0</v>
      </c>
      <c r="W79" s="2"/>
      <c r="X79" s="2">
        <f t="shared" si="14"/>
        <v>1732.0999999999985</v>
      </c>
      <c r="Y79" s="2"/>
      <c r="Z79" s="6">
        <f t="shared" si="15"/>
        <v>9.044067966528431E-2</v>
      </c>
    </row>
    <row r="80" spans="1:26" s="69" customFormat="1" ht="15" hidden="1" customHeight="1" outlineLevel="2" x14ac:dyDescent="0.3">
      <c r="A80" s="25"/>
      <c r="B80" s="12" t="str">
        <f>CONCATENATE("          ","6303"," - ","DATA PHONE LINES")</f>
        <v xml:space="preserve">          6303 - DATA PHONE LINES</v>
      </c>
      <c r="C80" s="12"/>
      <c r="D80" s="8">
        <v>81.99</v>
      </c>
      <c r="E80" s="3"/>
      <c r="F80" s="7">
        <f t="shared" si="8"/>
        <v>0</v>
      </c>
      <c r="G80" s="3"/>
      <c r="H80" s="8">
        <v>238.97</v>
      </c>
      <c r="I80" s="3"/>
      <c r="J80" s="7">
        <f t="shared" si="9"/>
        <v>0</v>
      </c>
      <c r="K80" s="3"/>
      <c r="L80" s="8">
        <f t="shared" si="10"/>
        <v>-156.98000000000002</v>
      </c>
      <c r="M80" s="3"/>
      <c r="N80" s="7">
        <f t="shared" si="11"/>
        <v>-0.65690254006779103</v>
      </c>
      <c r="O80" s="12"/>
      <c r="P80" s="8">
        <v>1424.83</v>
      </c>
      <c r="Q80" s="3"/>
      <c r="R80" s="7">
        <f t="shared" si="12"/>
        <v>0</v>
      </c>
      <c r="S80" s="3"/>
      <c r="T80" s="8">
        <v>1241.8399999999999</v>
      </c>
      <c r="U80" s="3"/>
      <c r="V80" s="7">
        <f t="shared" si="13"/>
        <v>0</v>
      </c>
      <c r="W80" s="3"/>
      <c r="X80" s="8">
        <f t="shared" si="14"/>
        <v>182.99</v>
      </c>
      <c r="Y80" s="3"/>
      <c r="Z80" s="7">
        <f t="shared" si="15"/>
        <v>0.14735392643174647</v>
      </c>
    </row>
    <row r="81" spans="1:26" s="69" customFormat="1" ht="15" hidden="1" customHeight="1" outlineLevel="2" x14ac:dyDescent="0.3">
      <c r="A81" s="25"/>
      <c r="B81" s="12" t="str">
        <f>CONCATENATE("          ","6309"," - ","TELEPHONE")</f>
        <v xml:space="preserve">          6309 - TELEPHONE</v>
      </c>
      <c r="C81" s="12"/>
      <c r="D81" s="8">
        <v>2080.19</v>
      </c>
      <c r="E81" s="3"/>
      <c r="F81" s="7">
        <f t="shared" si="8"/>
        <v>0</v>
      </c>
      <c r="G81" s="3"/>
      <c r="H81" s="8">
        <v>1561.79</v>
      </c>
      <c r="I81" s="3"/>
      <c r="J81" s="7">
        <f t="shared" si="9"/>
        <v>0</v>
      </c>
      <c r="K81" s="3"/>
      <c r="L81" s="8">
        <f t="shared" si="10"/>
        <v>518.40000000000009</v>
      </c>
      <c r="M81" s="3"/>
      <c r="N81" s="7">
        <f t="shared" si="11"/>
        <v>0.33192682755043901</v>
      </c>
      <c r="O81" s="12"/>
      <c r="P81" s="8">
        <v>19459.05</v>
      </c>
      <c r="Q81" s="3"/>
      <c r="R81" s="7">
        <f t="shared" si="12"/>
        <v>0</v>
      </c>
      <c r="S81" s="3"/>
      <c r="T81" s="8">
        <v>17909.939999999999</v>
      </c>
      <c r="U81" s="3"/>
      <c r="V81" s="7">
        <f t="shared" si="13"/>
        <v>0</v>
      </c>
      <c r="W81" s="3"/>
      <c r="X81" s="8">
        <f t="shared" si="14"/>
        <v>1549.1100000000006</v>
      </c>
      <c r="Y81" s="3"/>
      <c r="Z81" s="7">
        <f t="shared" si="15"/>
        <v>8.6494427117008804E-2</v>
      </c>
    </row>
    <row r="82" spans="1:26" s="68" customFormat="1" ht="15" customHeight="1" outlineLevel="1" collapsed="1" x14ac:dyDescent="0.3">
      <c r="A82" s="26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SUM(OSRRefD22_18x_0)</f>
        <v>-595</v>
      </c>
      <c r="E82" s="2"/>
      <c r="F82" s="6">
        <f t="shared" si="8"/>
        <v>0</v>
      </c>
      <c r="G82" s="2"/>
      <c r="H82" s="2">
        <f>SUM(OSRRefH22_18x_0)</f>
        <v>399</v>
      </c>
      <c r="I82" s="2"/>
      <c r="J82" s="6">
        <f t="shared" si="9"/>
        <v>0</v>
      </c>
      <c r="K82" s="2"/>
      <c r="L82" s="2">
        <f t="shared" si="10"/>
        <v>-994</v>
      </c>
      <c r="M82" s="2"/>
      <c r="N82" s="6">
        <f t="shared" si="11"/>
        <v>-2.4912280701754388</v>
      </c>
      <c r="O82" s="14"/>
      <c r="P82" s="2">
        <f>SUM(OSRRefP22_18x_0)</f>
        <v>1169</v>
      </c>
      <c r="Q82" s="2"/>
      <c r="R82" s="6">
        <f t="shared" si="12"/>
        <v>0</v>
      </c>
      <c r="S82" s="2"/>
      <c r="T82" s="2">
        <f>SUM(OSRRefT22_18x_0)</f>
        <v>2225.5</v>
      </c>
      <c r="U82" s="2"/>
      <c r="V82" s="6">
        <f t="shared" si="13"/>
        <v>0</v>
      </c>
      <c r="W82" s="2"/>
      <c r="X82" s="2">
        <f t="shared" si="14"/>
        <v>-1056.5</v>
      </c>
      <c r="Y82" s="2"/>
      <c r="Z82" s="6">
        <f t="shared" si="15"/>
        <v>-0.47472478094810155</v>
      </c>
    </row>
    <row r="83" spans="1:26" s="69" customFormat="1" ht="15" hidden="1" customHeight="1" outlineLevel="2" x14ac:dyDescent="0.3">
      <c r="A83" s="25"/>
      <c r="B83" s="12" t="str">
        <f>CONCATENATE("          ","6376"," - ","TRAINING")</f>
        <v xml:space="preserve">          6376 - TRAINING</v>
      </c>
      <c r="C83" s="12"/>
      <c r="D83" s="8">
        <v>-595</v>
      </c>
      <c r="E83" s="3"/>
      <c r="F83" s="7">
        <f t="shared" si="8"/>
        <v>0</v>
      </c>
      <c r="G83" s="3"/>
      <c r="H83" s="8">
        <v>399</v>
      </c>
      <c r="I83" s="3"/>
      <c r="J83" s="7">
        <f t="shared" si="9"/>
        <v>0</v>
      </c>
      <c r="K83" s="3"/>
      <c r="L83" s="8">
        <f t="shared" si="10"/>
        <v>-994</v>
      </c>
      <c r="M83" s="3"/>
      <c r="N83" s="7">
        <f t="shared" si="11"/>
        <v>-2.4912280701754388</v>
      </c>
      <c r="O83" s="12"/>
      <c r="P83" s="8">
        <v>1169</v>
      </c>
      <c r="Q83" s="3"/>
      <c r="R83" s="7">
        <f t="shared" si="12"/>
        <v>0</v>
      </c>
      <c r="S83" s="3"/>
      <c r="T83" s="8">
        <v>2225.5</v>
      </c>
      <c r="U83" s="3"/>
      <c r="V83" s="7">
        <f t="shared" si="13"/>
        <v>0</v>
      </c>
      <c r="W83" s="3"/>
      <c r="X83" s="8">
        <f t="shared" si="14"/>
        <v>-1056.5</v>
      </c>
      <c r="Y83" s="3"/>
      <c r="Z83" s="7">
        <f t="shared" si="15"/>
        <v>-0.47472478094810155</v>
      </c>
    </row>
    <row r="84" spans="1:26" s="68" customFormat="1" ht="15" customHeight="1" outlineLevel="1" collapsed="1" x14ac:dyDescent="0.3">
      <c r="A84" s="26"/>
      <c r="B84" s="14" t="str">
        <f>CONCATENATE("     ","Travel                                            ")</f>
        <v xml:space="preserve">     Travel                                            </v>
      </c>
      <c r="C84" s="14"/>
      <c r="D84" s="2">
        <f>SUM(OSRRefD22_19x_0)</f>
        <v>0</v>
      </c>
      <c r="E84" s="2"/>
      <c r="F84" s="6">
        <f t="shared" si="8"/>
        <v>0</v>
      </c>
      <c r="G84" s="2"/>
      <c r="H84" s="2">
        <f>SUM(OSRRefH22_19x_0)</f>
        <v>7.6</v>
      </c>
      <c r="I84" s="2"/>
      <c r="J84" s="6">
        <f t="shared" si="9"/>
        <v>0</v>
      </c>
      <c r="K84" s="2"/>
      <c r="L84" s="2">
        <f t="shared" si="10"/>
        <v>-7.6</v>
      </c>
      <c r="M84" s="2"/>
      <c r="N84" s="6">
        <f t="shared" si="11"/>
        <v>-1</v>
      </c>
      <c r="O84" s="14"/>
      <c r="P84" s="2">
        <f>SUM(OSRRefP22_19x_0)</f>
        <v>30.4</v>
      </c>
      <c r="Q84" s="2"/>
      <c r="R84" s="6">
        <f t="shared" si="12"/>
        <v>0</v>
      </c>
      <c r="S84" s="2"/>
      <c r="T84" s="2">
        <f>SUM(OSRRefT22_19x_0)</f>
        <v>795.42</v>
      </c>
      <c r="U84" s="2"/>
      <c r="V84" s="6">
        <f t="shared" si="13"/>
        <v>0</v>
      </c>
      <c r="W84" s="2"/>
      <c r="X84" s="2">
        <f t="shared" si="14"/>
        <v>-765.02</v>
      </c>
      <c r="Y84" s="2"/>
      <c r="Z84" s="6">
        <f t="shared" si="15"/>
        <v>-0.96178119735485657</v>
      </c>
    </row>
    <row r="85" spans="1:26" s="69" customFormat="1" ht="15" hidden="1" customHeight="1" outlineLevel="2" x14ac:dyDescent="0.3">
      <c r="A85" s="25"/>
      <c r="B85" s="12" t="str">
        <f>CONCATENATE("          ","6292"," - ","TRAVEL/CONFERENCE")</f>
        <v xml:space="preserve">          6292 - TRAVEL/CONFERENCE</v>
      </c>
      <c r="C85" s="12"/>
      <c r="D85" s="8"/>
      <c r="E85" s="3"/>
      <c r="F85" s="7">
        <f t="shared" si="8"/>
        <v>0</v>
      </c>
      <c r="G85" s="3"/>
      <c r="H85" s="8"/>
      <c r="I85" s="3"/>
      <c r="J85" s="7">
        <f t="shared" si="9"/>
        <v>0</v>
      </c>
      <c r="K85" s="3"/>
      <c r="L85" s="8">
        <f t="shared" si="10"/>
        <v>0</v>
      </c>
      <c r="M85" s="3"/>
      <c r="N85" s="7">
        <f t="shared" si="11"/>
        <v>0</v>
      </c>
      <c r="O85" s="12"/>
      <c r="P85" s="8">
        <v>0</v>
      </c>
      <c r="Q85" s="3"/>
      <c r="R85" s="7">
        <f t="shared" si="12"/>
        <v>0</v>
      </c>
      <c r="S85" s="3"/>
      <c r="T85" s="8">
        <v>720</v>
      </c>
      <c r="U85" s="3"/>
      <c r="V85" s="7">
        <f t="shared" si="13"/>
        <v>0</v>
      </c>
      <c r="W85" s="3"/>
      <c r="X85" s="8">
        <f t="shared" si="14"/>
        <v>-720</v>
      </c>
      <c r="Y85" s="3"/>
      <c r="Z85" s="7">
        <f t="shared" si="15"/>
        <v>-1</v>
      </c>
    </row>
    <row r="86" spans="1:26" s="69" customFormat="1" ht="15" hidden="1" customHeight="1" outlineLevel="2" x14ac:dyDescent="0.3">
      <c r="A86" s="25"/>
      <c r="B86" s="12" t="str">
        <f>CONCATENATE("          ","6294"," - ","TRAVEL OPERATIONAL")</f>
        <v xml:space="preserve">          6294 - TRAVEL OPERATIONAL</v>
      </c>
      <c r="C86" s="12"/>
      <c r="D86" s="8"/>
      <c r="E86" s="3"/>
      <c r="F86" s="7">
        <f t="shared" si="8"/>
        <v>0</v>
      </c>
      <c r="G86" s="3"/>
      <c r="H86" s="8">
        <v>7.6</v>
      </c>
      <c r="I86" s="3"/>
      <c r="J86" s="7">
        <f t="shared" si="9"/>
        <v>0</v>
      </c>
      <c r="K86" s="3"/>
      <c r="L86" s="8">
        <f t="shared" si="10"/>
        <v>-7.6</v>
      </c>
      <c r="M86" s="3"/>
      <c r="N86" s="7">
        <f t="shared" si="11"/>
        <v>-1</v>
      </c>
      <c r="O86" s="12"/>
      <c r="P86" s="8">
        <v>30.4</v>
      </c>
      <c r="Q86" s="3"/>
      <c r="R86" s="7">
        <f t="shared" si="12"/>
        <v>0</v>
      </c>
      <c r="S86" s="3"/>
      <c r="T86" s="8">
        <v>75.42</v>
      </c>
      <c r="U86" s="3"/>
      <c r="V86" s="7">
        <f t="shared" si="13"/>
        <v>0</v>
      </c>
      <c r="W86" s="3"/>
      <c r="X86" s="8">
        <f t="shared" si="14"/>
        <v>-45.02</v>
      </c>
      <c r="Y86" s="3"/>
      <c r="Z86" s="7">
        <f t="shared" si="15"/>
        <v>-0.59692389286661363</v>
      </c>
    </row>
    <row r="87" spans="1:26" s="64" customFormat="1" ht="15" customHeight="1" x14ac:dyDescent="0.3">
      <c r="A87" s="36"/>
      <c r="B87" s="36"/>
      <c r="C87" s="36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3">
      <c r="A88" s="11"/>
      <c r="B88" s="28" t="s">
        <v>290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7" t="s">
        <v>291</v>
      </c>
      <c r="C90" s="27"/>
      <c r="D90" s="22">
        <f>+D16-D18+D88</f>
        <v>-256640.54000000004</v>
      </c>
      <c r="E90" s="15"/>
      <c r="F90" s="21">
        <f>IF(D$12=0,0,D90/D$12)</f>
        <v>0</v>
      </c>
      <c r="G90" s="15"/>
      <c r="H90" s="22">
        <f>+H16-H18+H88</f>
        <v>-225320.12000000008</v>
      </c>
      <c r="I90" s="15"/>
      <c r="J90" s="21">
        <f>IF(H$12=0,0,H90/H$12)</f>
        <v>0</v>
      </c>
      <c r="K90" s="17"/>
      <c r="L90" s="22">
        <f>+D90-H90</f>
        <v>-31320.419999999955</v>
      </c>
      <c r="M90" s="17"/>
      <c r="N90" s="21">
        <f>IF(H90=0,0,L90/H90)</f>
        <v>0.13900409781425618</v>
      </c>
      <c r="O90" s="28"/>
      <c r="P90" s="22">
        <f>+P16-P18+P88</f>
        <v>-2209677.14</v>
      </c>
      <c r="Q90" s="15"/>
      <c r="R90" s="21">
        <f>IF(P$12=0,0,P90/P$12)</f>
        <v>0</v>
      </c>
      <c r="S90" s="15"/>
      <c r="T90" s="22">
        <f>+T16-T18+T88</f>
        <v>-1641550.3499999999</v>
      </c>
      <c r="U90" s="15"/>
      <c r="V90" s="21">
        <f>IF(T$12=0,0,T90/T$12)</f>
        <v>0</v>
      </c>
      <c r="W90" s="17"/>
      <c r="X90" s="22">
        <f>+P90-T90</f>
        <v>-568126.79000000027</v>
      </c>
      <c r="Y90" s="17"/>
      <c r="Z90" s="21">
        <f>IF(T90=0,0,X90/T90)</f>
        <v>0.34609160175927611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48"/>
      <c r="B92" s="11" t="s">
        <v>292</v>
      </c>
      <c r="C92" s="11"/>
      <c r="D92" s="5"/>
      <c r="E92" s="5"/>
      <c r="F92" s="13">
        <f>IF(D$12=0,0,D92/D$12)</f>
        <v>0</v>
      </c>
      <c r="G92" s="5"/>
      <c r="H92" s="5"/>
      <c r="I92" s="5"/>
      <c r="J92" s="13">
        <f>IF(H$12=0,0,H92/H$12)</f>
        <v>0</v>
      </c>
      <c r="K92" s="5"/>
      <c r="L92" s="5">
        <f>+D92-H92</f>
        <v>0</v>
      </c>
      <c r="M92" s="5"/>
      <c r="N92" s="13">
        <f>IF(H92=0,0,L92/H92)</f>
        <v>0</v>
      </c>
      <c r="O92" s="11"/>
      <c r="P92" s="5"/>
      <c r="Q92" s="5"/>
      <c r="R92" s="13">
        <f>IF(P$12=0,0,P92/P$12)</f>
        <v>0</v>
      </c>
      <c r="S92" s="5"/>
      <c r="T92" s="5"/>
      <c r="U92" s="5"/>
      <c r="V92" s="13">
        <f>IF(T$12=0,0,T92/T$12)</f>
        <v>0</v>
      </c>
      <c r="W92" s="5"/>
      <c r="X92" s="5">
        <f>+P92-T92</f>
        <v>0</v>
      </c>
      <c r="Y92" s="5"/>
      <c r="Z92" s="13">
        <f>IF(T92=0,0,X92/T92)</f>
        <v>0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11"/>
      <c r="B94" s="27" t="s">
        <v>293</v>
      </c>
      <c r="C94" s="27"/>
      <c r="D94" s="34">
        <f>+D90-D92</f>
        <v>-256640.54000000004</v>
      </c>
      <c r="E94" s="15"/>
      <c r="F94" s="33">
        <f>IF(D$12=0,0,D94/D$12)</f>
        <v>0</v>
      </c>
      <c r="G94" s="15"/>
      <c r="H94" s="34">
        <f>+H90-H92</f>
        <v>-225320.12000000008</v>
      </c>
      <c r="I94" s="15"/>
      <c r="J94" s="33">
        <f>IF(H$12=0,0,H94/H$12)</f>
        <v>0</v>
      </c>
      <c r="K94" s="17"/>
      <c r="L94" s="34">
        <f>D94-H94</f>
        <v>-31320.419999999955</v>
      </c>
      <c r="M94" s="17"/>
      <c r="N94" s="33">
        <f>IF(H94=0,0,L94/H94)</f>
        <v>0.13900409781425618</v>
      </c>
      <c r="O94" s="28"/>
      <c r="P94" s="34">
        <f>+P90-P92</f>
        <v>-2209677.14</v>
      </c>
      <c r="Q94" s="15"/>
      <c r="R94" s="33">
        <f>IF(P$12=0,0,P94/P$12)</f>
        <v>0</v>
      </c>
      <c r="S94" s="15"/>
      <c r="T94" s="34">
        <f>+T90-T92</f>
        <v>-1641550.3499999999</v>
      </c>
      <c r="U94" s="15"/>
      <c r="V94" s="33">
        <f>IF(T$12=0,0,T94/T$12)</f>
        <v>0</v>
      </c>
      <c r="W94" s="17"/>
      <c r="X94" s="34">
        <f>P94-T94</f>
        <v>-568126.79000000027</v>
      </c>
      <c r="Y94" s="17"/>
      <c r="Z94" s="33">
        <f>IF(T94=0,0,X94/T94)</f>
        <v>0.34609160175927611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11"/>
      <c r="B97" s="27" t="s">
        <v>296</v>
      </c>
      <c r="C97" s="27"/>
      <c r="D97" s="31">
        <f>SUM(D94:D96)</f>
        <v>-256640.54000000004</v>
      </c>
      <c r="E97" s="15"/>
      <c r="F97" s="32">
        <f>IF(D$12=0,0,D97/D$12)</f>
        <v>0</v>
      </c>
      <c r="G97" s="15"/>
      <c r="H97" s="31">
        <f>SUM(H94:H96)</f>
        <v>-225320.12000000008</v>
      </c>
      <c r="I97" s="15"/>
      <c r="J97" s="32">
        <f>IF(H$12=0,0,H97/H$12)</f>
        <v>0</v>
      </c>
      <c r="K97" s="17"/>
      <c r="L97" s="31">
        <f>+D97-H97</f>
        <v>-31320.419999999955</v>
      </c>
      <c r="M97" s="17"/>
      <c r="N97" s="32">
        <f>IF(H97=0,0,L97/H97)</f>
        <v>0.13900409781425618</v>
      </c>
      <c r="O97" s="28"/>
      <c r="P97" s="31">
        <f>SUM(P94:P96)</f>
        <v>-2209677.14</v>
      </c>
      <c r="Q97" s="15"/>
      <c r="R97" s="32">
        <f>IF(P$12=0,0,P97/P$12)</f>
        <v>0</v>
      </c>
      <c r="S97" s="15"/>
      <c r="T97" s="31">
        <f>SUM(T94:T96)</f>
        <v>-1641550.3499999999</v>
      </c>
      <c r="U97" s="15"/>
      <c r="V97" s="32">
        <f>IF(T$12=0,0,T97/T$12)</f>
        <v>0</v>
      </c>
      <c r="W97" s="17"/>
      <c r="X97" s="31">
        <f>+P97-T97</f>
        <v>-568126.79000000027</v>
      </c>
      <c r="Y97" s="17"/>
      <c r="Z97" s="32">
        <f>IF(T97=0,0,X97/T97)</f>
        <v>0.34609160175927611</v>
      </c>
    </row>
    <row r="98" spans="1:26" ht="15" customHeight="1" x14ac:dyDescent="0.3">
      <c r="A98" s="10"/>
      <c r="C98" s="10"/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6" ht="15" customHeight="1" x14ac:dyDescent="0.3">
      <c r="A99" s="10"/>
      <c r="B99" s="56">
        <v>44663.038554398147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7" t="s">
        <v>297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8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A40A3-8681-613F-9BB5-BF7462B7684B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","200"," - ","Corporate Expense")</f>
        <v>Department 200 - Corporate Expense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31022.09</v>
      </c>
      <c r="E18" s="23"/>
      <c r="F18" s="35">
        <f t="shared" ref="F18:F26" si="0">IF(D$12=0,0,D18/D$12)</f>
        <v>0</v>
      </c>
      <c r="G18" s="23"/>
      <c r="H18" s="23" cm="1">
        <f t="array" ref="H18">SUM(OSRRefH22x_0)</f>
        <v>28743.11</v>
      </c>
      <c r="I18" s="23"/>
      <c r="J18" s="35">
        <f t="shared" ref="J18:J26" si="1">IF(H$12=0,0,H18/H$12)</f>
        <v>0</v>
      </c>
      <c r="K18" s="5"/>
      <c r="L18" s="23">
        <f t="shared" ref="L18:L26" si="2">+D18-H18</f>
        <v>2278.9799999999996</v>
      </c>
      <c r="M18" s="5"/>
      <c r="N18" s="35">
        <f t="shared" ref="N18:N26" si="3">IF(H18=0,0,L18/H18)</f>
        <v>7.9287871075885641E-2</v>
      </c>
      <c r="O18" s="11"/>
      <c r="P18" s="23" cm="1">
        <f t="array" ref="P18">SUM(OSRRefP22x_0)</f>
        <v>300506.99</v>
      </c>
      <c r="Q18" s="23"/>
      <c r="R18" s="35">
        <f t="shared" ref="R18:R26" si="4">IF(P$12=0,0,P18/P$12)</f>
        <v>0</v>
      </c>
      <c r="S18" s="23"/>
      <c r="T18" s="23" cm="1">
        <f t="array" ref="T18">SUM(OSRRefT22x_0)</f>
        <v>-82077.27</v>
      </c>
      <c r="U18" s="23"/>
      <c r="V18" s="35">
        <f t="shared" ref="V18:V26" si="5">IF(T$12=0,0,T18/T$12)</f>
        <v>0</v>
      </c>
      <c r="W18" s="5"/>
      <c r="X18" s="23">
        <f t="shared" ref="X18:X26" si="6">+P18-T18</f>
        <v>382584.26</v>
      </c>
      <c r="Y18" s="5"/>
      <c r="Z18" s="35">
        <f t="shared" ref="Z18:Z26" si="7">IF(T18=0,0,X18/T18)</f>
        <v>-4.6612693136601644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26491.86</v>
      </c>
      <c r="E19" s="2"/>
      <c r="F19" s="6">
        <f t="shared" si="0"/>
        <v>0</v>
      </c>
      <c r="G19" s="2"/>
      <c r="H19" s="2">
        <f>SUM(OSRRefH22_0x_0)</f>
        <v>28050.7</v>
      </c>
      <c r="I19" s="2"/>
      <c r="J19" s="6">
        <f t="shared" si="1"/>
        <v>0</v>
      </c>
      <c r="K19" s="2"/>
      <c r="L19" s="2">
        <f t="shared" si="2"/>
        <v>-1558.8400000000001</v>
      </c>
      <c r="M19" s="2"/>
      <c r="N19" s="6">
        <f t="shared" si="3"/>
        <v>-5.5572231709012612E-2</v>
      </c>
      <c r="O19" s="14"/>
      <c r="P19" s="2">
        <f>SUM(OSRRefP22_0x_0)</f>
        <v>245191.94</v>
      </c>
      <c r="Q19" s="2"/>
      <c r="R19" s="6">
        <f t="shared" si="4"/>
        <v>0</v>
      </c>
      <c r="S19" s="2"/>
      <c r="T19" s="2">
        <f>SUM(OSRRefT22_0x_0)</f>
        <v>-133017.22</v>
      </c>
      <c r="U19" s="2"/>
      <c r="V19" s="6">
        <f t="shared" si="5"/>
        <v>0</v>
      </c>
      <c r="W19" s="2"/>
      <c r="X19" s="2">
        <f t="shared" si="6"/>
        <v>378209.16000000003</v>
      </c>
      <c r="Y19" s="2"/>
      <c r="Z19" s="6">
        <f t="shared" si="7"/>
        <v>-2.8433097609467408</v>
      </c>
    </row>
    <row r="20" spans="1:26" s="69" customFormat="1" ht="15" hidden="1" customHeight="1" outlineLevel="2" x14ac:dyDescent="0.3">
      <c r="A20" s="25"/>
      <c r="B20" s="12" t="str">
        <f>CONCATENATE("          ","6120"," - ","RETIREES HEALTH INSURANCE")</f>
        <v xml:space="preserve">          6120 - RETIREES HEALTH INSURANCE</v>
      </c>
      <c r="C20" s="12"/>
      <c r="D20" s="8">
        <v>26491.86</v>
      </c>
      <c r="E20" s="3"/>
      <c r="F20" s="7">
        <f t="shared" si="0"/>
        <v>0</v>
      </c>
      <c r="G20" s="3"/>
      <c r="H20" s="8">
        <v>28050.7</v>
      </c>
      <c r="I20" s="3"/>
      <c r="J20" s="7">
        <f t="shared" si="1"/>
        <v>0</v>
      </c>
      <c r="K20" s="3"/>
      <c r="L20" s="8">
        <f t="shared" si="2"/>
        <v>-1558.8400000000001</v>
      </c>
      <c r="M20" s="3"/>
      <c r="N20" s="7">
        <f t="shared" si="3"/>
        <v>-5.5572231709012612E-2</v>
      </c>
      <c r="O20" s="12"/>
      <c r="P20" s="8">
        <v>245191.94</v>
      </c>
      <c r="Q20" s="3"/>
      <c r="R20" s="7">
        <f t="shared" si="4"/>
        <v>0</v>
      </c>
      <c r="S20" s="3"/>
      <c r="T20" s="8">
        <v>-133017.22</v>
      </c>
      <c r="U20" s="3"/>
      <c r="V20" s="7">
        <f t="shared" si="5"/>
        <v>0</v>
      </c>
      <c r="W20" s="3"/>
      <c r="X20" s="8">
        <f t="shared" si="6"/>
        <v>378209.16000000003</v>
      </c>
      <c r="Y20" s="3"/>
      <c r="Z20" s="7">
        <f t="shared" si="7"/>
        <v>-2.8433097609467408</v>
      </c>
    </row>
    <row r="21" spans="1:26" s="68" customFormat="1" ht="15" customHeight="1" outlineLevel="1" collapsed="1" x14ac:dyDescent="0.3">
      <c r="A21" s="26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272.95</v>
      </c>
      <c r="E21" s="2"/>
      <c r="F21" s="6">
        <f t="shared" si="0"/>
        <v>0</v>
      </c>
      <c r="G21" s="2"/>
      <c r="H21" s="2">
        <f>SUM(OSRRefH22_1x_0)</f>
        <v>7</v>
      </c>
      <c r="I21" s="2"/>
      <c r="J21" s="6">
        <f t="shared" si="1"/>
        <v>0</v>
      </c>
      <c r="K21" s="2"/>
      <c r="L21" s="2">
        <f t="shared" si="2"/>
        <v>265.95</v>
      </c>
      <c r="M21" s="2"/>
      <c r="N21" s="6">
        <f t="shared" si="3"/>
        <v>37.99285714285714</v>
      </c>
      <c r="O21" s="14"/>
      <c r="P21" s="2">
        <f>SUM(OSRRefP22_1x_0)</f>
        <v>9808.7800000000007</v>
      </c>
      <c r="Q21" s="2"/>
      <c r="R21" s="6">
        <f t="shared" si="4"/>
        <v>0</v>
      </c>
      <c r="S21" s="2"/>
      <c r="T21" s="2">
        <f>SUM(OSRRefT22_1x_0)</f>
        <v>5125.54</v>
      </c>
      <c r="U21" s="2"/>
      <c r="V21" s="6">
        <f t="shared" si="5"/>
        <v>0</v>
      </c>
      <c r="W21" s="2"/>
      <c r="X21" s="2">
        <f t="shared" si="6"/>
        <v>4683.2400000000007</v>
      </c>
      <c r="Y21" s="2"/>
      <c r="Z21" s="6">
        <f t="shared" si="7"/>
        <v>0.91370665334774492</v>
      </c>
    </row>
    <row r="22" spans="1:26" s="69" customFormat="1" ht="15" hidden="1" customHeight="1" outlineLevel="2" x14ac:dyDescent="0.3">
      <c r="A22" s="25"/>
      <c r="B22" s="12" t="str">
        <f>CONCATENATE("          ","6381"," - ","BANK/CREDIT CARD FEES")</f>
        <v xml:space="preserve">          6381 - BANK/CREDIT CARD FEES</v>
      </c>
      <c r="C22" s="12"/>
      <c r="D22" s="8">
        <v>272.95</v>
      </c>
      <c r="E22" s="3"/>
      <c r="F22" s="7">
        <f t="shared" si="0"/>
        <v>0</v>
      </c>
      <c r="G22" s="3"/>
      <c r="H22" s="8">
        <v>7</v>
      </c>
      <c r="I22" s="3"/>
      <c r="J22" s="7">
        <f t="shared" si="1"/>
        <v>0</v>
      </c>
      <c r="K22" s="3"/>
      <c r="L22" s="8">
        <f t="shared" si="2"/>
        <v>265.95</v>
      </c>
      <c r="M22" s="3"/>
      <c r="N22" s="7">
        <f t="shared" si="3"/>
        <v>37.99285714285714</v>
      </c>
      <c r="O22" s="12"/>
      <c r="P22" s="8">
        <v>9808.7800000000007</v>
      </c>
      <c r="Q22" s="3"/>
      <c r="R22" s="7">
        <f t="shared" si="4"/>
        <v>0</v>
      </c>
      <c r="S22" s="3"/>
      <c r="T22" s="8">
        <v>5125.54</v>
      </c>
      <c r="U22" s="3"/>
      <c r="V22" s="7">
        <f t="shared" si="5"/>
        <v>0</v>
      </c>
      <c r="W22" s="3"/>
      <c r="X22" s="8">
        <f t="shared" si="6"/>
        <v>4683.2400000000007</v>
      </c>
      <c r="Y22" s="3"/>
      <c r="Z22" s="7">
        <f t="shared" si="7"/>
        <v>0.91370665334774492</v>
      </c>
    </row>
    <row r="23" spans="1:26" s="68" customFormat="1" ht="15" customHeight="1" outlineLevel="1" collapsed="1" x14ac:dyDescent="0.3">
      <c r="A23" s="26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4257.28</v>
      </c>
      <c r="E23" s="2"/>
      <c r="F23" s="6">
        <f t="shared" si="0"/>
        <v>0</v>
      </c>
      <c r="G23" s="2"/>
      <c r="H23" s="2">
        <f>SUM(OSRRefH22_2x_0)</f>
        <v>685.41</v>
      </c>
      <c r="I23" s="2"/>
      <c r="J23" s="6">
        <f t="shared" si="1"/>
        <v>0</v>
      </c>
      <c r="K23" s="2"/>
      <c r="L23" s="2">
        <f t="shared" si="2"/>
        <v>3571.87</v>
      </c>
      <c r="M23" s="2"/>
      <c r="N23" s="6">
        <f t="shared" si="3"/>
        <v>5.2112895930902674</v>
      </c>
      <c r="O23" s="14"/>
      <c r="P23" s="2">
        <f>SUM(OSRRefP22_2x_0)</f>
        <v>14343.02</v>
      </c>
      <c r="Q23" s="2"/>
      <c r="R23" s="6">
        <f t="shared" si="4"/>
        <v>0</v>
      </c>
      <c r="S23" s="2"/>
      <c r="T23" s="2">
        <f>SUM(OSRRefT22_2x_0)</f>
        <v>10832.16</v>
      </c>
      <c r="U23" s="2"/>
      <c r="V23" s="6">
        <f t="shared" si="5"/>
        <v>0</v>
      </c>
      <c r="W23" s="2"/>
      <c r="X23" s="2">
        <f t="shared" si="6"/>
        <v>3510.8600000000006</v>
      </c>
      <c r="Y23" s="2"/>
      <c r="Z23" s="6">
        <f t="shared" si="7"/>
        <v>0.3241144887077001</v>
      </c>
    </row>
    <row r="24" spans="1:26" s="69" customFormat="1" ht="15" hidden="1" customHeight="1" outlineLevel="2" x14ac:dyDescent="0.3">
      <c r="A24" s="25"/>
      <c r="B24" s="12" t="str">
        <f>CONCATENATE("          ","6397"," - ","BOARD EXPENSES")</f>
        <v xml:space="preserve">          6397 - BOARD EXPENSES</v>
      </c>
      <c r="C24" s="12"/>
      <c r="D24" s="8">
        <v>4257.28</v>
      </c>
      <c r="E24" s="3"/>
      <c r="F24" s="7">
        <f t="shared" si="0"/>
        <v>0</v>
      </c>
      <c r="G24" s="3"/>
      <c r="H24" s="8">
        <v>685.41</v>
      </c>
      <c r="I24" s="3"/>
      <c r="J24" s="7">
        <f t="shared" si="1"/>
        <v>0</v>
      </c>
      <c r="K24" s="3"/>
      <c r="L24" s="8">
        <f t="shared" si="2"/>
        <v>3571.87</v>
      </c>
      <c r="M24" s="3"/>
      <c r="N24" s="7">
        <f t="shared" si="3"/>
        <v>5.2112895930902674</v>
      </c>
      <c r="O24" s="12"/>
      <c r="P24" s="8">
        <v>14343.02</v>
      </c>
      <c r="Q24" s="3"/>
      <c r="R24" s="7">
        <f t="shared" si="4"/>
        <v>0</v>
      </c>
      <c r="S24" s="3"/>
      <c r="T24" s="8">
        <v>10832.16</v>
      </c>
      <c r="U24" s="3"/>
      <c r="V24" s="7">
        <f t="shared" si="5"/>
        <v>0</v>
      </c>
      <c r="W24" s="3"/>
      <c r="X24" s="8">
        <f t="shared" si="6"/>
        <v>3510.8600000000006</v>
      </c>
      <c r="Y24" s="3"/>
      <c r="Z24" s="7">
        <f t="shared" si="7"/>
        <v>0.3241144887077001</v>
      </c>
    </row>
    <row r="25" spans="1:26" s="68" customFormat="1" ht="15" customHeight="1" outlineLevel="1" collapsed="1" x14ac:dyDescent="0.3">
      <c r="A25" s="26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31163.25</v>
      </c>
      <c r="Q25" s="2"/>
      <c r="R25" s="6">
        <f t="shared" si="4"/>
        <v>0</v>
      </c>
      <c r="S25" s="2"/>
      <c r="T25" s="2">
        <f>SUM(OSRRefT22_3x_0)</f>
        <v>34982.25</v>
      </c>
      <c r="U25" s="2"/>
      <c r="V25" s="6">
        <f t="shared" si="5"/>
        <v>0</v>
      </c>
      <c r="W25" s="2"/>
      <c r="X25" s="2">
        <f t="shared" si="6"/>
        <v>-3819</v>
      </c>
      <c r="Y25" s="2"/>
      <c r="Z25" s="6">
        <f t="shared" si="7"/>
        <v>-0.10916965032266364</v>
      </c>
    </row>
    <row r="26" spans="1:26" s="69" customFormat="1" ht="15" hidden="1" customHeight="1" outlineLevel="2" x14ac:dyDescent="0.3">
      <c r="A26" s="25"/>
      <c r="B26" s="12" t="str">
        <f>CONCATENATE("          ","6331"," - ","INDIRECT COSTS-AUXILIARY ORGAN")</f>
        <v xml:space="preserve">          6331 - INDIRECT COSTS-AUXILIARY ORGAN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31163.25</v>
      </c>
      <c r="Q26" s="3"/>
      <c r="R26" s="7">
        <f t="shared" si="4"/>
        <v>0</v>
      </c>
      <c r="S26" s="3"/>
      <c r="T26" s="8">
        <v>34982.25</v>
      </c>
      <c r="U26" s="3"/>
      <c r="V26" s="7">
        <f t="shared" si="5"/>
        <v>0</v>
      </c>
      <c r="W26" s="3"/>
      <c r="X26" s="8">
        <f t="shared" si="6"/>
        <v>-3819</v>
      </c>
      <c r="Y26" s="3"/>
      <c r="Z26" s="7">
        <f t="shared" si="7"/>
        <v>-0.10916965032266364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7" t="s">
        <v>291</v>
      </c>
      <c r="C30" s="27"/>
      <c r="D30" s="22">
        <f>+D16-D18+D28</f>
        <v>-31022.09</v>
      </c>
      <c r="E30" s="15"/>
      <c r="F30" s="21">
        <f>IF(D$12=0,0,D30/D$12)</f>
        <v>0</v>
      </c>
      <c r="G30" s="15"/>
      <c r="H30" s="22">
        <f>+H16-H18+H28</f>
        <v>-28743.11</v>
      </c>
      <c r="I30" s="15"/>
      <c r="J30" s="21">
        <f>IF(H$12=0,0,H30/H$12)</f>
        <v>0</v>
      </c>
      <c r="K30" s="17"/>
      <c r="L30" s="22">
        <f>+D30-H30</f>
        <v>-2278.9799999999996</v>
      </c>
      <c r="M30" s="17"/>
      <c r="N30" s="21">
        <f>IF(H30=0,0,L30/H30)</f>
        <v>7.9287871075885641E-2</v>
      </c>
      <c r="O30" s="28"/>
      <c r="P30" s="22">
        <f>+P16-P18+P28</f>
        <v>-300506.99</v>
      </c>
      <c r="Q30" s="15"/>
      <c r="R30" s="21">
        <f>IF(P$12=0,0,P30/P$12)</f>
        <v>0</v>
      </c>
      <c r="S30" s="15"/>
      <c r="T30" s="22">
        <f>+T16-T18+T28</f>
        <v>82077.27</v>
      </c>
      <c r="U30" s="15"/>
      <c r="V30" s="21">
        <f>IF(T$12=0,0,T30/T$12)</f>
        <v>0</v>
      </c>
      <c r="W30" s="17"/>
      <c r="X30" s="22">
        <f>+P30-T30</f>
        <v>-382584.26</v>
      </c>
      <c r="Y30" s="17"/>
      <c r="Z30" s="21">
        <f>IF(T30=0,0,X30/T30)</f>
        <v>-4.6612693136601644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7" t="s">
        <v>293</v>
      </c>
      <c r="C34" s="27"/>
      <c r="D34" s="34">
        <f>+D30-D32</f>
        <v>-31022.09</v>
      </c>
      <c r="E34" s="15"/>
      <c r="F34" s="33">
        <f>IF(D$12=0,0,D34/D$12)</f>
        <v>0</v>
      </c>
      <c r="G34" s="15"/>
      <c r="H34" s="34">
        <f>+H30-H32</f>
        <v>-28743.11</v>
      </c>
      <c r="I34" s="15"/>
      <c r="J34" s="33">
        <f>IF(H$12=0,0,H34/H$12)</f>
        <v>0</v>
      </c>
      <c r="K34" s="17"/>
      <c r="L34" s="34">
        <f>D34-H34</f>
        <v>-2278.9799999999996</v>
      </c>
      <c r="M34" s="17"/>
      <c r="N34" s="33">
        <f>IF(H34=0,0,L34/H34)</f>
        <v>7.9287871075885641E-2</v>
      </c>
      <c r="O34" s="28"/>
      <c r="P34" s="34">
        <f>+P30-P32</f>
        <v>-300506.99</v>
      </c>
      <c r="Q34" s="15"/>
      <c r="R34" s="33">
        <f>IF(P$12=0,0,P34/P$12)</f>
        <v>0</v>
      </c>
      <c r="S34" s="15"/>
      <c r="T34" s="34">
        <f>+T30-T32</f>
        <v>82077.27</v>
      </c>
      <c r="U34" s="15"/>
      <c r="V34" s="33">
        <f>IF(T$12=0,0,T34/T$12)</f>
        <v>0</v>
      </c>
      <c r="W34" s="17"/>
      <c r="X34" s="34">
        <f>P34-T34</f>
        <v>-382584.26</v>
      </c>
      <c r="Y34" s="17"/>
      <c r="Z34" s="33">
        <f>IF(T34=0,0,X34/T34)</f>
        <v>-4.6612693136601644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7" t="s">
        <v>296</v>
      </c>
      <c r="C37" s="27"/>
      <c r="D37" s="31">
        <f>SUM(D34:D36)</f>
        <v>-31022.09</v>
      </c>
      <c r="E37" s="15"/>
      <c r="F37" s="32">
        <f>IF(D$12=0,0,D37/D$12)</f>
        <v>0</v>
      </c>
      <c r="G37" s="15"/>
      <c r="H37" s="31">
        <f>SUM(H34:H36)</f>
        <v>-28743.11</v>
      </c>
      <c r="I37" s="15"/>
      <c r="J37" s="32">
        <f>IF(H$12=0,0,H37/H$12)</f>
        <v>0</v>
      </c>
      <c r="K37" s="17"/>
      <c r="L37" s="31">
        <f>+D37-H37</f>
        <v>-2278.9799999999996</v>
      </c>
      <c r="M37" s="17"/>
      <c r="N37" s="32">
        <f>IF(H37=0,0,L37/H37)</f>
        <v>7.9287871075885641E-2</v>
      </c>
      <c r="O37" s="28"/>
      <c r="P37" s="31">
        <f>SUM(P34:P36)</f>
        <v>-300506.99</v>
      </c>
      <c r="Q37" s="15"/>
      <c r="R37" s="32">
        <f>IF(P$12=0,0,P37/P$12)</f>
        <v>0</v>
      </c>
      <c r="S37" s="15"/>
      <c r="T37" s="31">
        <f>SUM(T34:T36)</f>
        <v>82077.27</v>
      </c>
      <c r="U37" s="15"/>
      <c r="V37" s="32">
        <f>IF(T$12=0,0,T37/T$12)</f>
        <v>0</v>
      </c>
      <c r="W37" s="17"/>
      <c r="X37" s="31">
        <f>+P37-T37</f>
        <v>-382584.26</v>
      </c>
      <c r="Y37" s="17"/>
      <c r="Z37" s="32">
        <f>IF(T37=0,0,X37/T37)</f>
        <v>-4.6612693136601644</v>
      </c>
    </row>
    <row r="38" spans="1:26" ht="15" customHeight="1" x14ac:dyDescent="0.3">
      <c r="A38" s="10"/>
      <c r="C38" s="10"/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6">
        <v>44663.03859679398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7" t="s">
        <v>297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8"/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46EBB-9009-89FA-A962-62448914DF9B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","201"," - ","General Manager")</f>
        <v>Department 201 - General Manager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49480.820000000007</v>
      </c>
      <c r="E18" s="23"/>
      <c r="F18" s="35">
        <f t="shared" ref="F18:F63" si="0">IF(D$12=0,0,D18/D$12)</f>
        <v>0</v>
      </c>
      <c r="G18" s="23"/>
      <c r="H18" s="23" cm="1">
        <f t="array" ref="H18">SUM(OSRRefH22x_0)</f>
        <v>33993.58</v>
      </c>
      <c r="I18" s="23"/>
      <c r="J18" s="35">
        <f t="shared" ref="J18:J63" si="1">IF(H$12=0,0,H18/H$12)</f>
        <v>0</v>
      </c>
      <c r="K18" s="5"/>
      <c r="L18" s="23">
        <f t="shared" ref="L18:L63" si="2">+D18-H18</f>
        <v>15487.240000000005</v>
      </c>
      <c r="M18" s="5"/>
      <c r="N18" s="35">
        <f t="shared" ref="N18:N63" si="3">IF(H18=0,0,L18/H18)</f>
        <v>0.45559308551791261</v>
      </c>
      <c r="O18" s="11"/>
      <c r="P18" s="23" cm="1">
        <f t="array" ref="P18">SUM(OSRRefP22x_0)</f>
        <v>440806.99</v>
      </c>
      <c r="Q18" s="23"/>
      <c r="R18" s="35">
        <f t="shared" ref="R18:R63" si="4">IF(P$12=0,0,P18/P$12)</f>
        <v>0</v>
      </c>
      <c r="S18" s="23"/>
      <c r="T18" s="23" cm="1">
        <f t="array" ref="T18">SUM(OSRRefT22x_0)</f>
        <v>333115.45999999996</v>
      </c>
      <c r="U18" s="23"/>
      <c r="V18" s="35">
        <f t="shared" ref="V18:V63" si="5">IF(T$12=0,0,T18/T$12)</f>
        <v>0</v>
      </c>
      <c r="W18" s="5"/>
      <c r="X18" s="23">
        <f t="shared" ref="X18:X63" si="6">+P18-T18</f>
        <v>107691.53000000003</v>
      </c>
      <c r="Y18" s="5"/>
      <c r="Z18" s="35">
        <f t="shared" ref="Z18:Z63" si="7">IF(T18=0,0,X18/T18)</f>
        <v>0.32328589612742692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11350.75</v>
      </c>
      <c r="E19" s="2"/>
      <c r="F19" s="6">
        <f t="shared" si="0"/>
        <v>0</v>
      </c>
      <c r="G19" s="2"/>
      <c r="H19" s="2">
        <f>SUM(OSRRefH22_0x_0)</f>
        <v>10085.009999999998</v>
      </c>
      <c r="I19" s="2"/>
      <c r="J19" s="6">
        <f t="shared" si="1"/>
        <v>0</v>
      </c>
      <c r="K19" s="2"/>
      <c r="L19" s="2">
        <f t="shared" si="2"/>
        <v>1265.7400000000016</v>
      </c>
      <c r="M19" s="2"/>
      <c r="N19" s="6">
        <f t="shared" si="3"/>
        <v>0.12550706444515194</v>
      </c>
      <c r="O19" s="14"/>
      <c r="P19" s="2">
        <f>SUM(OSRRefP22_0x_0)</f>
        <v>128797.26</v>
      </c>
      <c r="Q19" s="2"/>
      <c r="R19" s="6">
        <f t="shared" si="4"/>
        <v>0</v>
      </c>
      <c r="S19" s="2"/>
      <c r="T19" s="2">
        <f>SUM(OSRRefT22_0x_0)</f>
        <v>96335.540000000008</v>
      </c>
      <c r="U19" s="2"/>
      <c r="V19" s="6">
        <f t="shared" si="5"/>
        <v>0</v>
      </c>
      <c r="W19" s="2"/>
      <c r="X19" s="2">
        <f t="shared" si="6"/>
        <v>32461.719999999987</v>
      </c>
      <c r="Y19" s="2"/>
      <c r="Z19" s="6">
        <f t="shared" si="7"/>
        <v>0.33696515325496679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1717.46</v>
      </c>
      <c r="E20" s="3"/>
      <c r="F20" s="7">
        <f t="shared" si="0"/>
        <v>0</v>
      </c>
      <c r="G20" s="3"/>
      <c r="H20" s="8">
        <v>1454.4</v>
      </c>
      <c r="I20" s="3"/>
      <c r="J20" s="7">
        <f t="shared" si="1"/>
        <v>0</v>
      </c>
      <c r="K20" s="3"/>
      <c r="L20" s="8">
        <f t="shared" si="2"/>
        <v>263.05999999999995</v>
      </c>
      <c r="M20" s="3"/>
      <c r="N20" s="7">
        <f t="shared" si="3"/>
        <v>0.18087183718371833</v>
      </c>
      <c r="O20" s="12"/>
      <c r="P20" s="8">
        <v>15487.54</v>
      </c>
      <c r="Q20" s="3"/>
      <c r="R20" s="7">
        <f t="shared" si="4"/>
        <v>0</v>
      </c>
      <c r="S20" s="3"/>
      <c r="T20" s="8">
        <v>11196.91</v>
      </c>
      <c r="U20" s="3"/>
      <c r="V20" s="7">
        <f t="shared" si="5"/>
        <v>0</v>
      </c>
      <c r="W20" s="3"/>
      <c r="X20" s="8">
        <f t="shared" si="6"/>
        <v>4290.630000000001</v>
      </c>
      <c r="Y20" s="3"/>
      <c r="Z20" s="7">
        <f t="shared" si="7"/>
        <v>0.38319768579009755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289.61</v>
      </c>
      <c r="E21" s="3"/>
      <c r="F21" s="7">
        <f t="shared" si="0"/>
        <v>0</v>
      </c>
      <c r="G21" s="3"/>
      <c r="H21" s="8">
        <v>62.74</v>
      </c>
      <c r="I21" s="3"/>
      <c r="J21" s="7">
        <f t="shared" si="1"/>
        <v>0</v>
      </c>
      <c r="K21" s="3"/>
      <c r="L21" s="8">
        <f t="shared" si="2"/>
        <v>226.87</v>
      </c>
      <c r="M21" s="3"/>
      <c r="N21" s="7">
        <f t="shared" si="3"/>
        <v>3.6160344277972585</v>
      </c>
      <c r="O21" s="12"/>
      <c r="P21" s="8">
        <v>3029.08</v>
      </c>
      <c r="Q21" s="3"/>
      <c r="R21" s="7">
        <f t="shared" si="4"/>
        <v>0</v>
      </c>
      <c r="S21" s="3"/>
      <c r="T21" s="8">
        <v>694.07</v>
      </c>
      <c r="U21" s="3"/>
      <c r="V21" s="7">
        <f t="shared" si="5"/>
        <v>0</v>
      </c>
      <c r="W21" s="3"/>
      <c r="X21" s="8">
        <f t="shared" si="6"/>
        <v>2335.0099999999998</v>
      </c>
      <c r="Y21" s="3"/>
      <c r="Z21" s="7">
        <f t="shared" si="7"/>
        <v>3.3642283919489384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3588.59</v>
      </c>
      <c r="E22" s="3"/>
      <c r="F22" s="7">
        <f t="shared" si="0"/>
        <v>0</v>
      </c>
      <c r="G22" s="3"/>
      <c r="H22" s="8">
        <v>3917.15</v>
      </c>
      <c r="I22" s="3"/>
      <c r="J22" s="7">
        <f t="shared" si="1"/>
        <v>0</v>
      </c>
      <c r="K22" s="3"/>
      <c r="L22" s="8">
        <f t="shared" si="2"/>
        <v>-328.55999999999995</v>
      </c>
      <c r="M22" s="3"/>
      <c r="N22" s="7">
        <f t="shared" si="3"/>
        <v>-8.3877308757642655E-2</v>
      </c>
      <c r="O22" s="12"/>
      <c r="P22" s="8">
        <v>34422.11</v>
      </c>
      <c r="Q22" s="3"/>
      <c r="R22" s="7">
        <f t="shared" si="4"/>
        <v>0</v>
      </c>
      <c r="S22" s="3"/>
      <c r="T22" s="8">
        <v>35965.370000000003</v>
      </c>
      <c r="U22" s="3"/>
      <c r="V22" s="7">
        <f t="shared" si="5"/>
        <v>0</v>
      </c>
      <c r="W22" s="3"/>
      <c r="X22" s="8">
        <f t="shared" si="6"/>
        <v>-1543.260000000002</v>
      </c>
      <c r="Y22" s="3"/>
      <c r="Z22" s="7">
        <f t="shared" si="7"/>
        <v>-4.2909609994280666E-2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58.37</v>
      </c>
      <c r="E23" s="3"/>
      <c r="F23" s="7">
        <f t="shared" si="0"/>
        <v>0</v>
      </c>
      <c r="G23" s="3"/>
      <c r="H23" s="8">
        <v>49.43</v>
      </c>
      <c r="I23" s="3"/>
      <c r="J23" s="7">
        <f t="shared" si="1"/>
        <v>0</v>
      </c>
      <c r="K23" s="3"/>
      <c r="L23" s="8">
        <f t="shared" si="2"/>
        <v>8.9399999999999977</v>
      </c>
      <c r="M23" s="3"/>
      <c r="N23" s="7">
        <f t="shared" si="3"/>
        <v>0.18086182480275131</v>
      </c>
      <c r="O23" s="12"/>
      <c r="P23" s="8">
        <v>610.51</v>
      </c>
      <c r="Q23" s="3"/>
      <c r="R23" s="7">
        <f t="shared" si="4"/>
        <v>0</v>
      </c>
      <c r="S23" s="3"/>
      <c r="T23" s="8">
        <v>546.85</v>
      </c>
      <c r="U23" s="3"/>
      <c r="V23" s="7">
        <f t="shared" si="5"/>
        <v>0</v>
      </c>
      <c r="W23" s="3"/>
      <c r="X23" s="8">
        <f t="shared" si="6"/>
        <v>63.659999999999968</v>
      </c>
      <c r="Y23" s="3"/>
      <c r="Z23" s="7">
        <f t="shared" si="7"/>
        <v>0.1164121788424613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2407.25</v>
      </c>
      <c r="E24" s="3"/>
      <c r="F24" s="7">
        <f t="shared" si="0"/>
        <v>0</v>
      </c>
      <c r="G24" s="3"/>
      <c r="H24" s="8">
        <v>2049.0300000000002</v>
      </c>
      <c r="I24" s="3"/>
      <c r="J24" s="7">
        <f t="shared" si="1"/>
        <v>0</v>
      </c>
      <c r="K24" s="3"/>
      <c r="L24" s="8">
        <f t="shared" si="2"/>
        <v>358.2199999999998</v>
      </c>
      <c r="M24" s="3"/>
      <c r="N24" s="7">
        <f t="shared" si="3"/>
        <v>0.17482418510221898</v>
      </c>
      <c r="O24" s="12"/>
      <c r="P24" s="8">
        <v>20400.75</v>
      </c>
      <c r="Q24" s="3"/>
      <c r="R24" s="7">
        <f t="shared" si="4"/>
        <v>0</v>
      </c>
      <c r="S24" s="3"/>
      <c r="T24" s="8">
        <v>23665.62</v>
      </c>
      <c r="U24" s="3"/>
      <c r="V24" s="7">
        <f t="shared" si="5"/>
        <v>0</v>
      </c>
      <c r="W24" s="3"/>
      <c r="X24" s="8">
        <f t="shared" si="6"/>
        <v>-3264.869999999999</v>
      </c>
      <c r="Y24" s="3"/>
      <c r="Z24" s="7">
        <f t="shared" si="7"/>
        <v>-0.13795835477794366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>
        <v>1984.64</v>
      </c>
      <c r="E25" s="3"/>
      <c r="F25" s="7">
        <f t="shared" si="0"/>
        <v>0</v>
      </c>
      <c r="G25" s="3"/>
      <c r="H25" s="8">
        <v>1658.98</v>
      </c>
      <c r="I25" s="3"/>
      <c r="J25" s="7">
        <f t="shared" si="1"/>
        <v>0</v>
      </c>
      <c r="K25" s="3"/>
      <c r="L25" s="8">
        <f t="shared" si="2"/>
        <v>325.66000000000008</v>
      </c>
      <c r="M25" s="3"/>
      <c r="N25" s="7">
        <f t="shared" si="3"/>
        <v>0.19630134178832781</v>
      </c>
      <c r="O25" s="12"/>
      <c r="P25" s="8">
        <v>23669.57</v>
      </c>
      <c r="Q25" s="3"/>
      <c r="R25" s="7">
        <f t="shared" si="4"/>
        <v>0</v>
      </c>
      <c r="S25" s="3"/>
      <c r="T25" s="8">
        <v>15760.31</v>
      </c>
      <c r="U25" s="3"/>
      <c r="V25" s="7">
        <f t="shared" si="5"/>
        <v>0</v>
      </c>
      <c r="W25" s="3"/>
      <c r="X25" s="8">
        <f t="shared" si="6"/>
        <v>7909.26</v>
      </c>
      <c r="Y25" s="3"/>
      <c r="Z25" s="7">
        <f t="shared" si="7"/>
        <v>0.5018467276341646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>
        <v>1020.54</v>
      </c>
      <c r="E26" s="3"/>
      <c r="F26" s="7">
        <f t="shared" si="0"/>
        <v>0</v>
      </c>
      <c r="G26" s="3"/>
      <c r="H26" s="8">
        <v>856.8</v>
      </c>
      <c r="I26" s="3"/>
      <c r="J26" s="7">
        <f t="shared" si="1"/>
        <v>0</v>
      </c>
      <c r="K26" s="3"/>
      <c r="L26" s="8">
        <f t="shared" si="2"/>
        <v>163.74</v>
      </c>
      <c r="M26" s="3"/>
      <c r="N26" s="7">
        <f t="shared" si="3"/>
        <v>0.19110644257703083</v>
      </c>
      <c r="O26" s="12"/>
      <c r="P26" s="8">
        <v>29315.64</v>
      </c>
      <c r="Q26" s="3"/>
      <c r="R26" s="7">
        <f t="shared" si="4"/>
        <v>0</v>
      </c>
      <c r="S26" s="3"/>
      <c r="T26" s="8">
        <v>8139.6</v>
      </c>
      <c r="U26" s="3"/>
      <c r="V26" s="7">
        <f t="shared" si="5"/>
        <v>0</v>
      </c>
      <c r="W26" s="3"/>
      <c r="X26" s="8">
        <f t="shared" si="6"/>
        <v>21176.04</v>
      </c>
      <c r="Y26" s="3"/>
      <c r="Z26" s="7">
        <f t="shared" si="7"/>
        <v>2.6016069585729027</v>
      </c>
    </row>
    <row r="27" spans="1:26" s="69" customFormat="1" ht="15" hidden="1" customHeight="1" outlineLevel="2" x14ac:dyDescent="0.3">
      <c r="A27" s="25"/>
      <c r="B27" s="12" t="str">
        <f>CONCATENATE("          ","6156"," - ","EMPLOYEE MEALS")</f>
        <v xml:space="preserve">          6156 - EMPLOYEE MEALS</v>
      </c>
      <c r="C27" s="12"/>
      <c r="D27" s="8">
        <v>284.29000000000002</v>
      </c>
      <c r="E27" s="3"/>
      <c r="F27" s="7">
        <f t="shared" si="0"/>
        <v>0</v>
      </c>
      <c r="G27" s="3"/>
      <c r="H27" s="8">
        <v>36.479999999999997</v>
      </c>
      <c r="I27" s="3"/>
      <c r="J27" s="7">
        <f t="shared" si="1"/>
        <v>0</v>
      </c>
      <c r="K27" s="3"/>
      <c r="L27" s="8">
        <f t="shared" si="2"/>
        <v>247.81000000000003</v>
      </c>
      <c r="M27" s="3"/>
      <c r="N27" s="7">
        <f t="shared" si="3"/>
        <v>6.7930372807017561</v>
      </c>
      <c r="O27" s="12"/>
      <c r="P27" s="8">
        <v>1862.06</v>
      </c>
      <c r="Q27" s="3"/>
      <c r="R27" s="7">
        <f t="shared" si="4"/>
        <v>0</v>
      </c>
      <c r="S27" s="3"/>
      <c r="T27" s="8">
        <v>366.81</v>
      </c>
      <c r="U27" s="3"/>
      <c r="V27" s="7">
        <f t="shared" si="5"/>
        <v>0</v>
      </c>
      <c r="W27" s="3"/>
      <c r="X27" s="8">
        <f t="shared" si="6"/>
        <v>1495.25</v>
      </c>
      <c r="Y27" s="3"/>
      <c r="Z27" s="7">
        <f t="shared" si="7"/>
        <v>4.0763610588588097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22332.34</v>
      </c>
      <c r="E28" s="2"/>
      <c r="F28" s="6">
        <f t="shared" si="0"/>
        <v>0</v>
      </c>
      <c r="G28" s="2"/>
      <c r="H28" s="2">
        <f>SUM(OSRRefH22_1x_0)</f>
        <v>18866.940000000002</v>
      </c>
      <c r="I28" s="2"/>
      <c r="J28" s="6">
        <f t="shared" si="1"/>
        <v>0</v>
      </c>
      <c r="K28" s="2"/>
      <c r="L28" s="2">
        <f t="shared" si="2"/>
        <v>3465.3999999999978</v>
      </c>
      <c r="M28" s="2"/>
      <c r="N28" s="6">
        <f t="shared" si="3"/>
        <v>0.18367578420241953</v>
      </c>
      <c r="O28" s="14"/>
      <c r="P28" s="2">
        <f>SUM(OSRRefP22_1x_0)</f>
        <v>190221.08000000002</v>
      </c>
      <c r="Q28" s="2"/>
      <c r="R28" s="6">
        <f t="shared" si="4"/>
        <v>0</v>
      </c>
      <c r="S28" s="2"/>
      <c r="T28" s="2">
        <f>SUM(OSRRefT22_1x_0)</f>
        <v>128965.41</v>
      </c>
      <c r="U28" s="2"/>
      <c r="V28" s="6">
        <f t="shared" si="5"/>
        <v>0</v>
      </c>
      <c r="W28" s="2"/>
      <c r="X28" s="2">
        <f t="shared" si="6"/>
        <v>61255.670000000013</v>
      </c>
      <c r="Y28" s="2"/>
      <c r="Z28" s="6">
        <f t="shared" si="7"/>
        <v>0.47497751528878956</v>
      </c>
    </row>
    <row r="29" spans="1:26" s="69" customFormat="1" ht="15" hidden="1" customHeight="1" outlineLevel="2" x14ac:dyDescent="0.3">
      <c r="A29" s="25"/>
      <c r="B29" s="12" t="str">
        <f>CONCATENATE("          ","6001"," - ","ADMINISTRATIVE SALARIES")</f>
        <v xml:space="preserve">          6001 - ADMINISTRATIVE SALARIES</v>
      </c>
      <c r="C29" s="12"/>
      <c r="D29" s="8">
        <v>17494.62</v>
      </c>
      <c r="E29" s="3"/>
      <c r="F29" s="7">
        <f t="shared" si="0"/>
        <v>0</v>
      </c>
      <c r="G29" s="3"/>
      <c r="H29" s="8">
        <v>14215.28</v>
      </c>
      <c r="I29" s="3"/>
      <c r="J29" s="7">
        <f t="shared" si="1"/>
        <v>0</v>
      </c>
      <c r="K29" s="3"/>
      <c r="L29" s="8">
        <f t="shared" si="2"/>
        <v>3279.3399999999983</v>
      </c>
      <c r="M29" s="3"/>
      <c r="N29" s="7">
        <f t="shared" si="3"/>
        <v>0.23069119989194714</v>
      </c>
      <c r="O29" s="12"/>
      <c r="P29" s="8">
        <v>146815.98000000001</v>
      </c>
      <c r="Q29" s="3"/>
      <c r="R29" s="7">
        <f t="shared" si="4"/>
        <v>0</v>
      </c>
      <c r="S29" s="3"/>
      <c r="T29" s="8">
        <v>133190.09</v>
      </c>
      <c r="U29" s="3"/>
      <c r="V29" s="7">
        <f t="shared" si="5"/>
        <v>0</v>
      </c>
      <c r="W29" s="3"/>
      <c r="X29" s="8">
        <f t="shared" si="6"/>
        <v>13625.890000000014</v>
      </c>
      <c r="Y29" s="3"/>
      <c r="Z29" s="7">
        <f t="shared" si="7"/>
        <v>0.10230408283379051</v>
      </c>
    </row>
    <row r="30" spans="1:26" s="69" customFormat="1" ht="15" hidden="1" customHeight="1" outlineLevel="2" x14ac:dyDescent="0.3">
      <c r="A30" s="25"/>
      <c r="B30" s="12" t="str">
        <f>CONCATENATE("          ","6002"," - ","STAFF SALARIES")</f>
        <v xml:space="preserve">          6002 - STAFF SALARIES</v>
      </c>
      <c r="C30" s="12"/>
      <c r="D30" s="8">
        <v>4837.72</v>
      </c>
      <c r="E30" s="3"/>
      <c r="F30" s="7">
        <f t="shared" si="0"/>
        <v>0</v>
      </c>
      <c r="G30" s="3"/>
      <c r="H30" s="8">
        <v>4651.66</v>
      </c>
      <c r="I30" s="3"/>
      <c r="J30" s="7">
        <f t="shared" si="1"/>
        <v>0</v>
      </c>
      <c r="K30" s="3"/>
      <c r="L30" s="8">
        <f t="shared" si="2"/>
        <v>186.0600000000004</v>
      </c>
      <c r="M30" s="3"/>
      <c r="N30" s="7">
        <f t="shared" si="3"/>
        <v>3.9998624147078762E-2</v>
      </c>
      <c r="O30" s="12"/>
      <c r="P30" s="8">
        <v>43275</v>
      </c>
      <c r="Q30" s="3"/>
      <c r="R30" s="7">
        <f t="shared" si="4"/>
        <v>0</v>
      </c>
      <c r="S30" s="3"/>
      <c r="T30" s="8">
        <v>40732.61</v>
      </c>
      <c r="U30" s="3"/>
      <c r="V30" s="7">
        <f t="shared" si="5"/>
        <v>0</v>
      </c>
      <c r="W30" s="3"/>
      <c r="X30" s="8">
        <f t="shared" si="6"/>
        <v>2542.3899999999994</v>
      </c>
      <c r="Y30" s="3"/>
      <c r="Z30" s="7">
        <f t="shared" si="7"/>
        <v>6.2416574827883591E-2</v>
      </c>
    </row>
    <row r="31" spans="1:26" s="69" customFormat="1" ht="15" hidden="1" customHeight="1" outlineLevel="2" x14ac:dyDescent="0.3">
      <c r="A31" s="25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70.88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70.88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5"/>
      <c r="B32" s="12" t="str">
        <f>CONCATENATE("          ","6007"," - ","STUDENT HOURLY")</f>
        <v xml:space="preserve">          6007 - STUDENT 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59.22</v>
      </c>
      <c r="Q32" s="3"/>
      <c r="R32" s="7">
        <f t="shared" si="4"/>
        <v>0</v>
      </c>
      <c r="S32" s="3"/>
      <c r="T32" s="8">
        <v>-44957.29</v>
      </c>
      <c r="U32" s="3"/>
      <c r="V32" s="7">
        <f t="shared" si="5"/>
        <v>0</v>
      </c>
      <c r="W32" s="3"/>
      <c r="X32" s="8">
        <f t="shared" si="6"/>
        <v>45016.51</v>
      </c>
      <c r="Y32" s="3"/>
      <c r="Z32" s="7">
        <f t="shared" si="7"/>
        <v>-1.0013172502168168</v>
      </c>
    </row>
    <row r="33" spans="1:26" s="68" customFormat="1" ht="15" customHeight="1" outlineLevel="1" collapsed="1" x14ac:dyDescent="0.3">
      <c r="A33" s="26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2.21</v>
      </c>
      <c r="E33" s="2"/>
      <c r="F33" s="6">
        <f t="shared" si="0"/>
        <v>0</v>
      </c>
      <c r="G33" s="2"/>
      <c r="H33" s="2">
        <f>SUM(OSRRefH22_2x_0)</f>
        <v>0</v>
      </c>
      <c r="I33" s="2"/>
      <c r="J33" s="6">
        <f t="shared" si="1"/>
        <v>0</v>
      </c>
      <c r="K33" s="2"/>
      <c r="L33" s="2">
        <f t="shared" si="2"/>
        <v>2.21</v>
      </c>
      <c r="M33" s="2"/>
      <c r="N33" s="6">
        <f t="shared" si="3"/>
        <v>0</v>
      </c>
      <c r="O33" s="14"/>
      <c r="P33" s="2">
        <f>SUM(OSRRefP22_2x_0)</f>
        <v>1969.62</v>
      </c>
      <c r="Q33" s="2"/>
      <c r="R33" s="6">
        <f t="shared" si="4"/>
        <v>0</v>
      </c>
      <c r="S33" s="2"/>
      <c r="T33" s="2">
        <f>SUM(OSRRefT22_2x_0)</f>
        <v>66.8</v>
      </c>
      <c r="U33" s="2"/>
      <c r="V33" s="6">
        <f t="shared" si="5"/>
        <v>0</v>
      </c>
      <c r="W33" s="2"/>
      <c r="X33" s="2">
        <f t="shared" si="6"/>
        <v>1902.82</v>
      </c>
      <c r="Y33" s="2"/>
      <c r="Z33" s="6">
        <f t="shared" si="7"/>
        <v>28.485329341317364</v>
      </c>
    </row>
    <row r="34" spans="1:26" s="69" customFormat="1" ht="15" hidden="1" customHeight="1" outlineLevel="2" x14ac:dyDescent="0.3">
      <c r="A34" s="25"/>
      <c r="B34" s="12" t="str">
        <f>CONCATENATE("          ","6362"," - ","ADVERTISING EXPENSE")</f>
        <v xml:space="preserve">          6362 - ADVERTISING EXPENSE</v>
      </c>
      <c r="C34" s="12"/>
      <c r="D34" s="8">
        <v>2.21</v>
      </c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2.21</v>
      </c>
      <c r="M34" s="3"/>
      <c r="N34" s="7">
        <f t="shared" si="3"/>
        <v>0</v>
      </c>
      <c r="O34" s="12"/>
      <c r="P34" s="8">
        <v>1969.62</v>
      </c>
      <c r="Q34" s="3"/>
      <c r="R34" s="7">
        <f t="shared" si="4"/>
        <v>0</v>
      </c>
      <c r="S34" s="3"/>
      <c r="T34" s="8">
        <v>66.8</v>
      </c>
      <c r="U34" s="3"/>
      <c r="V34" s="7">
        <f t="shared" si="5"/>
        <v>0</v>
      </c>
      <c r="W34" s="3"/>
      <c r="X34" s="8">
        <f t="shared" si="6"/>
        <v>1902.82</v>
      </c>
      <c r="Y34" s="3"/>
      <c r="Z34" s="7">
        <f t="shared" si="7"/>
        <v>28.485329341317364</v>
      </c>
    </row>
    <row r="35" spans="1:26" s="68" customFormat="1" ht="15" customHeight="1" outlineLevel="1" collapsed="1" x14ac:dyDescent="0.3">
      <c r="A35" s="26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314.87</v>
      </c>
      <c r="E35" s="2"/>
      <c r="F35" s="6">
        <f t="shared" si="0"/>
        <v>0</v>
      </c>
      <c r="G35" s="2"/>
      <c r="H35" s="2">
        <f>SUM(OSRRefH22_3x_0)</f>
        <v>314.87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2833.83</v>
      </c>
      <c r="Q35" s="2"/>
      <c r="R35" s="6">
        <f t="shared" si="4"/>
        <v>0</v>
      </c>
      <c r="S35" s="2"/>
      <c r="T35" s="2">
        <f>SUM(OSRRefT22_3x_0)</f>
        <v>2833.83</v>
      </c>
      <c r="U35" s="2"/>
      <c r="V35" s="6">
        <f t="shared" si="5"/>
        <v>0</v>
      </c>
      <c r="W35" s="2"/>
      <c r="X35" s="2">
        <f t="shared" si="6"/>
        <v>0</v>
      </c>
      <c r="Y35" s="2"/>
      <c r="Z35" s="6">
        <f t="shared" si="7"/>
        <v>0</v>
      </c>
    </row>
    <row r="36" spans="1:26" s="69" customFormat="1" ht="15" hidden="1" customHeight="1" outlineLevel="2" x14ac:dyDescent="0.3">
      <c r="A36" s="25"/>
      <c r="B36" s="12" t="str">
        <f>CONCATENATE("          ","6322"," - ","EQUIPMENT DEPRECIATION EXPENSE")</f>
        <v xml:space="preserve">          6322 - EQUIPMENT DEPRECIATION EXPENSE</v>
      </c>
      <c r="C36" s="12"/>
      <c r="D36" s="8">
        <v>314.87</v>
      </c>
      <c r="E36" s="3"/>
      <c r="F36" s="7">
        <f t="shared" si="0"/>
        <v>0</v>
      </c>
      <c r="G36" s="3"/>
      <c r="H36" s="8">
        <v>314.87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2833.83</v>
      </c>
      <c r="Q36" s="3"/>
      <c r="R36" s="7">
        <f t="shared" si="4"/>
        <v>0</v>
      </c>
      <c r="S36" s="3"/>
      <c r="T36" s="8">
        <v>2833.83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6"/>
      <c r="B37" s="14" t="str">
        <f>CONCATENATE("     ","Donations                                         ")</f>
        <v xml:space="preserve">     Donations             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25300</v>
      </c>
      <c r="Q37" s="2"/>
      <c r="R37" s="6">
        <f t="shared" si="4"/>
        <v>0</v>
      </c>
      <c r="S37" s="2"/>
      <c r="T37" s="2">
        <f>SUM(OSRRefT22_4x_0)</f>
        <v>25000</v>
      </c>
      <c r="U37" s="2"/>
      <c r="V37" s="6">
        <f t="shared" si="5"/>
        <v>0</v>
      </c>
      <c r="W37" s="2"/>
      <c r="X37" s="2">
        <f t="shared" si="6"/>
        <v>300</v>
      </c>
      <c r="Y37" s="2"/>
      <c r="Z37" s="6">
        <f t="shared" si="7"/>
        <v>1.2E-2</v>
      </c>
    </row>
    <row r="38" spans="1:26" s="69" customFormat="1" ht="15" hidden="1" customHeight="1" outlineLevel="2" x14ac:dyDescent="0.3">
      <c r="A38" s="25"/>
      <c r="B38" s="12" t="str">
        <f>CONCATENATE("          ","6399"," - ","DONATION-ON CAMPUS")</f>
        <v xml:space="preserve">          6399 - DONATION-ON CAMPUS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25300</v>
      </c>
      <c r="Q38" s="3"/>
      <c r="R38" s="7">
        <f t="shared" si="4"/>
        <v>0</v>
      </c>
      <c r="S38" s="3"/>
      <c r="T38" s="8">
        <v>25000</v>
      </c>
      <c r="U38" s="3"/>
      <c r="V38" s="7">
        <f t="shared" si="5"/>
        <v>0</v>
      </c>
      <c r="W38" s="3"/>
      <c r="X38" s="8">
        <f t="shared" si="6"/>
        <v>300</v>
      </c>
      <c r="Y38" s="3"/>
      <c r="Z38" s="7">
        <f t="shared" si="7"/>
        <v>1.2E-2</v>
      </c>
    </row>
    <row r="39" spans="1:26" s="68" customFormat="1" ht="15" customHeight="1" outlineLevel="1" collapsed="1" x14ac:dyDescent="0.3">
      <c r="A39" s="26"/>
      <c r="B39" s="14" t="str">
        <f>CONCATENATE("     ","Employees' Appreciation                           ")</f>
        <v xml:space="preserve">     Employees' Appreciation                           </v>
      </c>
      <c r="C39" s="14"/>
      <c r="D39" s="2">
        <f>SUM(OSRRefD22_5x_0)</f>
        <v>0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SUM(OSRRefP22_5x_0)</f>
        <v>635.58000000000004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635.58000000000004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5"/>
      <c r="B40" s="12" t="str">
        <f>CONCATENATE("          ","6277"," - ","EMPLOYEE APPRECIATION")</f>
        <v xml:space="preserve">          6277 - EMPLOYEE APPRECIATION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635.58000000000004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635.58000000000004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6"/>
      <c r="B41" s="14" t="str">
        <f>CONCATENATE("     ","Equipment Rental                                  ")</f>
        <v xml:space="preserve">     Equipment Rental                                  </v>
      </c>
      <c r="C41" s="14"/>
      <c r="D41" s="2">
        <f>SUM(OSRRefD22_6x_0)</f>
        <v>117.71</v>
      </c>
      <c r="E41" s="2"/>
      <c r="F41" s="6">
        <f t="shared" si="0"/>
        <v>0</v>
      </c>
      <c r="G41" s="2"/>
      <c r="H41" s="2">
        <f>SUM(OSRRefH22_6x_0)</f>
        <v>208.97</v>
      </c>
      <c r="I41" s="2"/>
      <c r="J41" s="6">
        <f t="shared" si="1"/>
        <v>0</v>
      </c>
      <c r="K41" s="2"/>
      <c r="L41" s="2">
        <f t="shared" si="2"/>
        <v>-91.26</v>
      </c>
      <c r="M41" s="2"/>
      <c r="N41" s="6">
        <f t="shared" si="3"/>
        <v>-0.43671340383787149</v>
      </c>
      <c r="O41" s="14"/>
      <c r="P41" s="2">
        <f>SUM(OSRRefP22_6x_0)</f>
        <v>1059.3900000000001</v>
      </c>
      <c r="Q41" s="2"/>
      <c r="R41" s="6">
        <f t="shared" si="4"/>
        <v>0</v>
      </c>
      <c r="S41" s="2"/>
      <c r="T41" s="2">
        <f>SUM(OSRRefT22_6x_0)</f>
        <v>1150.6500000000001</v>
      </c>
      <c r="U41" s="2"/>
      <c r="V41" s="6">
        <f t="shared" si="5"/>
        <v>0</v>
      </c>
      <c r="W41" s="2"/>
      <c r="X41" s="2">
        <f t="shared" si="6"/>
        <v>-91.259999999999991</v>
      </c>
      <c r="Y41" s="2"/>
      <c r="Z41" s="6">
        <f t="shared" si="7"/>
        <v>-7.9311693390692203E-2</v>
      </c>
    </row>
    <row r="42" spans="1:26" s="69" customFormat="1" ht="15" hidden="1" customHeight="1" outlineLevel="2" x14ac:dyDescent="0.3">
      <c r="A42" s="25"/>
      <c r="B42" s="12" t="str">
        <f>CONCATENATE("          ","6351"," - ","EQUIPMENT RENTAL")</f>
        <v xml:space="preserve">          6351 - EQUIPMENT RENTAL</v>
      </c>
      <c r="C42" s="12"/>
      <c r="D42" s="8">
        <v>117.71</v>
      </c>
      <c r="E42" s="3"/>
      <c r="F42" s="7">
        <f t="shared" si="0"/>
        <v>0</v>
      </c>
      <c r="G42" s="3"/>
      <c r="H42" s="8">
        <v>208.97</v>
      </c>
      <c r="I42" s="3"/>
      <c r="J42" s="7">
        <f t="shared" si="1"/>
        <v>0</v>
      </c>
      <c r="K42" s="3"/>
      <c r="L42" s="8">
        <f t="shared" si="2"/>
        <v>-91.26</v>
      </c>
      <c r="M42" s="3"/>
      <c r="N42" s="7">
        <f t="shared" si="3"/>
        <v>-0.43671340383787149</v>
      </c>
      <c r="O42" s="12"/>
      <c r="P42" s="8">
        <v>1059.3900000000001</v>
      </c>
      <c r="Q42" s="3"/>
      <c r="R42" s="7">
        <f t="shared" si="4"/>
        <v>0</v>
      </c>
      <c r="S42" s="3"/>
      <c r="T42" s="8">
        <v>1150.6500000000001</v>
      </c>
      <c r="U42" s="3"/>
      <c r="V42" s="7">
        <f t="shared" si="5"/>
        <v>0</v>
      </c>
      <c r="W42" s="3"/>
      <c r="X42" s="8">
        <f t="shared" si="6"/>
        <v>-91.259999999999991</v>
      </c>
      <c r="Y42" s="3"/>
      <c r="Z42" s="7">
        <f t="shared" si="7"/>
        <v>-7.9311693390692203E-2</v>
      </c>
    </row>
    <row r="43" spans="1:26" s="68" customFormat="1" ht="15" customHeight="1" outlineLevel="1" collapsed="1" x14ac:dyDescent="0.3">
      <c r="A43" s="26"/>
      <c r="B43" s="14" t="str">
        <f>CONCATENATE("     ","Freight out/Postage                               ")</f>
        <v xml:space="preserve">     Freight out/Postage                               </v>
      </c>
      <c r="C43" s="14"/>
      <c r="D43" s="2">
        <f>SUM(OSRRefD22_7x_0)</f>
        <v>0</v>
      </c>
      <c r="E43" s="2"/>
      <c r="F43" s="6">
        <f t="shared" si="0"/>
        <v>0</v>
      </c>
      <c r="G43" s="2"/>
      <c r="H43" s="2">
        <f>SUM(OSRRefH22_7x_0)</f>
        <v>1.53</v>
      </c>
      <c r="I43" s="2"/>
      <c r="J43" s="6">
        <f t="shared" si="1"/>
        <v>0</v>
      </c>
      <c r="K43" s="2"/>
      <c r="L43" s="2">
        <f t="shared" si="2"/>
        <v>-1.53</v>
      </c>
      <c r="M43" s="2"/>
      <c r="N43" s="6">
        <f t="shared" si="3"/>
        <v>-1</v>
      </c>
      <c r="O43" s="14"/>
      <c r="P43" s="2">
        <f>SUM(OSRRefP22_7x_0)</f>
        <v>32.17</v>
      </c>
      <c r="Q43" s="2"/>
      <c r="R43" s="6">
        <f t="shared" si="4"/>
        <v>0</v>
      </c>
      <c r="S43" s="2"/>
      <c r="T43" s="2">
        <f>SUM(OSRRefT22_7x_0)</f>
        <v>66.59</v>
      </c>
      <c r="U43" s="2"/>
      <c r="V43" s="6">
        <f t="shared" si="5"/>
        <v>0</v>
      </c>
      <c r="W43" s="2"/>
      <c r="X43" s="2">
        <f t="shared" si="6"/>
        <v>-34.42</v>
      </c>
      <c r="Y43" s="2"/>
      <c r="Z43" s="6">
        <f t="shared" si="7"/>
        <v>-0.51689442859288182</v>
      </c>
    </row>
    <row r="44" spans="1:26" s="69" customFormat="1" ht="15" hidden="1" customHeight="1" outlineLevel="2" x14ac:dyDescent="0.3">
      <c r="A44" s="25"/>
      <c r="B44" s="12" t="str">
        <f>CONCATENATE("          ","6307"," - ","POSTAGE")</f>
        <v xml:space="preserve">          6307 - POSTAGE</v>
      </c>
      <c r="C44" s="12"/>
      <c r="D44" s="8"/>
      <c r="E44" s="3"/>
      <c r="F44" s="7">
        <f t="shared" si="0"/>
        <v>0</v>
      </c>
      <c r="G44" s="3"/>
      <c r="H44" s="8">
        <v>1.53</v>
      </c>
      <c r="I44" s="3"/>
      <c r="J44" s="7">
        <f t="shared" si="1"/>
        <v>0</v>
      </c>
      <c r="K44" s="3"/>
      <c r="L44" s="8">
        <f t="shared" si="2"/>
        <v>-1.53</v>
      </c>
      <c r="M44" s="3"/>
      <c r="N44" s="7">
        <f t="shared" si="3"/>
        <v>-1</v>
      </c>
      <c r="O44" s="12"/>
      <c r="P44" s="8">
        <v>32.17</v>
      </c>
      <c r="Q44" s="3"/>
      <c r="R44" s="7">
        <f t="shared" si="4"/>
        <v>0</v>
      </c>
      <c r="S44" s="3"/>
      <c r="T44" s="8">
        <v>66.59</v>
      </c>
      <c r="U44" s="3"/>
      <c r="V44" s="7">
        <f t="shared" si="5"/>
        <v>0</v>
      </c>
      <c r="W44" s="3"/>
      <c r="X44" s="8">
        <f t="shared" si="6"/>
        <v>-34.42</v>
      </c>
      <c r="Y44" s="3"/>
      <c r="Z44" s="7">
        <f t="shared" si="7"/>
        <v>-0.51689442859288182</v>
      </c>
    </row>
    <row r="45" spans="1:26" s="68" customFormat="1" ht="15" customHeight="1" outlineLevel="1" collapsed="1" x14ac:dyDescent="0.3">
      <c r="A45" s="26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SUM(OSRRefD22_8x_0)</f>
        <v>156.47999999999999</v>
      </c>
      <c r="E45" s="2"/>
      <c r="F45" s="6">
        <f t="shared" si="0"/>
        <v>0</v>
      </c>
      <c r="G45" s="2"/>
      <c r="H45" s="2">
        <f>SUM(OSRRefH22_8x_0)</f>
        <v>115.13</v>
      </c>
      <c r="I45" s="2"/>
      <c r="J45" s="6">
        <f t="shared" si="1"/>
        <v>0</v>
      </c>
      <c r="K45" s="2"/>
      <c r="L45" s="2">
        <f t="shared" si="2"/>
        <v>41.349999999999994</v>
      </c>
      <c r="M45" s="2"/>
      <c r="N45" s="6">
        <f t="shared" si="3"/>
        <v>0.35915921132632672</v>
      </c>
      <c r="O45" s="14"/>
      <c r="P45" s="2">
        <f>SUM(OSRRefP22_8x_0)</f>
        <v>1408.32</v>
      </c>
      <c r="Q45" s="2"/>
      <c r="R45" s="6">
        <f t="shared" si="4"/>
        <v>0</v>
      </c>
      <c r="S45" s="2"/>
      <c r="T45" s="2">
        <f>SUM(OSRRefT22_8x_0)</f>
        <v>1036.17</v>
      </c>
      <c r="U45" s="2"/>
      <c r="V45" s="6">
        <f t="shared" si="5"/>
        <v>0</v>
      </c>
      <c r="W45" s="2"/>
      <c r="X45" s="2">
        <f t="shared" si="6"/>
        <v>372.14999999999986</v>
      </c>
      <c r="Y45" s="2"/>
      <c r="Z45" s="6">
        <f t="shared" si="7"/>
        <v>0.35915921132632661</v>
      </c>
    </row>
    <row r="46" spans="1:26" s="69" customFormat="1" ht="15" hidden="1" customHeight="1" outlineLevel="2" x14ac:dyDescent="0.3">
      <c r="A46" s="25"/>
      <c r="B46" s="12" t="str">
        <f>CONCATENATE("          ","6314"," - ","LIABILITY INSURANCE")</f>
        <v xml:space="preserve">          6314 - LIABILITY INSURANCE</v>
      </c>
      <c r="C46" s="12"/>
      <c r="D46" s="8">
        <v>156.47999999999999</v>
      </c>
      <c r="E46" s="3"/>
      <c r="F46" s="7">
        <f t="shared" si="0"/>
        <v>0</v>
      </c>
      <c r="G46" s="3"/>
      <c r="H46" s="8">
        <v>115.13</v>
      </c>
      <c r="I46" s="3"/>
      <c r="J46" s="7">
        <f t="shared" si="1"/>
        <v>0</v>
      </c>
      <c r="K46" s="3"/>
      <c r="L46" s="8">
        <f t="shared" si="2"/>
        <v>41.349999999999994</v>
      </c>
      <c r="M46" s="3"/>
      <c r="N46" s="7">
        <f t="shared" si="3"/>
        <v>0.35915921132632672</v>
      </c>
      <c r="O46" s="12"/>
      <c r="P46" s="8">
        <v>1408.32</v>
      </c>
      <c r="Q46" s="3"/>
      <c r="R46" s="7">
        <f t="shared" si="4"/>
        <v>0</v>
      </c>
      <c r="S46" s="3"/>
      <c r="T46" s="8">
        <v>1036.17</v>
      </c>
      <c r="U46" s="3"/>
      <c r="V46" s="7">
        <f t="shared" si="5"/>
        <v>0</v>
      </c>
      <c r="W46" s="3"/>
      <c r="X46" s="8">
        <f t="shared" si="6"/>
        <v>372.14999999999986</v>
      </c>
      <c r="Y46" s="3"/>
      <c r="Z46" s="7">
        <f t="shared" si="7"/>
        <v>0.35915921132632661</v>
      </c>
    </row>
    <row r="47" spans="1:26" s="68" customFormat="1" ht="15" customHeight="1" outlineLevel="1" collapsed="1" x14ac:dyDescent="0.3">
      <c r="A47" s="26"/>
      <c r="B47" s="14" t="str">
        <f>CONCATENATE("     ","Professional Services                             ")</f>
        <v xml:space="preserve">     Professional Services                             </v>
      </c>
      <c r="C47" s="14"/>
      <c r="D47" s="2">
        <f>SUM(OSRRefD22_9x_0)</f>
        <v>5000</v>
      </c>
      <c r="E47" s="2"/>
      <c r="F47" s="6">
        <f t="shared" si="0"/>
        <v>0</v>
      </c>
      <c r="G47" s="2"/>
      <c r="H47" s="2">
        <f>SUM(OSRRefH22_9x_0)</f>
        <v>0</v>
      </c>
      <c r="I47" s="2"/>
      <c r="J47" s="6">
        <f t="shared" si="1"/>
        <v>0</v>
      </c>
      <c r="K47" s="2"/>
      <c r="L47" s="2">
        <f t="shared" si="2"/>
        <v>5000</v>
      </c>
      <c r="M47" s="2"/>
      <c r="N47" s="6">
        <f t="shared" si="3"/>
        <v>0</v>
      </c>
      <c r="O47" s="14"/>
      <c r="P47" s="2">
        <f>SUM(OSRRefP22_9x_0)</f>
        <v>56875</v>
      </c>
      <c r="Q47" s="2"/>
      <c r="R47" s="6">
        <f t="shared" si="4"/>
        <v>0</v>
      </c>
      <c r="S47" s="2"/>
      <c r="T47" s="2">
        <f>SUM(OSRRefT22_9x_0)</f>
        <v>50379.24</v>
      </c>
      <c r="U47" s="2"/>
      <c r="V47" s="6">
        <f t="shared" si="5"/>
        <v>0</v>
      </c>
      <c r="W47" s="2"/>
      <c r="X47" s="2">
        <f t="shared" si="6"/>
        <v>6495.760000000002</v>
      </c>
      <c r="Y47" s="2"/>
      <c r="Z47" s="6">
        <f t="shared" si="7"/>
        <v>0.12893723684597072</v>
      </c>
    </row>
    <row r="48" spans="1:26" s="69" customFormat="1" ht="15" hidden="1" customHeight="1" outlineLevel="2" x14ac:dyDescent="0.3">
      <c r="A48" s="25"/>
      <c r="B48" s="12" t="str">
        <f>CONCATENATE("          ","6331"," - ","INDIRECT COSTS-AUXILIARY ORGAN")</f>
        <v xml:space="preserve">          6331 - INDIRECT COSTS-AUXILIARY ORGAN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48350</v>
      </c>
      <c r="Q48" s="3"/>
      <c r="R48" s="7">
        <f t="shared" si="4"/>
        <v>0</v>
      </c>
      <c r="S48" s="3"/>
      <c r="T48" s="8">
        <v>45850</v>
      </c>
      <c r="U48" s="3"/>
      <c r="V48" s="7">
        <f t="shared" si="5"/>
        <v>0</v>
      </c>
      <c r="W48" s="3"/>
      <c r="X48" s="8">
        <f t="shared" si="6"/>
        <v>2500</v>
      </c>
      <c r="Y48" s="3"/>
      <c r="Z48" s="7">
        <f t="shared" si="7"/>
        <v>5.4525627044711013E-2</v>
      </c>
    </row>
    <row r="49" spans="1:26" s="69" customFormat="1" ht="15" hidden="1" customHeight="1" outlineLevel="2" x14ac:dyDescent="0.3">
      <c r="A49" s="25"/>
      <c r="B49" s="12" t="str">
        <f>CONCATENATE("          ","6334"," - ","LEGAL COUNCIL EXPENSE")</f>
        <v xml:space="preserve">          6334 - LEGAL COUNCIL EXPENSE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200</v>
      </c>
      <c r="Q49" s="3"/>
      <c r="R49" s="7">
        <f t="shared" si="4"/>
        <v>0</v>
      </c>
      <c r="S49" s="3"/>
      <c r="T49" s="8">
        <v>4529.24</v>
      </c>
      <c r="U49" s="3"/>
      <c r="V49" s="7">
        <f t="shared" si="5"/>
        <v>0</v>
      </c>
      <c r="W49" s="3"/>
      <c r="X49" s="8">
        <f t="shared" si="6"/>
        <v>-4329.24</v>
      </c>
      <c r="Y49" s="3"/>
      <c r="Z49" s="7">
        <f t="shared" si="7"/>
        <v>-0.95584248129929084</v>
      </c>
    </row>
    <row r="50" spans="1:26" s="69" customFormat="1" ht="15" hidden="1" customHeight="1" outlineLevel="2" x14ac:dyDescent="0.3">
      <c r="A50" s="25"/>
      <c r="B50" s="12" t="str">
        <f>CONCATENATE("          ","6336"," - ","PROFESSIONAL SERVICES")</f>
        <v xml:space="preserve">          6336 - PROFESSIONAL SERVICES</v>
      </c>
      <c r="C50" s="12"/>
      <c r="D50" s="8">
        <v>5000</v>
      </c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5000</v>
      </c>
      <c r="M50" s="3"/>
      <c r="N50" s="7">
        <f t="shared" si="3"/>
        <v>0</v>
      </c>
      <c r="O50" s="12"/>
      <c r="P50" s="8">
        <v>8325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8325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6"/>
      <c r="B51" s="14" t="str">
        <f>CONCATENATE("     ","Repair and Maintenance                            ")</f>
        <v xml:space="preserve">     Repair and Maintenance                            </v>
      </c>
      <c r="C51" s="14"/>
      <c r="D51" s="2">
        <f>SUM(OSRRefD22_10x_0)</f>
        <v>9603.02</v>
      </c>
      <c r="E51" s="2"/>
      <c r="F51" s="6">
        <f t="shared" si="0"/>
        <v>0</v>
      </c>
      <c r="G51" s="2"/>
      <c r="H51" s="2">
        <f>SUM(OSRRefH22_10x_0)</f>
        <v>4037.51</v>
      </c>
      <c r="I51" s="2"/>
      <c r="J51" s="6">
        <f t="shared" si="1"/>
        <v>0</v>
      </c>
      <c r="K51" s="2"/>
      <c r="L51" s="2">
        <f t="shared" si="2"/>
        <v>5565.51</v>
      </c>
      <c r="M51" s="2"/>
      <c r="N51" s="6">
        <f t="shared" si="3"/>
        <v>1.3784510750437771</v>
      </c>
      <c r="O51" s="14"/>
      <c r="P51" s="2">
        <f>SUM(OSRRefP22_10x_0)</f>
        <v>25525.710000000003</v>
      </c>
      <c r="Q51" s="2"/>
      <c r="R51" s="6">
        <f t="shared" si="4"/>
        <v>0</v>
      </c>
      <c r="S51" s="2"/>
      <c r="T51" s="2">
        <f>SUM(OSRRefT22_10x_0)</f>
        <v>19911.73</v>
      </c>
      <c r="U51" s="2"/>
      <c r="V51" s="6">
        <f t="shared" si="5"/>
        <v>0</v>
      </c>
      <c r="W51" s="2"/>
      <c r="X51" s="2">
        <f t="shared" si="6"/>
        <v>5613.9800000000032</v>
      </c>
      <c r="Y51" s="2"/>
      <c r="Z51" s="6">
        <f t="shared" si="7"/>
        <v>0.28194335700614681</v>
      </c>
    </row>
    <row r="52" spans="1:26" s="69" customFormat="1" ht="15" hidden="1" customHeight="1" outlineLevel="2" x14ac:dyDescent="0.3">
      <c r="A52" s="25"/>
      <c r="B52" s="12" t="str">
        <f>CONCATENATE("          ","6371"," - ","COMPUTER SOFTWARE MAINTENANCE")</f>
        <v xml:space="preserve">          6371 - COMPUTER SOFTWARE MAINTENANCE</v>
      </c>
      <c r="C52" s="12"/>
      <c r="D52" s="8"/>
      <c r="E52" s="3"/>
      <c r="F52" s="7">
        <f t="shared" si="0"/>
        <v>0</v>
      </c>
      <c r="G52" s="3"/>
      <c r="H52" s="8">
        <v>1980</v>
      </c>
      <c r="I52" s="3"/>
      <c r="J52" s="7">
        <f t="shared" si="1"/>
        <v>0</v>
      </c>
      <c r="K52" s="3"/>
      <c r="L52" s="8">
        <f t="shared" si="2"/>
        <v>-1980</v>
      </c>
      <c r="M52" s="3"/>
      <c r="N52" s="7">
        <f t="shared" si="3"/>
        <v>-1</v>
      </c>
      <c r="O52" s="12"/>
      <c r="P52" s="8"/>
      <c r="Q52" s="3"/>
      <c r="R52" s="7">
        <f t="shared" si="4"/>
        <v>0</v>
      </c>
      <c r="S52" s="3"/>
      <c r="T52" s="8">
        <v>1980</v>
      </c>
      <c r="U52" s="3"/>
      <c r="V52" s="7">
        <f t="shared" si="5"/>
        <v>0</v>
      </c>
      <c r="W52" s="3"/>
      <c r="X52" s="8">
        <f t="shared" si="6"/>
        <v>-1980</v>
      </c>
      <c r="Y52" s="3"/>
      <c r="Z52" s="7">
        <f t="shared" si="7"/>
        <v>-1</v>
      </c>
    </row>
    <row r="53" spans="1:26" s="69" customFormat="1" ht="15" hidden="1" customHeight="1" outlineLevel="2" x14ac:dyDescent="0.3">
      <c r="A53" s="25"/>
      <c r="B53" s="12" t="str">
        <f>CONCATENATE("          ","6373"," - ","MAINTENANCE CONTRACTS")</f>
        <v xml:space="preserve">          6373 - MAINTENANCE CONTRACTS</v>
      </c>
      <c r="C53" s="12"/>
      <c r="D53" s="8">
        <v>9603.02</v>
      </c>
      <c r="E53" s="3"/>
      <c r="F53" s="7">
        <f t="shared" si="0"/>
        <v>0</v>
      </c>
      <c r="G53" s="3"/>
      <c r="H53" s="8">
        <v>2057.5100000000002</v>
      </c>
      <c r="I53" s="3"/>
      <c r="J53" s="7">
        <f t="shared" si="1"/>
        <v>0</v>
      </c>
      <c r="K53" s="3"/>
      <c r="L53" s="8">
        <f t="shared" si="2"/>
        <v>7545.51</v>
      </c>
      <c r="M53" s="3"/>
      <c r="N53" s="7">
        <f t="shared" si="3"/>
        <v>3.6673017385091686</v>
      </c>
      <c r="O53" s="12"/>
      <c r="P53" s="8">
        <v>25427.72</v>
      </c>
      <c r="Q53" s="3"/>
      <c r="R53" s="7">
        <f t="shared" si="4"/>
        <v>0</v>
      </c>
      <c r="S53" s="3"/>
      <c r="T53" s="8">
        <v>17931.73</v>
      </c>
      <c r="U53" s="3"/>
      <c r="V53" s="7">
        <f t="shared" si="5"/>
        <v>0</v>
      </c>
      <c r="W53" s="3"/>
      <c r="X53" s="8">
        <f t="shared" si="6"/>
        <v>7495.9900000000016</v>
      </c>
      <c r="Y53" s="3"/>
      <c r="Z53" s="7">
        <f t="shared" si="7"/>
        <v>0.41802938143726243</v>
      </c>
    </row>
    <row r="54" spans="1:26" s="69" customFormat="1" ht="15" hidden="1" customHeight="1" outlineLevel="2" x14ac:dyDescent="0.3">
      <c r="A54" s="25"/>
      <c r="B54" s="12" t="str">
        <f>CONCATENATE("          ","6375"," - ","OUTSIDE REPAIRS &amp; MAINTENANCE")</f>
        <v xml:space="preserve">          6375 - OUTSIDE REPAIRS &amp; MAINTENANCE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>
        <v>97.99</v>
      </c>
      <c r="Q54" s="3"/>
      <c r="R54" s="7">
        <f t="shared" si="4"/>
        <v>0</v>
      </c>
      <c r="S54" s="3"/>
      <c r="T54" s="8"/>
      <c r="U54" s="3"/>
      <c r="V54" s="7">
        <f t="shared" si="5"/>
        <v>0</v>
      </c>
      <c r="W54" s="3"/>
      <c r="X54" s="8">
        <f t="shared" si="6"/>
        <v>97.99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6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2">
        <f>SUM(OSRRefD22_11x_0)</f>
        <v>775</v>
      </c>
      <c r="E55" s="2"/>
      <c r="F55" s="6">
        <f t="shared" si="0"/>
        <v>0</v>
      </c>
      <c r="G55" s="2"/>
      <c r="H55" s="2">
        <f>SUM(OSRRefH22_11x_0)</f>
        <v>0</v>
      </c>
      <c r="I55" s="2"/>
      <c r="J55" s="6">
        <f t="shared" si="1"/>
        <v>0</v>
      </c>
      <c r="K55" s="2"/>
      <c r="L55" s="2">
        <f t="shared" si="2"/>
        <v>775</v>
      </c>
      <c r="M55" s="2"/>
      <c r="N55" s="6">
        <f t="shared" si="3"/>
        <v>0</v>
      </c>
      <c r="O55" s="14"/>
      <c r="P55" s="2">
        <f>SUM(OSRRefP22_11x_0)</f>
        <v>1775</v>
      </c>
      <c r="Q55" s="2"/>
      <c r="R55" s="6">
        <f t="shared" si="4"/>
        <v>0</v>
      </c>
      <c r="S55" s="2"/>
      <c r="T55" s="2">
        <f>SUM(OSRRefT22_11x_0)</f>
        <v>1725</v>
      </c>
      <c r="U55" s="2"/>
      <c r="V55" s="6">
        <f t="shared" si="5"/>
        <v>0</v>
      </c>
      <c r="W55" s="2"/>
      <c r="X55" s="2">
        <f t="shared" si="6"/>
        <v>50</v>
      </c>
      <c r="Y55" s="2"/>
      <c r="Z55" s="6">
        <f t="shared" si="7"/>
        <v>2.8985507246376812E-2</v>
      </c>
    </row>
    <row r="56" spans="1:26" s="69" customFormat="1" ht="15" hidden="1" customHeight="1" outlineLevel="2" x14ac:dyDescent="0.3">
      <c r="A56" s="25"/>
      <c r="B56" s="12" t="str">
        <f>CONCATENATE("          ","6258"," - ","MEMBERSHIP DUES")</f>
        <v xml:space="preserve">          6258 - MEMBERSHIP DUES</v>
      </c>
      <c r="C56" s="12"/>
      <c r="D56" s="8">
        <v>775</v>
      </c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775</v>
      </c>
      <c r="M56" s="3"/>
      <c r="N56" s="7">
        <f t="shared" si="3"/>
        <v>0</v>
      </c>
      <c r="O56" s="12"/>
      <c r="P56" s="8">
        <v>1775</v>
      </c>
      <c r="Q56" s="3"/>
      <c r="R56" s="7">
        <f t="shared" si="4"/>
        <v>0</v>
      </c>
      <c r="S56" s="3"/>
      <c r="T56" s="8">
        <v>1725</v>
      </c>
      <c r="U56" s="3"/>
      <c r="V56" s="7">
        <f t="shared" si="5"/>
        <v>0</v>
      </c>
      <c r="W56" s="3"/>
      <c r="X56" s="8">
        <f t="shared" si="6"/>
        <v>50</v>
      </c>
      <c r="Y56" s="3"/>
      <c r="Z56" s="7">
        <f t="shared" si="7"/>
        <v>2.8985507246376812E-2</v>
      </c>
    </row>
    <row r="57" spans="1:26" s="68" customFormat="1" ht="15" customHeight="1" outlineLevel="1" collapsed="1" x14ac:dyDescent="0.3">
      <c r="A57" s="26"/>
      <c r="B57" s="14" t="str">
        <f>CONCATENATE("     ","Supplies                                          ")</f>
        <v xml:space="preserve">     Supplies                                          </v>
      </c>
      <c r="C57" s="14"/>
      <c r="D57" s="2">
        <f>SUM(OSRRefD22_12x_0)</f>
        <v>0</v>
      </c>
      <c r="E57" s="2"/>
      <c r="F57" s="6">
        <f t="shared" si="0"/>
        <v>0</v>
      </c>
      <c r="G57" s="2"/>
      <c r="H57" s="2">
        <f>SUM(OSRRefH22_12x_0)</f>
        <v>53.18</v>
      </c>
      <c r="I57" s="2"/>
      <c r="J57" s="6">
        <f t="shared" si="1"/>
        <v>0</v>
      </c>
      <c r="K57" s="2"/>
      <c r="L57" s="2">
        <f t="shared" si="2"/>
        <v>-53.18</v>
      </c>
      <c r="M57" s="2"/>
      <c r="N57" s="6">
        <f t="shared" si="3"/>
        <v>-1</v>
      </c>
      <c r="O57" s="14"/>
      <c r="P57" s="2">
        <f>SUM(OSRRefP22_12x_0)</f>
        <v>409.15</v>
      </c>
      <c r="Q57" s="2"/>
      <c r="R57" s="6">
        <f t="shared" si="4"/>
        <v>0</v>
      </c>
      <c r="S57" s="2"/>
      <c r="T57" s="2">
        <f>SUM(OSRRefT22_12x_0)</f>
        <v>643.69000000000005</v>
      </c>
      <c r="U57" s="2"/>
      <c r="V57" s="6">
        <f t="shared" si="5"/>
        <v>0</v>
      </c>
      <c r="W57" s="2"/>
      <c r="X57" s="2">
        <f t="shared" si="6"/>
        <v>-234.54000000000008</v>
      </c>
      <c r="Y57" s="2"/>
      <c r="Z57" s="6">
        <f t="shared" si="7"/>
        <v>-0.36436794108965503</v>
      </c>
    </row>
    <row r="58" spans="1:26" s="69" customFormat="1" ht="15" hidden="1" customHeight="1" outlineLevel="2" x14ac:dyDescent="0.3">
      <c r="A58" s="25"/>
      <c r="B58" s="12" t="str">
        <f>CONCATENATE("          ","6235"," - ","COVID-19 EXPENSES")</f>
        <v xml:space="preserve">          6235 - COVID-19 EXPENSES</v>
      </c>
      <c r="C58" s="12"/>
      <c r="D58" s="8"/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/>
      <c r="Q58" s="3"/>
      <c r="R58" s="7">
        <f t="shared" si="4"/>
        <v>0</v>
      </c>
      <c r="S58" s="3"/>
      <c r="T58" s="8">
        <v>106.94</v>
      </c>
      <c r="U58" s="3"/>
      <c r="V58" s="7">
        <f t="shared" si="5"/>
        <v>0</v>
      </c>
      <c r="W58" s="3"/>
      <c r="X58" s="8">
        <f t="shared" si="6"/>
        <v>-106.94</v>
      </c>
      <c r="Y58" s="3"/>
      <c r="Z58" s="7">
        <f t="shared" si="7"/>
        <v>-1</v>
      </c>
    </row>
    <row r="59" spans="1:26" s="69" customFormat="1" ht="15" hidden="1" customHeight="1" outlineLevel="2" x14ac:dyDescent="0.3">
      <c r="A59" s="25"/>
      <c r="B59" s="12" t="str">
        <f>CONCATENATE("          ","6241"," - ","OFFICE EXPENSE")</f>
        <v xml:space="preserve">          6241 - OFFICE EXPENSE</v>
      </c>
      <c r="C59" s="12"/>
      <c r="D59" s="8"/>
      <c r="E59" s="3"/>
      <c r="F59" s="7">
        <f t="shared" si="0"/>
        <v>0</v>
      </c>
      <c r="G59" s="3"/>
      <c r="H59" s="8">
        <v>53.18</v>
      </c>
      <c r="I59" s="3"/>
      <c r="J59" s="7">
        <f t="shared" si="1"/>
        <v>0</v>
      </c>
      <c r="K59" s="3"/>
      <c r="L59" s="8">
        <f t="shared" si="2"/>
        <v>-53.18</v>
      </c>
      <c r="M59" s="3"/>
      <c r="N59" s="7">
        <f t="shared" si="3"/>
        <v>-1</v>
      </c>
      <c r="O59" s="12"/>
      <c r="P59" s="8">
        <v>409.15</v>
      </c>
      <c r="Q59" s="3"/>
      <c r="R59" s="7">
        <f t="shared" si="4"/>
        <v>0</v>
      </c>
      <c r="S59" s="3"/>
      <c r="T59" s="8">
        <v>536.75</v>
      </c>
      <c r="U59" s="3"/>
      <c r="V59" s="7">
        <f t="shared" si="5"/>
        <v>0</v>
      </c>
      <c r="W59" s="3"/>
      <c r="X59" s="8">
        <f t="shared" si="6"/>
        <v>-127.60000000000002</v>
      </c>
      <c r="Y59" s="3"/>
      <c r="Z59" s="7">
        <f t="shared" si="7"/>
        <v>-0.23772706101537033</v>
      </c>
    </row>
    <row r="60" spans="1:26" s="68" customFormat="1" ht="15" customHeight="1" outlineLevel="1" collapsed="1" x14ac:dyDescent="0.3">
      <c r="A60" s="26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SUM(OSRRefD22_13x_0)</f>
        <v>423.44</v>
      </c>
      <c r="E60" s="2"/>
      <c r="F60" s="6">
        <f t="shared" si="0"/>
        <v>0</v>
      </c>
      <c r="G60" s="2"/>
      <c r="H60" s="2">
        <f>SUM(OSRRefH22_13x_0)</f>
        <v>310.44</v>
      </c>
      <c r="I60" s="2"/>
      <c r="J60" s="6">
        <f t="shared" si="1"/>
        <v>0</v>
      </c>
      <c r="K60" s="2"/>
      <c r="L60" s="2">
        <f t="shared" si="2"/>
        <v>113</v>
      </c>
      <c r="M60" s="2"/>
      <c r="N60" s="6">
        <f t="shared" si="3"/>
        <v>0.3639994846024997</v>
      </c>
      <c r="O60" s="14"/>
      <c r="P60" s="2">
        <f>SUM(OSRRefP22_13x_0)</f>
        <v>3964.88</v>
      </c>
      <c r="Q60" s="2"/>
      <c r="R60" s="6">
        <f t="shared" si="4"/>
        <v>0</v>
      </c>
      <c r="S60" s="2"/>
      <c r="T60" s="2">
        <f>SUM(OSRRefT22_13x_0)</f>
        <v>3724.31</v>
      </c>
      <c r="U60" s="2"/>
      <c r="V60" s="6">
        <f t="shared" si="5"/>
        <v>0</v>
      </c>
      <c r="W60" s="2"/>
      <c r="X60" s="2">
        <f t="shared" si="6"/>
        <v>240.57000000000016</v>
      </c>
      <c r="Y60" s="2"/>
      <c r="Z60" s="6">
        <f t="shared" si="7"/>
        <v>6.4594515494145271E-2</v>
      </c>
    </row>
    <row r="61" spans="1:26" s="69" customFormat="1" ht="15" hidden="1" customHeight="1" outlineLevel="2" x14ac:dyDescent="0.3">
      <c r="A61" s="25"/>
      <c r="B61" s="12" t="str">
        <f>CONCATENATE("          ","6309"," - ","TELEPHONE")</f>
        <v xml:space="preserve">          6309 - TELEPHONE</v>
      </c>
      <c r="C61" s="12"/>
      <c r="D61" s="8">
        <v>423.44</v>
      </c>
      <c r="E61" s="3"/>
      <c r="F61" s="7">
        <f t="shared" si="0"/>
        <v>0</v>
      </c>
      <c r="G61" s="3"/>
      <c r="H61" s="8">
        <v>310.44</v>
      </c>
      <c r="I61" s="3"/>
      <c r="J61" s="7">
        <f t="shared" si="1"/>
        <v>0</v>
      </c>
      <c r="K61" s="3"/>
      <c r="L61" s="8">
        <f t="shared" si="2"/>
        <v>113</v>
      </c>
      <c r="M61" s="3"/>
      <c r="N61" s="7">
        <f t="shared" si="3"/>
        <v>0.3639994846024997</v>
      </c>
      <c r="O61" s="12"/>
      <c r="P61" s="8">
        <v>3964.88</v>
      </c>
      <c r="Q61" s="3"/>
      <c r="R61" s="7">
        <f t="shared" si="4"/>
        <v>0</v>
      </c>
      <c r="S61" s="3"/>
      <c r="T61" s="8">
        <v>3724.31</v>
      </c>
      <c r="U61" s="3"/>
      <c r="V61" s="7">
        <f t="shared" si="5"/>
        <v>0</v>
      </c>
      <c r="W61" s="3"/>
      <c r="X61" s="8">
        <f t="shared" si="6"/>
        <v>240.57000000000016</v>
      </c>
      <c r="Y61" s="3"/>
      <c r="Z61" s="7">
        <f t="shared" si="7"/>
        <v>6.4594515494145271E-2</v>
      </c>
    </row>
    <row r="62" spans="1:26" s="68" customFormat="1" ht="15" customHeight="1" outlineLevel="1" collapsed="1" x14ac:dyDescent="0.3">
      <c r="A62" s="26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SUM(OSRRefD22_14x_0)</f>
        <v>-595</v>
      </c>
      <c r="E62" s="2"/>
      <c r="F62" s="6">
        <f t="shared" si="0"/>
        <v>0</v>
      </c>
      <c r="G62" s="2"/>
      <c r="H62" s="2">
        <f>SUM(OSRRefH22_14x_0)</f>
        <v>0</v>
      </c>
      <c r="I62" s="2"/>
      <c r="J62" s="6">
        <f t="shared" si="1"/>
        <v>0</v>
      </c>
      <c r="K62" s="2"/>
      <c r="L62" s="2">
        <f t="shared" si="2"/>
        <v>-595</v>
      </c>
      <c r="M62" s="2"/>
      <c r="N62" s="6">
        <f t="shared" si="3"/>
        <v>0</v>
      </c>
      <c r="O62" s="14"/>
      <c r="P62" s="2">
        <f>SUM(OSRRefP22_14x_0)</f>
        <v>0</v>
      </c>
      <c r="Q62" s="2"/>
      <c r="R62" s="6">
        <f t="shared" si="4"/>
        <v>0</v>
      </c>
      <c r="S62" s="2"/>
      <c r="T62" s="2">
        <f>SUM(OSRRefT22_14x_0)</f>
        <v>1276.5</v>
      </c>
      <c r="U62" s="2"/>
      <c r="V62" s="6">
        <f t="shared" si="5"/>
        <v>0</v>
      </c>
      <c r="W62" s="2"/>
      <c r="X62" s="2">
        <f t="shared" si="6"/>
        <v>-1276.5</v>
      </c>
      <c r="Y62" s="2"/>
      <c r="Z62" s="6">
        <f t="shared" si="7"/>
        <v>-1</v>
      </c>
    </row>
    <row r="63" spans="1:26" s="69" customFormat="1" ht="15" hidden="1" customHeight="1" outlineLevel="2" x14ac:dyDescent="0.3">
      <c r="A63" s="25"/>
      <c r="B63" s="12" t="str">
        <f>CONCATENATE("          ","6376"," - ","TRAINING")</f>
        <v xml:space="preserve">          6376 - TRAINING</v>
      </c>
      <c r="C63" s="12"/>
      <c r="D63" s="8">
        <v>-595</v>
      </c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-595</v>
      </c>
      <c r="M63" s="3"/>
      <c r="N63" s="7">
        <f t="shared" si="3"/>
        <v>0</v>
      </c>
      <c r="O63" s="12"/>
      <c r="P63" s="8">
        <v>0</v>
      </c>
      <c r="Q63" s="3"/>
      <c r="R63" s="7">
        <f t="shared" si="4"/>
        <v>0</v>
      </c>
      <c r="S63" s="3"/>
      <c r="T63" s="8">
        <v>1276.5</v>
      </c>
      <c r="U63" s="3"/>
      <c r="V63" s="7">
        <f t="shared" si="5"/>
        <v>0</v>
      </c>
      <c r="W63" s="3"/>
      <c r="X63" s="8">
        <f t="shared" si="6"/>
        <v>-1276.5</v>
      </c>
      <c r="Y63" s="3"/>
      <c r="Z63" s="7">
        <f t="shared" si="7"/>
        <v>-1</v>
      </c>
    </row>
    <row r="64" spans="1:26" s="64" customFormat="1" ht="15" customHeight="1" x14ac:dyDescent="0.3">
      <c r="A64" s="36"/>
      <c r="B64" s="36"/>
      <c r="C64" s="36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2" customFormat="1" ht="15" customHeight="1" x14ac:dyDescent="0.3">
      <c r="A65" s="11"/>
      <c r="B65" s="28" t="s">
        <v>290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3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2" customFormat="1" ht="15" customHeight="1" x14ac:dyDescent="0.3">
      <c r="A67" s="11"/>
      <c r="B67" s="27" t="s">
        <v>291</v>
      </c>
      <c r="C67" s="27"/>
      <c r="D67" s="22">
        <f>+D16-D18+D65</f>
        <v>-49480.820000000007</v>
      </c>
      <c r="E67" s="15"/>
      <c r="F67" s="21">
        <f>IF(D$12=0,0,D67/D$12)</f>
        <v>0</v>
      </c>
      <c r="G67" s="15"/>
      <c r="H67" s="22">
        <f>+H16-H18+H65</f>
        <v>-33993.58</v>
      </c>
      <c r="I67" s="15"/>
      <c r="J67" s="21">
        <f>IF(H$12=0,0,H67/H$12)</f>
        <v>0</v>
      </c>
      <c r="K67" s="17"/>
      <c r="L67" s="22">
        <f>+D67-H67</f>
        <v>-15487.240000000005</v>
      </c>
      <c r="M67" s="17"/>
      <c r="N67" s="21">
        <f>IF(H67=0,0,L67/H67)</f>
        <v>0.45559308551791261</v>
      </c>
      <c r="O67" s="28"/>
      <c r="P67" s="22">
        <f>+P16-P18+P65</f>
        <v>-440806.99</v>
      </c>
      <c r="Q67" s="15"/>
      <c r="R67" s="21">
        <f>IF(P$12=0,0,P67/P$12)</f>
        <v>0</v>
      </c>
      <c r="S67" s="15"/>
      <c r="T67" s="22">
        <f>+T16-T18+T65</f>
        <v>-333115.45999999996</v>
      </c>
      <c r="U67" s="15"/>
      <c r="V67" s="21">
        <f>IF(T$12=0,0,T67/T$12)</f>
        <v>0</v>
      </c>
      <c r="W67" s="17"/>
      <c r="X67" s="22">
        <f>+P67-T67</f>
        <v>-107691.53000000003</v>
      </c>
      <c r="Y67" s="17"/>
      <c r="Z67" s="21">
        <f>IF(T67=0,0,X67/T67)</f>
        <v>0.32328589612742692</v>
      </c>
    </row>
    <row r="68" spans="1:26" ht="15" customHeight="1" x14ac:dyDescent="0.3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48"/>
      <c r="B69" s="11" t="s">
        <v>292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3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7" t="s">
        <v>293</v>
      </c>
      <c r="C71" s="27"/>
      <c r="D71" s="34">
        <f>+D67-D69</f>
        <v>-49480.820000000007</v>
      </c>
      <c r="E71" s="15"/>
      <c r="F71" s="33">
        <f>IF(D$12=0,0,D71/D$12)</f>
        <v>0</v>
      </c>
      <c r="G71" s="15"/>
      <c r="H71" s="34">
        <f>+H67-H69</f>
        <v>-33993.58</v>
      </c>
      <c r="I71" s="15"/>
      <c r="J71" s="33">
        <f>IF(H$12=0,0,H71/H$12)</f>
        <v>0</v>
      </c>
      <c r="K71" s="17"/>
      <c r="L71" s="34">
        <f>D71-H71</f>
        <v>-15487.240000000005</v>
      </c>
      <c r="M71" s="17"/>
      <c r="N71" s="33">
        <f>IF(H71=0,0,L71/H71)</f>
        <v>0.45559308551791261</v>
      </c>
      <c r="O71" s="28"/>
      <c r="P71" s="34">
        <f>+P67-P69</f>
        <v>-440806.99</v>
      </c>
      <c r="Q71" s="15"/>
      <c r="R71" s="33">
        <f>IF(P$12=0,0,P71/P$12)</f>
        <v>0</v>
      </c>
      <c r="S71" s="15"/>
      <c r="T71" s="34">
        <f>+T67-T69</f>
        <v>-333115.45999999996</v>
      </c>
      <c r="U71" s="15"/>
      <c r="V71" s="33">
        <f>IF(T$12=0,0,T71/T$12)</f>
        <v>0</v>
      </c>
      <c r="W71" s="17"/>
      <c r="X71" s="34">
        <f>P71-T71</f>
        <v>-107691.53000000003</v>
      </c>
      <c r="Y71" s="17"/>
      <c r="Z71" s="33">
        <f>IF(T71=0,0,X71/T71)</f>
        <v>0.32328589612742692</v>
      </c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2" customFormat="1" ht="15" customHeight="1" x14ac:dyDescent="0.3">
      <c r="A74" s="11"/>
      <c r="B74" s="27" t="s">
        <v>296</v>
      </c>
      <c r="C74" s="27"/>
      <c r="D74" s="31">
        <f>SUM(D71:D73)</f>
        <v>-49480.820000000007</v>
      </c>
      <c r="E74" s="15"/>
      <c r="F74" s="32">
        <f>IF(D$12=0,0,D74/D$12)</f>
        <v>0</v>
      </c>
      <c r="G74" s="15"/>
      <c r="H74" s="31">
        <f>SUM(H71:H73)</f>
        <v>-33993.58</v>
      </c>
      <c r="I74" s="15"/>
      <c r="J74" s="32">
        <f>IF(H$12=0,0,H74/H$12)</f>
        <v>0</v>
      </c>
      <c r="K74" s="17"/>
      <c r="L74" s="31">
        <f>+D74-H74</f>
        <v>-15487.240000000005</v>
      </c>
      <c r="M74" s="17"/>
      <c r="N74" s="32">
        <f>IF(H74=0,0,L74/H74)</f>
        <v>0.45559308551791261</v>
      </c>
      <c r="O74" s="28"/>
      <c r="P74" s="31">
        <f>SUM(P71:P73)</f>
        <v>-440806.99</v>
      </c>
      <c r="Q74" s="15"/>
      <c r="R74" s="32">
        <f>IF(P$12=0,0,P74/P$12)</f>
        <v>0</v>
      </c>
      <c r="S74" s="15"/>
      <c r="T74" s="31">
        <f>SUM(T71:T73)</f>
        <v>-333115.45999999996</v>
      </c>
      <c r="U74" s="15"/>
      <c r="V74" s="32">
        <f>IF(T$12=0,0,T74/T$12)</f>
        <v>0</v>
      </c>
      <c r="W74" s="17"/>
      <c r="X74" s="31">
        <f>+P74-T74</f>
        <v>-107691.53000000003</v>
      </c>
      <c r="Y74" s="17"/>
      <c r="Z74" s="32">
        <f>IF(T74=0,0,X74/T74)</f>
        <v>0.32328589612742692</v>
      </c>
    </row>
    <row r="75" spans="1:26" ht="15" customHeight="1" x14ac:dyDescent="0.3">
      <c r="A75" s="10"/>
      <c r="C75" s="10"/>
      <c r="D75" s="19"/>
      <c r="E75" s="19"/>
      <c r="G75" s="19"/>
      <c r="H75" s="19"/>
      <c r="I75" s="19"/>
      <c r="J75" s="40"/>
      <c r="K75" s="19"/>
      <c r="L75" s="19"/>
      <c r="M75" s="19"/>
      <c r="P75" s="19"/>
      <c r="Q75" s="19"/>
      <c r="R75" s="40"/>
      <c r="S75" s="19"/>
      <c r="T75" s="19"/>
      <c r="U75" s="19"/>
      <c r="V75" s="40"/>
      <c r="W75" s="19"/>
      <c r="X75" s="19"/>
    </row>
    <row r="76" spans="1:26" ht="15" customHeight="1" x14ac:dyDescent="0.3">
      <c r="A76" s="10"/>
      <c r="B76" s="56">
        <v>44663.03859679398</v>
      </c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  <row r="77" spans="1:26" ht="15" customHeight="1" x14ac:dyDescent="0.3">
      <c r="A77" s="10"/>
      <c r="B77" s="57" t="s">
        <v>297</v>
      </c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8"/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C1784-02B9-ACDA-2EFF-63AD15A4095D}">
  <sheetPr>
    <tabColor rgb="FF92D050"/>
    <outlinePr summaryBelow="0" summaryRight="0"/>
  </sheetPr>
  <dimension ref="A2:Z7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","202"," - ","Accounting")</f>
        <v>Department 202 - Accounting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75317.290000000008</v>
      </c>
      <c r="E18" s="23"/>
      <c r="F18" s="35">
        <f t="shared" ref="F18:F58" si="0">IF(D$12=0,0,D18/D$12)</f>
        <v>0</v>
      </c>
      <c r="G18" s="23"/>
      <c r="H18" s="23" cm="1">
        <f t="array" ref="H18">SUM(OSRRefH22x_0)</f>
        <v>56260.219999999994</v>
      </c>
      <c r="I18" s="23"/>
      <c r="J18" s="35">
        <f t="shared" ref="J18:J58" si="1">IF(H$12=0,0,H18/H$12)</f>
        <v>0</v>
      </c>
      <c r="K18" s="5"/>
      <c r="L18" s="23">
        <f t="shared" ref="L18:L58" si="2">+D18-H18</f>
        <v>19057.070000000014</v>
      </c>
      <c r="M18" s="5"/>
      <c r="N18" s="35">
        <f t="shared" ref="N18:N58" si="3">IF(H18=0,0,L18/H18)</f>
        <v>0.3387308119307037</v>
      </c>
      <c r="O18" s="11"/>
      <c r="P18" s="23" cm="1">
        <f t="array" ref="P18">SUM(OSRRefP22x_0)</f>
        <v>408339.31999999995</v>
      </c>
      <c r="Q18" s="23"/>
      <c r="R18" s="35">
        <f t="shared" ref="R18:R58" si="4">IF(P$12=0,0,P18/P$12)</f>
        <v>0</v>
      </c>
      <c r="S18" s="23"/>
      <c r="T18" s="23" cm="1">
        <f t="array" ref="T18">SUM(OSRRefT22x_0)</f>
        <v>377764.95000000007</v>
      </c>
      <c r="U18" s="23"/>
      <c r="V18" s="35">
        <f t="shared" ref="V18:V58" si="5">IF(T$12=0,0,T18/T$12)</f>
        <v>0</v>
      </c>
      <c r="W18" s="5"/>
      <c r="X18" s="23">
        <f t="shared" ref="X18:X58" si="6">+P18-T18</f>
        <v>30574.369999999879</v>
      </c>
      <c r="Y18" s="5"/>
      <c r="Z18" s="35">
        <f t="shared" ref="Z18:Z58" si="7">IF(T18=0,0,X18/T18)</f>
        <v>8.0934904098434415E-2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12851.099999999999</v>
      </c>
      <c r="E19" s="2"/>
      <c r="F19" s="6">
        <f t="shared" si="0"/>
        <v>0</v>
      </c>
      <c r="G19" s="2"/>
      <c r="H19" s="2">
        <f>SUM(OSRRefH22_0x_0)</f>
        <v>12783.82</v>
      </c>
      <c r="I19" s="2"/>
      <c r="J19" s="6">
        <f t="shared" si="1"/>
        <v>0</v>
      </c>
      <c r="K19" s="2"/>
      <c r="L19" s="2">
        <f t="shared" si="2"/>
        <v>67.279999999998836</v>
      </c>
      <c r="M19" s="2"/>
      <c r="N19" s="6">
        <f t="shared" si="3"/>
        <v>5.2629026378655857E-3</v>
      </c>
      <c r="O19" s="14"/>
      <c r="P19" s="2">
        <f>SUM(OSRRefP22_0x_0)</f>
        <v>123699.07999999997</v>
      </c>
      <c r="Q19" s="2"/>
      <c r="R19" s="6">
        <f t="shared" si="4"/>
        <v>0</v>
      </c>
      <c r="S19" s="2"/>
      <c r="T19" s="2">
        <f>SUM(OSRRefT22_0x_0)</f>
        <v>119075.63000000002</v>
      </c>
      <c r="U19" s="2"/>
      <c r="V19" s="6">
        <f t="shared" si="5"/>
        <v>0</v>
      </c>
      <c r="W19" s="2"/>
      <c r="X19" s="2">
        <f t="shared" si="6"/>
        <v>4623.4499999999534</v>
      </c>
      <c r="Y19" s="2"/>
      <c r="Z19" s="6">
        <f t="shared" si="7"/>
        <v>3.8827844118901181E-2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1695.09</v>
      </c>
      <c r="E20" s="3"/>
      <c r="F20" s="7">
        <f t="shared" si="0"/>
        <v>0</v>
      </c>
      <c r="G20" s="3"/>
      <c r="H20" s="8">
        <v>1630.11</v>
      </c>
      <c r="I20" s="3"/>
      <c r="J20" s="7">
        <f t="shared" si="1"/>
        <v>0</v>
      </c>
      <c r="K20" s="3"/>
      <c r="L20" s="8">
        <f t="shared" si="2"/>
        <v>64.980000000000018</v>
      </c>
      <c r="M20" s="3"/>
      <c r="N20" s="7">
        <f t="shared" si="3"/>
        <v>3.9862340578243199E-2</v>
      </c>
      <c r="O20" s="12"/>
      <c r="P20" s="8">
        <v>15821.48</v>
      </c>
      <c r="Q20" s="3"/>
      <c r="R20" s="7">
        <f t="shared" si="4"/>
        <v>0</v>
      </c>
      <c r="S20" s="3"/>
      <c r="T20" s="8">
        <v>16691.75</v>
      </c>
      <c r="U20" s="3"/>
      <c r="V20" s="7">
        <f t="shared" si="5"/>
        <v>0</v>
      </c>
      <c r="W20" s="3"/>
      <c r="X20" s="8">
        <f t="shared" si="6"/>
        <v>-870.27000000000044</v>
      </c>
      <c r="Y20" s="3"/>
      <c r="Z20" s="7">
        <f t="shared" si="7"/>
        <v>-5.2137732712268063E-2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291.89999999999998</v>
      </c>
      <c r="E21" s="3"/>
      <c r="F21" s="7">
        <f t="shared" si="0"/>
        <v>0</v>
      </c>
      <c r="G21" s="3"/>
      <c r="H21" s="8">
        <v>70.319999999999993</v>
      </c>
      <c r="I21" s="3"/>
      <c r="J21" s="7">
        <f t="shared" si="1"/>
        <v>0</v>
      </c>
      <c r="K21" s="3"/>
      <c r="L21" s="8">
        <f t="shared" si="2"/>
        <v>221.57999999999998</v>
      </c>
      <c r="M21" s="3"/>
      <c r="N21" s="7">
        <f t="shared" si="3"/>
        <v>3.151023890784983</v>
      </c>
      <c r="O21" s="12"/>
      <c r="P21" s="8">
        <v>2712.62</v>
      </c>
      <c r="Q21" s="3"/>
      <c r="R21" s="7">
        <f t="shared" si="4"/>
        <v>0</v>
      </c>
      <c r="S21" s="3"/>
      <c r="T21" s="8">
        <v>718.21</v>
      </c>
      <c r="U21" s="3"/>
      <c r="V21" s="7">
        <f t="shared" si="5"/>
        <v>0</v>
      </c>
      <c r="W21" s="3"/>
      <c r="X21" s="8">
        <f t="shared" si="6"/>
        <v>1994.4099999999999</v>
      </c>
      <c r="Y21" s="3"/>
      <c r="Z21" s="7">
        <f t="shared" si="7"/>
        <v>2.7769176146252486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5721.83</v>
      </c>
      <c r="E22" s="3"/>
      <c r="F22" s="7">
        <f t="shared" si="0"/>
        <v>0</v>
      </c>
      <c r="G22" s="3"/>
      <c r="H22" s="8">
        <v>6236.66</v>
      </c>
      <c r="I22" s="3"/>
      <c r="J22" s="7">
        <f t="shared" si="1"/>
        <v>0</v>
      </c>
      <c r="K22" s="3"/>
      <c r="L22" s="8">
        <f t="shared" si="2"/>
        <v>-514.82999999999993</v>
      </c>
      <c r="M22" s="3"/>
      <c r="N22" s="7">
        <f t="shared" si="3"/>
        <v>-8.2548992569740839E-2</v>
      </c>
      <c r="O22" s="12"/>
      <c r="P22" s="8">
        <v>54540.45</v>
      </c>
      <c r="Q22" s="3"/>
      <c r="R22" s="7">
        <f t="shared" si="4"/>
        <v>0</v>
      </c>
      <c r="S22" s="3"/>
      <c r="T22" s="8">
        <v>54151.26</v>
      </c>
      <c r="U22" s="3"/>
      <c r="V22" s="7">
        <f t="shared" si="5"/>
        <v>0</v>
      </c>
      <c r="W22" s="3"/>
      <c r="X22" s="8">
        <f t="shared" si="6"/>
        <v>389.18999999999505</v>
      </c>
      <c r="Y22" s="3"/>
      <c r="Z22" s="7">
        <f t="shared" si="7"/>
        <v>7.1870903834923699E-3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58.83</v>
      </c>
      <c r="E23" s="3"/>
      <c r="F23" s="7">
        <f t="shared" si="0"/>
        <v>0</v>
      </c>
      <c r="G23" s="3"/>
      <c r="H23" s="8">
        <v>55.4</v>
      </c>
      <c r="I23" s="3"/>
      <c r="J23" s="7">
        <f t="shared" si="1"/>
        <v>0</v>
      </c>
      <c r="K23" s="3"/>
      <c r="L23" s="8">
        <f t="shared" si="2"/>
        <v>3.4299999999999997</v>
      </c>
      <c r="M23" s="3"/>
      <c r="N23" s="7">
        <f t="shared" si="3"/>
        <v>6.191335740072202E-2</v>
      </c>
      <c r="O23" s="12"/>
      <c r="P23" s="8">
        <v>546.73</v>
      </c>
      <c r="Q23" s="3"/>
      <c r="R23" s="7">
        <f t="shared" si="4"/>
        <v>0</v>
      </c>
      <c r="S23" s="3"/>
      <c r="T23" s="8">
        <v>565.83000000000004</v>
      </c>
      <c r="U23" s="3"/>
      <c r="V23" s="7">
        <f t="shared" si="5"/>
        <v>0</v>
      </c>
      <c r="W23" s="3"/>
      <c r="X23" s="8">
        <f t="shared" si="6"/>
        <v>-19.100000000000023</v>
      </c>
      <c r="Y23" s="3"/>
      <c r="Z23" s="7">
        <f t="shared" si="7"/>
        <v>-3.3755721683191103E-2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2025.83</v>
      </c>
      <c r="E24" s="3"/>
      <c r="F24" s="7">
        <f t="shared" si="0"/>
        <v>0</v>
      </c>
      <c r="G24" s="3"/>
      <c r="H24" s="8">
        <v>1978.76</v>
      </c>
      <c r="I24" s="3"/>
      <c r="J24" s="7">
        <f t="shared" si="1"/>
        <v>0</v>
      </c>
      <c r="K24" s="3"/>
      <c r="L24" s="8">
        <f t="shared" si="2"/>
        <v>47.069999999999936</v>
      </c>
      <c r="M24" s="3"/>
      <c r="N24" s="7">
        <f t="shared" si="3"/>
        <v>2.3787624572964856E-2</v>
      </c>
      <c r="O24" s="12"/>
      <c r="P24" s="8">
        <v>18894.669999999998</v>
      </c>
      <c r="Q24" s="3"/>
      <c r="R24" s="7">
        <f t="shared" si="4"/>
        <v>0</v>
      </c>
      <c r="S24" s="3"/>
      <c r="T24" s="8">
        <v>20638.91</v>
      </c>
      <c r="U24" s="3"/>
      <c r="V24" s="7">
        <f t="shared" si="5"/>
        <v>0</v>
      </c>
      <c r="W24" s="3"/>
      <c r="X24" s="8">
        <f t="shared" si="6"/>
        <v>-1744.2400000000016</v>
      </c>
      <c r="Y24" s="3"/>
      <c r="Z24" s="7">
        <f t="shared" si="7"/>
        <v>-8.4512215034611884E-2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>
        <v>1370.56</v>
      </c>
      <c r="E25" s="3"/>
      <c r="F25" s="7">
        <f t="shared" si="0"/>
        <v>0</v>
      </c>
      <c r="G25" s="3"/>
      <c r="H25" s="8">
        <v>1606.1</v>
      </c>
      <c r="I25" s="3"/>
      <c r="J25" s="7">
        <f t="shared" si="1"/>
        <v>0</v>
      </c>
      <c r="K25" s="3"/>
      <c r="L25" s="8">
        <f t="shared" si="2"/>
        <v>-235.53999999999996</v>
      </c>
      <c r="M25" s="3"/>
      <c r="N25" s="7">
        <f t="shared" si="3"/>
        <v>-0.14665338397360064</v>
      </c>
      <c r="O25" s="12"/>
      <c r="P25" s="8">
        <v>14289.43</v>
      </c>
      <c r="Q25" s="3"/>
      <c r="R25" s="7">
        <f t="shared" si="4"/>
        <v>0</v>
      </c>
      <c r="S25" s="3"/>
      <c r="T25" s="8">
        <v>14915.97</v>
      </c>
      <c r="U25" s="3"/>
      <c r="V25" s="7">
        <f t="shared" si="5"/>
        <v>0</v>
      </c>
      <c r="W25" s="3"/>
      <c r="X25" s="8">
        <f t="shared" si="6"/>
        <v>-626.53999999999905</v>
      </c>
      <c r="Y25" s="3"/>
      <c r="Z25" s="7">
        <f t="shared" si="7"/>
        <v>-4.2004643345353948E-2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>
        <v>1018.58</v>
      </c>
      <c r="E26" s="3"/>
      <c r="F26" s="7">
        <f t="shared" si="0"/>
        <v>0</v>
      </c>
      <c r="G26" s="3"/>
      <c r="H26" s="8">
        <v>979.42</v>
      </c>
      <c r="I26" s="3"/>
      <c r="J26" s="7">
        <f t="shared" si="1"/>
        <v>0</v>
      </c>
      <c r="K26" s="3"/>
      <c r="L26" s="8">
        <f t="shared" si="2"/>
        <v>39.160000000000082</v>
      </c>
      <c r="M26" s="3"/>
      <c r="N26" s="7">
        <f t="shared" si="3"/>
        <v>3.9982846991076439E-2</v>
      </c>
      <c r="O26" s="12"/>
      <c r="P26" s="8">
        <v>11944.7</v>
      </c>
      <c r="Q26" s="3"/>
      <c r="R26" s="7">
        <f t="shared" si="4"/>
        <v>0</v>
      </c>
      <c r="S26" s="3"/>
      <c r="T26" s="8">
        <v>9304.49</v>
      </c>
      <c r="U26" s="3"/>
      <c r="V26" s="7">
        <f t="shared" si="5"/>
        <v>0</v>
      </c>
      <c r="W26" s="3"/>
      <c r="X26" s="8">
        <f t="shared" si="6"/>
        <v>2640.2100000000009</v>
      </c>
      <c r="Y26" s="3"/>
      <c r="Z26" s="7">
        <f t="shared" si="7"/>
        <v>0.28375655194427646</v>
      </c>
    </row>
    <row r="27" spans="1:26" s="69" customFormat="1" ht="15" hidden="1" customHeight="1" outlineLevel="2" x14ac:dyDescent="0.3">
      <c r="A27" s="25"/>
      <c r="B27" s="12" t="str">
        <f>CONCATENATE("          ","6156"," - ","EMPLOYEE MEALS")</f>
        <v xml:space="preserve">          6156 - EMPLOYEE MEALS</v>
      </c>
      <c r="C27" s="12"/>
      <c r="D27" s="8">
        <v>668.48</v>
      </c>
      <c r="E27" s="3"/>
      <c r="F27" s="7">
        <f t="shared" si="0"/>
        <v>0</v>
      </c>
      <c r="G27" s="3"/>
      <c r="H27" s="8">
        <v>227.05</v>
      </c>
      <c r="I27" s="3"/>
      <c r="J27" s="7">
        <f t="shared" si="1"/>
        <v>0</v>
      </c>
      <c r="K27" s="3"/>
      <c r="L27" s="8">
        <f t="shared" si="2"/>
        <v>441.43</v>
      </c>
      <c r="M27" s="3"/>
      <c r="N27" s="7">
        <f t="shared" si="3"/>
        <v>1.9441973133670998</v>
      </c>
      <c r="O27" s="12"/>
      <c r="P27" s="8">
        <v>4949</v>
      </c>
      <c r="Q27" s="3"/>
      <c r="R27" s="7">
        <f t="shared" si="4"/>
        <v>0</v>
      </c>
      <c r="S27" s="3"/>
      <c r="T27" s="8">
        <v>2089.21</v>
      </c>
      <c r="U27" s="3"/>
      <c r="V27" s="7">
        <f t="shared" si="5"/>
        <v>0</v>
      </c>
      <c r="W27" s="3"/>
      <c r="X27" s="8">
        <f t="shared" si="6"/>
        <v>2859.79</v>
      </c>
      <c r="Y27" s="3"/>
      <c r="Z27" s="7">
        <f t="shared" si="7"/>
        <v>1.3688379818208796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21972.440000000002</v>
      </c>
      <c r="E28" s="2"/>
      <c r="F28" s="6">
        <f t="shared" si="0"/>
        <v>0</v>
      </c>
      <c r="G28" s="2"/>
      <c r="H28" s="2">
        <f>SUM(OSRRefH22_1x_0)</f>
        <v>20049.07</v>
      </c>
      <c r="I28" s="2"/>
      <c r="J28" s="6">
        <f t="shared" si="1"/>
        <v>0</v>
      </c>
      <c r="K28" s="2"/>
      <c r="L28" s="2">
        <f t="shared" si="2"/>
        <v>1923.3700000000026</v>
      </c>
      <c r="M28" s="2"/>
      <c r="N28" s="6">
        <f t="shared" si="3"/>
        <v>9.5933128070279705E-2</v>
      </c>
      <c r="O28" s="14"/>
      <c r="P28" s="2">
        <f>SUM(OSRRefP22_1x_0)</f>
        <v>209141.54</v>
      </c>
      <c r="Q28" s="2"/>
      <c r="R28" s="6">
        <f t="shared" si="4"/>
        <v>0</v>
      </c>
      <c r="S28" s="2"/>
      <c r="T28" s="2">
        <f>SUM(OSRRefT22_1x_0)</f>
        <v>191762.38</v>
      </c>
      <c r="U28" s="2"/>
      <c r="V28" s="6">
        <f t="shared" si="5"/>
        <v>0</v>
      </c>
      <c r="W28" s="2"/>
      <c r="X28" s="2">
        <f t="shared" si="6"/>
        <v>17379.160000000003</v>
      </c>
      <c r="Y28" s="2"/>
      <c r="Z28" s="6">
        <f t="shared" si="7"/>
        <v>9.062862069192093E-2</v>
      </c>
    </row>
    <row r="29" spans="1:26" s="69" customFormat="1" ht="15" hidden="1" customHeight="1" outlineLevel="2" x14ac:dyDescent="0.3">
      <c r="A29" s="25"/>
      <c r="B29" s="12" t="str">
        <f>CONCATENATE("          ","6002"," - ","STAFF SALARIES")</f>
        <v xml:space="preserve">          6002 - STAFF SALARIES</v>
      </c>
      <c r="C29" s="12"/>
      <c r="D29" s="8">
        <v>21539.360000000001</v>
      </c>
      <c r="E29" s="3"/>
      <c r="F29" s="7">
        <f t="shared" si="0"/>
        <v>0</v>
      </c>
      <c r="G29" s="3"/>
      <c r="H29" s="8">
        <v>20049.07</v>
      </c>
      <c r="I29" s="3"/>
      <c r="J29" s="7">
        <f t="shared" si="1"/>
        <v>0</v>
      </c>
      <c r="K29" s="3"/>
      <c r="L29" s="8">
        <f t="shared" si="2"/>
        <v>1490.2900000000009</v>
      </c>
      <c r="M29" s="3"/>
      <c r="N29" s="7">
        <f t="shared" si="3"/>
        <v>7.433212612854366E-2</v>
      </c>
      <c r="O29" s="12"/>
      <c r="P29" s="8">
        <v>205305.94</v>
      </c>
      <c r="Q29" s="3"/>
      <c r="R29" s="7">
        <f t="shared" si="4"/>
        <v>0</v>
      </c>
      <c r="S29" s="3"/>
      <c r="T29" s="8">
        <v>191380.62</v>
      </c>
      <c r="U29" s="3"/>
      <c r="V29" s="7">
        <f t="shared" si="5"/>
        <v>0</v>
      </c>
      <c r="W29" s="3"/>
      <c r="X29" s="8">
        <f t="shared" si="6"/>
        <v>13925.320000000007</v>
      </c>
      <c r="Y29" s="3"/>
      <c r="Z29" s="7">
        <f t="shared" si="7"/>
        <v>7.2762435402288939E-2</v>
      </c>
    </row>
    <row r="30" spans="1:26" s="69" customFormat="1" ht="15" hidden="1" customHeight="1" outlineLevel="2" x14ac:dyDescent="0.3">
      <c r="A30" s="25"/>
      <c r="B30" s="12" t="str">
        <f>CONCATENATE("          ","6005"," - ","TEMPORARY WAGES-HOURLY")</f>
        <v xml:space="preserve">          6005 - TEMPORARY WAGES-HOURLY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265.48</v>
      </c>
      <c r="U30" s="3"/>
      <c r="V30" s="7">
        <f t="shared" si="5"/>
        <v>0</v>
      </c>
      <c r="W30" s="3"/>
      <c r="X30" s="8">
        <f t="shared" si="6"/>
        <v>-265.48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5"/>
      <c r="B31" s="12" t="str">
        <f>CONCATENATE("          ","6007"," - ","STUDENT HOURLY")</f>
        <v xml:space="preserve">          6007 - STUDENT HOURLY</v>
      </c>
      <c r="C31" s="12"/>
      <c r="D31" s="8">
        <v>433.08</v>
      </c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433.08</v>
      </c>
      <c r="M31" s="3"/>
      <c r="N31" s="7">
        <f t="shared" si="3"/>
        <v>0</v>
      </c>
      <c r="O31" s="12"/>
      <c r="P31" s="8">
        <v>3835.6</v>
      </c>
      <c r="Q31" s="3"/>
      <c r="R31" s="7">
        <f t="shared" si="4"/>
        <v>0</v>
      </c>
      <c r="S31" s="3"/>
      <c r="T31" s="8">
        <v>116.28</v>
      </c>
      <c r="U31" s="3"/>
      <c r="V31" s="7">
        <f t="shared" si="5"/>
        <v>0</v>
      </c>
      <c r="W31" s="3"/>
      <c r="X31" s="8">
        <f t="shared" si="6"/>
        <v>3719.3199999999997</v>
      </c>
      <c r="Y31" s="3"/>
      <c r="Z31" s="7">
        <f t="shared" si="7"/>
        <v>31.985896112831096</v>
      </c>
    </row>
    <row r="32" spans="1:26" s="68" customFormat="1" ht="15" customHeight="1" outlineLevel="1" collapsed="1" x14ac:dyDescent="0.3">
      <c r="A32" s="26"/>
      <c r="B32" s="14" t="str">
        <f>CONCATENATE("     ","Depreciation                                      ")</f>
        <v xml:space="preserve">     Depreciation                                      </v>
      </c>
      <c r="C32" s="14"/>
      <c r="D32" s="2">
        <f>SUM(OSRRefD22_2x_0)</f>
        <v>0</v>
      </c>
      <c r="E32" s="2"/>
      <c r="F32" s="6">
        <f t="shared" si="0"/>
        <v>0</v>
      </c>
      <c r="G32" s="2"/>
      <c r="H32" s="2">
        <f>SUM(OSRRefH22_2x_0)</f>
        <v>1558.88</v>
      </c>
      <c r="I32" s="2"/>
      <c r="J32" s="6">
        <f t="shared" si="1"/>
        <v>0</v>
      </c>
      <c r="K32" s="2"/>
      <c r="L32" s="2">
        <f t="shared" si="2"/>
        <v>-1558.88</v>
      </c>
      <c r="M32" s="2"/>
      <c r="N32" s="6">
        <f t="shared" si="3"/>
        <v>-1</v>
      </c>
      <c r="O32" s="14"/>
      <c r="P32" s="2">
        <f>SUM(OSRRefP22_2x_0)</f>
        <v>12471</v>
      </c>
      <c r="Q32" s="2"/>
      <c r="R32" s="6">
        <f t="shared" si="4"/>
        <v>0</v>
      </c>
      <c r="S32" s="2"/>
      <c r="T32" s="2">
        <f>SUM(OSRRefT22_2x_0)</f>
        <v>14029.92</v>
      </c>
      <c r="U32" s="2"/>
      <c r="V32" s="6">
        <f t="shared" si="5"/>
        <v>0</v>
      </c>
      <c r="W32" s="2"/>
      <c r="X32" s="2">
        <f t="shared" si="6"/>
        <v>-1558.92</v>
      </c>
      <c r="Y32" s="2"/>
      <c r="Z32" s="6">
        <f t="shared" si="7"/>
        <v>-0.11111396216086764</v>
      </c>
    </row>
    <row r="33" spans="1:26" s="69" customFormat="1" ht="15" hidden="1" customHeight="1" outlineLevel="2" x14ac:dyDescent="0.3">
      <c r="A33" s="25"/>
      <c r="B33" s="12" t="str">
        <f>CONCATENATE("          ","6322"," - ","EQUIPMENT DEPRECIATION EXPENSE")</f>
        <v xml:space="preserve">          6322 - EQUIPMENT DEPRECIATION EXPENSE</v>
      </c>
      <c r="C33" s="12"/>
      <c r="D33" s="8"/>
      <c r="E33" s="3"/>
      <c r="F33" s="7">
        <f t="shared" si="0"/>
        <v>0</v>
      </c>
      <c r="G33" s="3"/>
      <c r="H33" s="8">
        <v>1558.88</v>
      </c>
      <c r="I33" s="3"/>
      <c r="J33" s="7">
        <f t="shared" si="1"/>
        <v>0</v>
      </c>
      <c r="K33" s="3"/>
      <c r="L33" s="8">
        <f t="shared" si="2"/>
        <v>-1558.88</v>
      </c>
      <c r="M33" s="3"/>
      <c r="N33" s="7">
        <f t="shared" si="3"/>
        <v>-1</v>
      </c>
      <c r="O33" s="12"/>
      <c r="P33" s="8">
        <v>12471</v>
      </c>
      <c r="Q33" s="3"/>
      <c r="R33" s="7">
        <f t="shared" si="4"/>
        <v>0</v>
      </c>
      <c r="S33" s="3"/>
      <c r="T33" s="8">
        <v>14029.92</v>
      </c>
      <c r="U33" s="3"/>
      <c r="V33" s="7">
        <f t="shared" si="5"/>
        <v>0</v>
      </c>
      <c r="W33" s="3"/>
      <c r="X33" s="8">
        <f t="shared" si="6"/>
        <v>-1558.92</v>
      </c>
      <c r="Y33" s="3"/>
      <c r="Z33" s="7">
        <f t="shared" si="7"/>
        <v>-0.11111396216086764</v>
      </c>
    </row>
    <row r="34" spans="1:26" s="68" customFormat="1" ht="15" customHeight="1" outlineLevel="1" collapsed="1" x14ac:dyDescent="0.3">
      <c r="A34" s="26"/>
      <c r="B34" s="14" t="str">
        <f>CONCATENATE("     ","Employees' Appreciation                           ")</f>
        <v xml:space="preserve">     Employees' Appreciation                           </v>
      </c>
      <c r="C34" s="14"/>
      <c r="D34" s="2">
        <f>SUM(OSRRefD22_3x_0)</f>
        <v>0</v>
      </c>
      <c r="E34" s="2"/>
      <c r="F34" s="6">
        <f t="shared" si="0"/>
        <v>0</v>
      </c>
      <c r="G34" s="2"/>
      <c r="H34" s="2">
        <f>SUM(OSRRefH22_3x_0)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SUM(OSRRefP22_3x_0)</f>
        <v>8.02</v>
      </c>
      <c r="Q34" s="2"/>
      <c r="R34" s="6">
        <f t="shared" si="4"/>
        <v>0</v>
      </c>
      <c r="S34" s="2"/>
      <c r="T34" s="2">
        <f>SUM(OSRRefT22_3x_0)</f>
        <v>0</v>
      </c>
      <c r="U34" s="2"/>
      <c r="V34" s="6">
        <f t="shared" si="5"/>
        <v>0</v>
      </c>
      <c r="W34" s="2"/>
      <c r="X34" s="2">
        <f t="shared" si="6"/>
        <v>8.02</v>
      </c>
      <c r="Y34" s="2"/>
      <c r="Z34" s="6">
        <f t="shared" si="7"/>
        <v>0</v>
      </c>
    </row>
    <row r="35" spans="1:26" s="69" customFormat="1" ht="15" hidden="1" customHeight="1" outlineLevel="2" x14ac:dyDescent="0.3">
      <c r="A35" s="25"/>
      <c r="B35" s="12" t="str">
        <f>CONCATENATE("          ","6277"," - ","EMPLOYEE APPRECIATION")</f>
        <v xml:space="preserve">          6277 - EMPLOYEE APPRECIATION</v>
      </c>
      <c r="C35" s="12"/>
      <c r="D35" s="8"/>
      <c r="E35" s="3"/>
      <c r="F35" s="7">
        <f t="shared" si="0"/>
        <v>0</v>
      </c>
      <c r="G35" s="3"/>
      <c r="H35" s="8"/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8.02</v>
      </c>
      <c r="Q35" s="3"/>
      <c r="R35" s="7">
        <f t="shared" si="4"/>
        <v>0</v>
      </c>
      <c r="S35" s="3"/>
      <c r="T35" s="8"/>
      <c r="U35" s="3"/>
      <c r="V35" s="7">
        <f t="shared" si="5"/>
        <v>0</v>
      </c>
      <c r="W35" s="3"/>
      <c r="X35" s="8">
        <f t="shared" si="6"/>
        <v>8.02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6"/>
      <c r="B36" s="14" t="str">
        <f>CONCATENATE("     ","Equipment Rental                                  ")</f>
        <v xml:space="preserve">     Equipment Rental                                  </v>
      </c>
      <c r="C36" s="14"/>
      <c r="D36" s="2">
        <f>SUM(OSRRefD22_4x_0)</f>
        <v>91.26</v>
      </c>
      <c r="E36" s="2"/>
      <c r="F36" s="6">
        <f t="shared" si="0"/>
        <v>0</v>
      </c>
      <c r="G36" s="2"/>
      <c r="H36" s="2">
        <f>SUM(OSRRefH22_4x_0)</f>
        <v>91.26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SUM(OSRRefP22_4x_0)</f>
        <v>821.34</v>
      </c>
      <c r="Q36" s="2"/>
      <c r="R36" s="6">
        <f t="shared" si="4"/>
        <v>0</v>
      </c>
      <c r="S36" s="2"/>
      <c r="T36" s="2">
        <f>SUM(OSRRefT22_4x_0)</f>
        <v>821.34</v>
      </c>
      <c r="U36" s="2"/>
      <c r="V36" s="6">
        <f t="shared" si="5"/>
        <v>0</v>
      </c>
      <c r="W36" s="2"/>
      <c r="X36" s="2">
        <f t="shared" si="6"/>
        <v>0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5"/>
      <c r="B37" s="12" t="str">
        <f>CONCATENATE("          ","6351"," - ","EQUIPMENT RENTAL")</f>
        <v xml:space="preserve">          6351 - EQUIPMENT RENTAL</v>
      </c>
      <c r="C37" s="12"/>
      <c r="D37" s="8">
        <v>91.26</v>
      </c>
      <c r="E37" s="3"/>
      <c r="F37" s="7">
        <f t="shared" si="0"/>
        <v>0</v>
      </c>
      <c r="G37" s="3"/>
      <c r="H37" s="8">
        <v>91.26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821.34</v>
      </c>
      <c r="Q37" s="3"/>
      <c r="R37" s="7">
        <f t="shared" si="4"/>
        <v>0</v>
      </c>
      <c r="S37" s="3"/>
      <c r="T37" s="8">
        <v>821.34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6"/>
      <c r="B38" s="14" t="str">
        <f>CONCATENATE("     ","Freight out/Postage                               ")</f>
        <v xml:space="preserve">     Freight out/Postage                               </v>
      </c>
      <c r="C38" s="14"/>
      <c r="D38" s="2">
        <f>SUM(OSRRefD22_5x_0)</f>
        <v>186.37</v>
      </c>
      <c r="E38" s="2"/>
      <c r="F38" s="6">
        <f t="shared" si="0"/>
        <v>0</v>
      </c>
      <c r="G38" s="2"/>
      <c r="H38" s="2">
        <f>SUM(OSRRefH22_5x_0)</f>
        <v>80.069999999999993</v>
      </c>
      <c r="I38" s="2"/>
      <c r="J38" s="6">
        <f t="shared" si="1"/>
        <v>0</v>
      </c>
      <c r="K38" s="2"/>
      <c r="L38" s="2">
        <f t="shared" si="2"/>
        <v>106.30000000000001</v>
      </c>
      <c r="M38" s="2"/>
      <c r="N38" s="6">
        <f t="shared" si="3"/>
        <v>1.3275883601848386</v>
      </c>
      <c r="O38" s="14"/>
      <c r="P38" s="2">
        <f>SUM(OSRRefP22_5x_0)</f>
        <v>1257.6199999999999</v>
      </c>
      <c r="Q38" s="2"/>
      <c r="R38" s="6">
        <f t="shared" si="4"/>
        <v>0</v>
      </c>
      <c r="S38" s="2"/>
      <c r="T38" s="2">
        <f>SUM(OSRRefT22_5x_0)</f>
        <v>815.04</v>
      </c>
      <c r="U38" s="2"/>
      <c r="V38" s="6">
        <f t="shared" si="5"/>
        <v>0</v>
      </c>
      <c r="W38" s="2"/>
      <c r="X38" s="2">
        <f t="shared" si="6"/>
        <v>442.57999999999993</v>
      </c>
      <c r="Y38" s="2"/>
      <c r="Z38" s="6">
        <f t="shared" si="7"/>
        <v>0.54301629367883775</v>
      </c>
    </row>
    <row r="39" spans="1:26" s="69" customFormat="1" ht="15" hidden="1" customHeight="1" outlineLevel="2" x14ac:dyDescent="0.3">
      <c r="A39" s="25"/>
      <c r="B39" s="12" t="str">
        <f>CONCATENATE("          ","6305"," - ","FREIGHT OUT")</f>
        <v xml:space="preserve">          6305 - FREIGHT OUT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5.41</v>
      </c>
      <c r="U39" s="3"/>
      <c r="V39" s="7">
        <f t="shared" si="5"/>
        <v>0</v>
      </c>
      <c r="W39" s="3"/>
      <c r="X39" s="8">
        <f t="shared" si="6"/>
        <v>-5.41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5"/>
      <c r="B40" s="12" t="str">
        <f>CONCATENATE("          ","6307"," - ","POSTAGE")</f>
        <v xml:space="preserve">          6307 - POSTAGE</v>
      </c>
      <c r="C40" s="12"/>
      <c r="D40" s="8">
        <v>186.37</v>
      </c>
      <c r="E40" s="3"/>
      <c r="F40" s="7">
        <f t="shared" si="0"/>
        <v>0</v>
      </c>
      <c r="G40" s="3"/>
      <c r="H40" s="8">
        <v>80.069999999999993</v>
      </c>
      <c r="I40" s="3"/>
      <c r="J40" s="7">
        <f t="shared" si="1"/>
        <v>0</v>
      </c>
      <c r="K40" s="3"/>
      <c r="L40" s="8">
        <f t="shared" si="2"/>
        <v>106.30000000000001</v>
      </c>
      <c r="M40" s="3"/>
      <c r="N40" s="7">
        <f t="shared" si="3"/>
        <v>1.3275883601848386</v>
      </c>
      <c r="O40" s="12"/>
      <c r="P40" s="8">
        <v>1257.6199999999999</v>
      </c>
      <c r="Q40" s="3"/>
      <c r="R40" s="7">
        <f t="shared" si="4"/>
        <v>0</v>
      </c>
      <c r="S40" s="3"/>
      <c r="T40" s="8">
        <v>809.63</v>
      </c>
      <c r="U40" s="3"/>
      <c r="V40" s="7">
        <f t="shared" si="5"/>
        <v>0</v>
      </c>
      <c r="W40" s="3"/>
      <c r="X40" s="8">
        <f t="shared" si="6"/>
        <v>447.9899999999999</v>
      </c>
      <c r="Y40" s="3"/>
      <c r="Z40" s="7">
        <f t="shared" si="7"/>
        <v>0.55332682830428703</v>
      </c>
    </row>
    <row r="41" spans="1:26" s="68" customFormat="1" ht="15" customHeight="1" outlineLevel="1" collapsed="1" x14ac:dyDescent="0.3">
      <c r="A41" s="26"/>
      <c r="B41" s="14" t="str">
        <f>CONCATENATE("     ","Insurance                                         ")</f>
        <v xml:space="preserve">     Insurance                                         </v>
      </c>
      <c r="C41" s="14"/>
      <c r="D41" s="2">
        <f>SUM(OSRRefD22_6x_0)</f>
        <v>179.64</v>
      </c>
      <c r="E41" s="2"/>
      <c r="F41" s="6">
        <f t="shared" si="0"/>
        <v>0</v>
      </c>
      <c r="G41" s="2"/>
      <c r="H41" s="2">
        <f>SUM(OSRRefH22_6x_0)</f>
        <v>132.16999999999999</v>
      </c>
      <c r="I41" s="2"/>
      <c r="J41" s="6">
        <f t="shared" si="1"/>
        <v>0</v>
      </c>
      <c r="K41" s="2"/>
      <c r="L41" s="2">
        <f t="shared" si="2"/>
        <v>47.47</v>
      </c>
      <c r="M41" s="2"/>
      <c r="N41" s="6">
        <f t="shared" si="3"/>
        <v>0.35915865930241359</v>
      </c>
      <c r="O41" s="14"/>
      <c r="P41" s="2">
        <f>SUM(OSRRefP22_6x_0)</f>
        <v>1616.76</v>
      </c>
      <c r="Q41" s="2"/>
      <c r="R41" s="6">
        <f t="shared" si="4"/>
        <v>0</v>
      </c>
      <c r="S41" s="2"/>
      <c r="T41" s="2">
        <f>SUM(OSRRefT22_6x_0)</f>
        <v>1189.53</v>
      </c>
      <c r="U41" s="2"/>
      <c r="V41" s="6">
        <f t="shared" si="5"/>
        <v>0</v>
      </c>
      <c r="W41" s="2"/>
      <c r="X41" s="2">
        <f t="shared" si="6"/>
        <v>427.23</v>
      </c>
      <c r="Y41" s="2"/>
      <c r="Z41" s="6">
        <f t="shared" si="7"/>
        <v>0.35915865930241359</v>
      </c>
    </row>
    <row r="42" spans="1:26" s="69" customFormat="1" ht="15" hidden="1" customHeight="1" outlineLevel="2" x14ac:dyDescent="0.3">
      <c r="A42" s="25"/>
      <c r="B42" s="12" t="str">
        <f>CONCATENATE("          ","6314"," - ","LIABILITY INSURANCE")</f>
        <v xml:space="preserve">          6314 - LIABILITY INSURANCE</v>
      </c>
      <c r="C42" s="12"/>
      <c r="D42" s="8">
        <v>179.64</v>
      </c>
      <c r="E42" s="3"/>
      <c r="F42" s="7">
        <f t="shared" si="0"/>
        <v>0</v>
      </c>
      <c r="G42" s="3"/>
      <c r="H42" s="8">
        <v>132.16999999999999</v>
      </c>
      <c r="I42" s="3"/>
      <c r="J42" s="7">
        <f t="shared" si="1"/>
        <v>0</v>
      </c>
      <c r="K42" s="3"/>
      <c r="L42" s="8">
        <f t="shared" si="2"/>
        <v>47.47</v>
      </c>
      <c r="M42" s="3"/>
      <c r="N42" s="7">
        <f t="shared" si="3"/>
        <v>0.35915865930241359</v>
      </c>
      <c r="O42" s="12"/>
      <c r="P42" s="8">
        <v>1616.76</v>
      </c>
      <c r="Q42" s="3"/>
      <c r="R42" s="7">
        <f t="shared" si="4"/>
        <v>0</v>
      </c>
      <c r="S42" s="3"/>
      <c r="T42" s="8">
        <v>1189.53</v>
      </c>
      <c r="U42" s="3"/>
      <c r="V42" s="7">
        <f t="shared" si="5"/>
        <v>0</v>
      </c>
      <c r="W42" s="3"/>
      <c r="X42" s="8">
        <f t="shared" si="6"/>
        <v>427.23</v>
      </c>
      <c r="Y42" s="3"/>
      <c r="Z42" s="7">
        <f t="shared" si="7"/>
        <v>0.35915865930241359</v>
      </c>
    </row>
    <row r="43" spans="1:26" s="68" customFormat="1" ht="15" customHeight="1" outlineLevel="1" collapsed="1" x14ac:dyDescent="0.3">
      <c r="A43" s="26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SUM(OSRRefD22_7x_0)</f>
        <v>35200.04</v>
      </c>
      <c r="E43" s="2"/>
      <c r="F43" s="6">
        <f t="shared" si="0"/>
        <v>0</v>
      </c>
      <c r="G43" s="2"/>
      <c r="H43" s="2">
        <f>SUM(OSRRefH22_7x_0)</f>
        <v>19959.13</v>
      </c>
      <c r="I43" s="2"/>
      <c r="J43" s="6">
        <f t="shared" si="1"/>
        <v>0</v>
      </c>
      <c r="K43" s="2"/>
      <c r="L43" s="2">
        <f t="shared" si="2"/>
        <v>15240.91</v>
      </c>
      <c r="M43" s="2"/>
      <c r="N43" s="6">
        <f t="shared" si="3"/>
        <v>0.76360592871532973</v>
      </c>
      <c r="O43" s="14"/>
      <c r="P43" s="2">
        <f>SUM(OSRRefP22_7x_0)</f>
        <v>42475.85</v>
      </c>
      <c r="Q43" s="2"/>
      <c r="R43" s="6">
        <f t="shared" si="4"/>
        <v>0</v>
      </c>
      <c r="S43" s="2"/>
      <c r="T43" s="2">
        <f>SUM(OSRRefT22_7x_0)</f>
        <v>37036.1</v>
      </c>
      <c r="U43" s="2"/>
      <c r="V43" s="6">
        <f t="shared" si="5"/>
        <v>0</v>
      </c>
      <c r="W43" s="2"/>
      <c r="X43" s="2">
        <f t="shared" si="6"/>
        <v>5439.75</v>
      </c>
      <c r="Y43" s="2"/>
      <c r="Z43" s="6">
        <f t="shared" si="7"/>
        <v>0.14687696598723948</v>
      </c>
    </row>
    <row r="44" spans="1:26" s="69" customFormat="1" ht="15" hidden="1" customHeight="1" outlineLevel="2" x14ac:dyDescent="0.3">
      <c r="A44" s="25"/>
      <c r="B44" s="12" t="str">
        <f>CONCATENATE("          ","6371"," - ","COMPUTER SOFTWARE MAINTENANCE")</f>
        <v xml:space="preserve">          6371 - COMPUTER SOFTWARE MAINTENANCE</v>
      </c>
      <c r="C44" s="12"/>
      <c r="D44" s="8">
        <v>35188.82</v>
      </c>
      <c r="E44" s="3"/>
      <c r="F44" s="7">
        <f t="shared" si="0"/>
        <v>0</v>
      </c>
      <c r="G44" s="3"/>
      <c r="H44" s="8">
        <v>19951.75</v>
      </c>
      <c r="I44" s="3"/>
      <c r="J44" s="7">
        <f t="shared" si="1"/>
        <v>0</v>
      </c>
      <c r="K44" s="3"/>
      <c r="L44" s="8">
        <f t="shared" si="2"/>
        <v>15237.07</v>
      </c>
      <c r="M44" s="3"/>
      <c r="N44" s="7">
        <f t="shared" si="3"/>
        <v>0.76369591639831091</v>
      </c>
      <c r="O44" s="12"/>
      <c r="P44" s="8">
        <v>35668.42</v>
      </c>
      <c r="Q44" s="3"/>
      <c r="R44" s="7">
        <f t="shared" si="4"/>
        <v>0</v>
      </c>
      <c r="S44" s="3"/>
      <c r="T44" s="8">
        <v>32233.47</v>
      </c>
      <c r="U44" s="3"/>
      <c r="V44" s="7">
        <f t="shared" si="5"/>
        <v>0</v>
      </c>
      <c r="W44" s="3"/>
      <c r="X44" s="8">
        <f t="shared" si="6"/>
        <v>3434.9499999999971</v>
      </c>
      <c r="Y44" s="3"/>
      <c r="Z44" s="7">
        <f t="shared" si="7"/>
        <v>0.10656469812278967</v>
      </c>
    </row>
    <row r="45" spans="1:26" s="69" customFormat="1" ht="15" hidden="1" customHeight="1" outlineLevel="2" x14ac:dyDescent="0.3">
      <c r="A45" s="25"/>
      <c r="B45" s="12" t="str">
        <f>CONCATENATE("          ","6373"," - ","MAINTENANCE CONTRACTS")</f>
        <v xml:space="preserve">          6373 - MAINTENANCE CONTRACTS</v>
      </c>
      <c r="C45" s="12"/>
      <c r="D45" s="8">
        <v>11.22</v>
      </c>
      <c r="E45" s="3"/>
      <c r="F45" s="7">
        <f t="shared" si="0"/>
        <v>0</v>
      </c>
      <c r="G45" s="3"/>
      <c r="H45" s="8">
        <v>7.38</v>
      </c>
      <c r="I45" s="3"/>
      <c r="J45" s="7">
        <f t="shared" si="1"/>
        <v>0</v>
      </c>
      <c r="K45" s="3"/>
      <c r="L45" s="8">
        <f t="shared" si="2"/>
        <v>3.8400000000000007</v>
      </c>
      <c r="M45" s="3"/>
      <c r="N45" s="7">
        <f t="shared" si="3"/>
        <v>0.52032520325203258</v>
      </c>
      <c r="O45" s="12"/>
      <c r="P45" s="8">
        <v>5249.87</v>
      </c>
      <c r="Q45" s="3"/>
      <c r="R45" s="7">
        <f t="shared" si="4"/>
        <v>0</v>
      </c>
      <c r="S45" s="3"/>
      <c r="T45" s="8">
        <v>4675.6099999999997</v>
      </c>
      <c r="U45" s="3"/>
      <c r="V45" s="7">
        <f t="shared" si="5"/>
        <v>0</v>
      </c>
      <c r="W45" s="3"/>
      <c r="X45" s="8">
        <f t="shared" si="6"/>
        <v>574.26000000000022</v>
      </c>
      <c r="Y45" s="3"/>
      <c r="Z45" s="7">
        <f t="shared" si="7"/>
        <v>0.1228203378810466</v>
      </c>
    </row>
    <row r="46" spans="1:26" s="69" customFormat="1" ht="15" hidden="1" customHeight="1" outlineLevel="2" x14ac:dyDescent="0.3">
      <c r="A46" s="25"/>
      <c r="B46" s="12" t="str">
        <f>CONCATENATE("          ","6375"," - ","OUTSIDE REPAIRS &amp; MAINTENANCE")</f>
        <v xml:space="preserve">          6375 - OUTSIDE REPAIRS &amp; MAINTENANCE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1557.56</v>
      </c>
      <c r="Q46" s="3"/>
      <c r="R46" s="7">
        <f t="shared" si="4"/>
        <v>0</v>
      </c>
      <c r="S46" s="3"/>
      <c r="T46" s="8">
        <v>127.02</v>
      </c>
      <c r="U46" s="3"/>
      <c r="V46" s="7">
        <f t="shared" si="5"/>
        <v>0</v>
      </c>
      <c r="W46" s="3"/>
      <c r="X46" s="8">
        <f t="shared" si="6"/>
        <v>1430.54</v>
      </c>
      <c r="Y46" s="3"/>
      <c r="Z46" s="7">
        <f t="shared" si="7"/>
        <v>11.262320894347347</v>
      </c>
    </row>
    <row r="47" spans="1:26" s="68" customFormat="1" ht="15" customHeight="1" outlineLevel="1" collapsed="1" x14ac:dyDescent="0.3">
      <c r="A47" s="26"/>
      <c r="B47" s="14" t="str">
        <f>CONCATENATE("     ","Services                                          ")</f>
        <v xml:space="preserve">     Services                                          </v>
      </c>
      <c r="C47" s="14"/>
      <c r="D47" s="2">
        <f>SUM(OSRRefD22_8x_0)</f>
        <v>1938.08</v>
      </c>
      <c r="E47" s="2"/>
      <c r="F47" s="6">
        <f t="shared" si="0"/>
        <v>0</v>
      </c>
      <c r="G47" s="2"/>
      <c r="H47" s="2">
        <f>SUM(OSRRefH22_8x_0)</f>
        <v>1251.32</v>
      </c>
      <c r="I47" s="2"/>
      <c r="J47" s="6">
        <f t="shared" si="1"/>
        <v>0</v>
      </c>
      <c r="K47" s="2"/>
      <c r="L47" s="2">
        <f t="shared" si="2"/>
        <v>686.76</v>
      </c>
      <c r="M47" s="2"/>
      <c r="N47" s="6">
        <f t="shared" si="3"/>
        <v>0.54882843717034813</v>
      </c>
      <c r="O47" s="14"/>
      <c r="P47" s="2">
        <f>SUM(OSRRefP22_8x_0)</f>
        <v>8104.68</v>
      </c>
      <c r="Q47" s="2"/>
      <c r="R47" s="6">
        <f t="shared" si="4"/>
        <v>0</v>
      </c>
      <c r="S47" s="2"/>
      <c r="T47" s="2">
        <f>SUM(OSRRefT22_8x_0)</f>
        <v>5580.34</v>
      </c>
      <c r="U47" s="2"/>
      <c r="V47" s="6">
        <f t="shared" si="5"/>
        <v>0</v>
      </c>
      <c r="W47" s="2"/>
      <c r="X47" s="2">
        <f t="shared" si="6"/>
        <v>2524.34</v>
      </c>
      <c r="Y47" s="2"/>
      <c r="Z47" s="6">
        <f t="shared" si="7"/>
        <v>0.45236311765949744</v>
      </c>
    </row>
    <row r="48" spans="1:26" s="69" customFormat="1" ht="15" hidden="1" customHeight="1" outlineLevel="2" x14ac:dyDescent="0.3">
      <c r="A48" s="25"/>
      <c r="B48" s="12" t="str">
        <f>CONCATENATE("          ","6281"," - ","STORAGE FEE")</f>
        <v xml:space="preserve">          6281 - STORAGE FEE</v>
      </c>
      <c r="C48" s="12"/>
      <c r="D48" s="8">
        <v>1938.08</v>
      </c>
      <c r="E48" s="3"/>
      <c r="F48" s="7">
        <f t="shared" si="0"/>
        <v>0</v>
      </c>
      <c r="G48" s="3"/>
      <c r="H48" s="8">
        <v>1251.32</v>
      </c>
      <c r="I48" s="3"/>
      <c r="J48" s="7">
        <f t="shared" si="1"/>
        <v>0</v>
      </c>
      <c r="K48" s="3"/>
      <c r="L48" s="8">
        <f t="shared" si="2"/>
        <v>686.76</v>
      </c>
      <c r="M48" s="3"/>
      <c r="N48" s="7">
        <f t="shared" si="3"/>
        <v>0.54882843717034813</v>
      </c>
      <c r="O48" s="12"/>
      <c r="P48" s="8">
        <v>8104.68</v>
      </c>
      <c r="Q48" s="3"/>
      <c r="R48" s="7">
        <f t="shared" si="4"/>
        <v>0</v>
      </c>
      <c r="S48" s="3"/>
      <c r="T48" s="8">
        <v>5580.34</v>
      </c>
      <c r="U48" s="3"/>
      <c r="V48" s="7">
        <f t="shared" si="5"/>
        <v>0</v>
      </c>
      <c r="W48" s="3"/>
      <c r="X48" s="8">
        <f t="shared" si="6"/>
        <v>2524.34</v>
      </c>
      <c r="Y48" s="3"/>
      <c r="Z48" s="7">
        <f t="shared" si="7"/>
        <v>0.45236311765949744</v>
      </c>
    </row>
    <row r="49" spans="1:26" s="68" customFormat="1" ht="15" customHeight="1" outlineLevel="1" collapsed="1" x14ac:dyDescent="0.3">
      <c r="A49" s="26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SUM(OSRRefD22_9x_0)</f>
        <v>2608.81</v>
      </c>
      <c r="E49" s="2"/>
      <c r="F49" s="6">
        <f t="shared" si="0"/>
        <v>0</v>
      </c>
      <c r="G49" s="2"/>
      <c r="H49" s="2">
        <f>SUM(OSRRefH22_9x_0)</f>
        <v>1</v>
      </c>
      <c r="I49" s="2"/>
      <c r="J49" s="6">
        <f t="shared" si="1"/>
        <v>0</v>
      </c>
      <c r="K49" s="2"/>
      <c r="L49" s="2">
        <f t="shared" si="2"/>
        <v>2607.81</v>
      </c>
      <c r="M49" s="2"/>
      <c r="N49" s="6">
        <f t="shared" si="3"/>
        <v>2607.81</v>
      </c>
      <c r="O49" s="14"/>
      <c r="P49" s="2">
        <f>SUM(OSRRefP22_9x_0)</f>
        <v>4391.3600000000006</v>
      </c>
      <c r="Q49" s="2"/>
      <c r="R49" s="6">
        <f t="shared" si="4"/>
        <v>0</v>
      </c>
      <c r="S49" s="2"/>
      <c r="T49" s="2">
        <f>SUM(OSRRefT22_9x_0)</f>
        <v>2024.97</v>
      </c>
      <c r="U49" s="2"/>
      <c r="V49" s="6">
        <f t="shared" si="5"/>
        <v>0</v>
      </c>
      <c r="W49" s="2"/>
      <c r="X49" s="2">
        <f t="shared" si="6"/>
        <v>2366.3900000000003</v>
      </c>
      <c r="Y49" s="2"/>
      <c r="Z49" s="6">
        <f t="shared" si="7"/>
        <v>1.1686049669871654</v>
      </c>
    </row>
    <row r="50" spans="1:26" s="69" customFormat="1" ht="15" hidden="1" customHeight="1" outlineLevel="2" x14ac:dyDescent="0.3">
      <c r="A50" s="25"/>
      <c r="B50" s="12" t="str">
        <f>CONCATENATE("          ","6234"," - ","EXPENDABLE SUPPLIES &amp; EQUIPMEN")</f>
        <v xml:space="preserve">          6234 - EXPENDABLE SUPPLIES &amp; EQUIPMEN</v>
      </c>
      <c r="C50" s="12"/>
      <c r="D50" s="8">
        <v>2481.17</v>
      </c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2481.17</v>
      </c>
      <c r="M50" s="3"/>
      <c r="N50" s="7">
        <f t="shared" si="3"/>
        <v>0</v>
      </c>
      <c r="O50" s="12"/>
      <c r="P50" s="8">
        <v>2481.17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2481.17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","6235"," - ","COVID-19 EXPENSES")</f>
        <v xml:space="preserve">          6235 - COVID-19 EXPENSES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/>
      <c r="Q51" s="3"/>
      <c r="R51" s="7">
        <f t="shared" si="4"/>
        <v>0</v>
      </c>
      <c r="S51" s="3"/>
      <c r="T51" s="8">
        <v>426.66</v>
      </c>
      <c r="U51" s="3"/>
      <c r="V51" s="7">
        <f t="shared" si="5"/>
        <v>0</v>
      </c>
      <c r="W51" s="3"/>
      <c r="X51" s="8">
        <f t="shared" si="6"/>
        <v>-426.66</v>
      </c>
      <c r="Y51" s="3"/>
      <c r="Z51" s="7">
        <f t="shared" si="7"/>
        <v>-1</v>
      </c>
    </row>
    <row r="52" spans="1:26" s="69" customFormat="1" ht="15" hidden="1" customHeight="1" outlineLevel="2" x14ac:dyDescent="0.3">
      <c r="A52" s="25"/>
      <c r="B52" s="12" t="str">
        <f>CONCATENATE("          ","6241"," - ","OFFICE EXPENSE")</f>
        <v xml:space="preserve">          6241 - OFFICE EXPENSE</v>
      </c>
      <c r="C52" s="12"/>
      <c r="D52" s="8">
        <v>127.64</v>
      </c>
      <c r="E52" s="3"/>
      <c r="F52" s="7">
        <f t="shared" si="0"/>
        <v>0</v>
      </c>
      <c r="G52" s="3"/>
      <c r="H52" s="8">
        <v>1</v>
      </c>
      <c r="I52" s="3"/>
      <c r="J52" s="7">
        <f t="shared" si="1"/>
        <v>0</v>
      </c>
      <c r="K52" s="3"/>
      <c r="L52" s="8">
        <f t="shared" si="2"/>
        <v>126.64</v>
      </c>
      <c r="M52" s="3"/>
      <c r="N52" s="7">
        <f t="shared" si="3"/>
        <v>126.64</v>
      </c>
      <c r="O52" s="12"/>
      <c r="P52" s="8">
        <v>1910.19</v>
      </c>
      <c r="Q52" s="3"/>
      <c r="R52" s="7">
        <f t="shared" si="4"/>
        <v>0</v>
      </c>
      <c r="S52" s="3"/>
      <c r="T52" s="8">
        <v>1598.31</v>
      </c>
      <c r="U52" s="3"/>
      <c r="V52" s="7">
        <f t="shared" si="5"/>
        <v>0</v>
      </c>
      <c r="W52" s="3"/>
      <c r="X52" s="8">
        <f t="shared" si="6"/>
        <v>311.88000000000011</v>
      </c>
      <c r="Y52" s="3"/>
      <c r="Z52" s="7">
        <f t="shared" si="7"/>
        <v>0.19513110723201388</v>
      </c>
    </row>
    <row r="53" spans="1:26" s="68" customFormat="1" ht="15" customHeight="1" outlineLevel="1" collapsed="1" x14ac:dyDescent="0.3">
      <c r="A53" s="26"/>
      <c r="B53" s="14" t="str">
        <f>CONCATENATE("     ","Telephone/Data Lines                              ")</f>
        <v xml:space="preserve">     Telephone/Data Lines                              </v>
      </c>
      <c r="C53" s="14"/>
      <c r="D53" s="2">
        <f>SUM(OSRRefD22_10x_0)</f>
        <v>289.55</v>
      </c>
      <c r="E53" s="2"/>
      <c r="F53" s="6">
        <f t="shared" si="0"/>
        <v>0</v>
      </c>
      <c r="G53" s="2"/>
      <c r="H53" s="2">
        <f>SUM(OSRRefH22_10x_0)</f>
        <v>345.9</v>
      </c>
      <c r="I53" s="2"/>
      <c r="J53" s="6">
        <f t="shared" si="1"/>
        <v>0</v>
      </c>
      <c r="K53" s="2"/>
      <c r="L53" s="2">
        <f t="shared" si="2"/>
        <v>-56.349999999999966</v>
      </c>
      <c r="M53" s="2"/>
      <c r="N53" s="6">
        <f t="shared" si="3"/>
        <v>-0.16290835501590045</v>
      </c>
      <c r="O53" s="14"/>
      <c r="P53" s="2">
        <f>SUM(OSRRefP22_10x_0)</f>
        <v>3726.67</v>
      </c>
      <c r="Q53" s="2"/>
      <c r="R53" s="6">
        <f t="shared" si="4"/>
        <v>0</v>
      </c>
      <c r="S53" s="2"/>
      <c r="T53" s="2">
        <f>SUM(OSRRefT22_10x_0)</f>
        <v>4806.28</v>
      </c>
      <c r="U53" s="2"/>
      <c r="V53" s="6">
        <f t="shared" si="5"/>
        <v>0</v>
      </c>
      <c r="W53" s="2"/>
      <c r="X53" s="2">
        <f t="shared" si="6"/>
        <v>-1079.6099999999997</v>
      </c>
      <c r="Y53" s="2"/>
      <c r="Z53" s="6">
        <f t="shared" si="7"/>
        <v>-0.22462486580057753</v>
      </c>
    </row>
    <row r="54" spans="1:26" s="69" customFormat="1" ht="15" hidden="1" customHeight="1" outlineLevel="2" x14ac:dyDescent="0.3">
      <c r="A54" s="25"/>
      <c r="B54" s="12" t="str">
        <f>CONCATENATE("          ","6309"," - ","TELEPHONE")</f>
        <v xml:space="preserve">          6309 - TELEPHONE</v>
      </c>
      <c r="C54" s="12"/>
      <c r="D54" s="8">
        <v>289.55</v>
      </c>
      <c r="E54" s="3"/>
      <c r="F54" s="7">
        <f t="shared" si="0"/>
        <v>0</v>
      </c>
      <c r="G54" s="3"/>
      <c r="H54" s="8">
        <v>345.9</v>
      </c>
      <c r="I54" s="3"/>
      <c r="J54" s="7">
        <f t="shared" si="1"/>
        <v>0</v>
      </c>
      <c r="K54" s="3"/>
      <c r="L54" s="8">
        <f t="shared" si="2"/>
        <v>-56.349999999999966</v>
      </c>
      <c r="M54" s="3"/>
      <c r="N54" s="7">
        <f t="shared" si="3"/>
        <v>-0.16290835501590045</v>
      </c>
      <c r="O54" s="12"/>
      <c r="P54" s="8">
        <v>3726.67</v>
      </c>
      <c r="Q54" s="3"/>
      <c r="R54" s="7">
        <f t="shared" si="4"/>
        <v>0</v>
      </c>
      <c r="S54" s="3"/>
      <c r="T54" s="8">
        <v>4806.28</v>
      </c>
      <c r="U54" s="3"/>
      <c r="V54" s="7">
        <f t="shared" si="5"/>
        <v>0</v>
      </c>
      <c r="W54" s="3"/>
      <c r="X54" s="8">
        <f t="shared" si="6"/>
        <v>-1079.6099999999997</v>
      </c>
      <c r="Y54" s="3"/>
      <c r="Z54" s="7">
        <f t="shared" si="7"/>
        <v>-0.22462486580057753</v>
      </c>
    </row>
    <row r="55" spans="1:26" s="68" customFormat="1" ht="15" customHeight="1" outlineLevel="1" collapsed="1" x14ac:dyDescent="0.3">
      <c r="A55" s="26"/>
      <c r="B55" s="14" t="str">
        <f>CONCATENATE("     ","Training                                          ")</f>
        <v xml:space="preserve">     Training                                          </v>
      </c>
      <c r="C55" s="14"/>
      <c r="D55" s="2">
        <f>SUM(OSRRefD22_11x_0)</f>
        <v>0</v>
      </c>
      <c r="E55" s="2"/>
      <c r="F55" s="6">
        <f t="shared" si="0"/>
        <v>0</v>
      </c>
      <c r="G55" s="2"/>
      <c r="H55" s="2">
        <f>SUM(OSRRefH22_11x_0)</f>
        <v>0</v>
      </c>
      <c r="I55" s="2"/>
      <c r="J55" s="6">
        <f t="shared" si="1"/>
        <v>0</v>
      </c>
      <c r="K55" s="2"/>
      <c r="L55" s="2">
        <f t="shared" si="2"/>
        <v>0</v>
      </c>
      <c r="M55" s="2"/>
      <c r="N55" s="6">
        <f t="shared" si="3"/>
        <v>0</v>
      </c>
      <c r="O55" s="14"/>
      <c r="P55" s="2">
        <f>SUM(OSRRefP22_11x_0)</f>
        <v>595</v>
      </c>
      <c r="Q55" s="2"/>
      <c r="R55" s="6">
        <f t="shared" si="4"/>
        <v>0</v>
      </c>
      <c r="S55" s="2"/>
      <c r="T55" s="2">
        <f>SUM(OSRRefT22_11x_0)</f>
        <v>548</v>
      </c>
      <c r="U55" s="2"/>
      <c r="V55" s="6">
        <f t="shared" si="5"/>
        <v>0</v>
      </c>
      <c r="W55" s="2"/>
      <c r="X55" s="2">
        <f t="shared" si="6"/>
        <v>47</v>
      </c>
      <c r="Y55" s="2"/>
      <c r="Z55" s="6">
        <f t="shared" si="7"/>
        <v>8.576642335766424E-2</v>
      </c>
    </row>
    <row r="56" spans="1:26" s="69" customFormat="1" ht="15" hidden="1" customHeight="1" outlineLevel="2" x14ac:dyDescent="0.3">
      <c r="A56" s="25"/>
      <c r="B56" s="12" t="str">
        <f>CONCATENATE("          ","6376"," - ","TRAINING")</f>
        <v xml:space="preserve">          6376 - TRAINING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595</v>
      </c>
      <c r="Q56" s="3"/>
      <c r="R56" s="7">
        <f t="shared" si="4"/>
        <v>0</v>
      </c>
      <c r="S56" s="3"/>
      <c r="T56" s="8">
        <v>548</v>
      </c>
      <c r="U56" s="3"/>
      <c r="V56" s="7">
        <f t="shared" si="5"/>
        <v>0</v>
      </c>
      <c r="W56" s="3"/>
      <c r="X56" s="8">
        <f t="shared" si="6"/>
        <v>47</v>
      </c>
      <c r="Y56" s="3"/>
      <c r="Z56" s="7">
        <f t="shared" si="7"/>
        <v>8.576642335766424E-2</v>
      </c>
    </row>
    <row r="57" spans="1:26" s="68" customFormat="1" ht="15" customHeight="1" outlineLevel="1" collapsed="1" x14ac:dyDescent="0.3">
      <c r="A57" s="26"/>
      <c r="B57" s="14" t="str">
        <f>CONCATENATE("     ","Travel                                            ")</f>
        <v xml:space="preserve">     Travel                                            </v>
      </c>
      <c r="C57" s="14"/>
      <c r="D57" s="2">
        <f>SUM(OSRRefD22_12x_0)</f>
        <v>0</v>
      </c>
      <c r="E57" s="2"/>
      <c r="F57" s="6">
        <f t="shared" si="0"/>
        <v>0</v>
      </c>
      <c r="G57" s="2"/>
      <c r="H57" s="2">
        <f>SUM(OSRRefH22_12x_0)</f>
        <v>7.6</v>
      </c>
      <c r="I57" s="2"/>
      <c r="J57" s="6">
        <f t="shared" si="1"/>
        <v>0</v>
      </c>
      <c r="K57" s="2"/>
      <c r="L57" s="2">
        <f t="shared" si="2"/>
        <v>-7.6</v>
      </c>
      <c r="M57" s="2"/>
      <c r="N57" s="6">
        <f t="shared" si="3"/>
        <v>-1</v>
      </c>
      <c r="O57" s="14"/>
      <c r="P57" s="2">
        <f>SUM(OSRRefP22_12x_0)</f>
        <v>30.4</v>
      </c>
      <c r="Q57" s="2"/>
      <c r="R57" s="6">
        <f t="shared" si="4"/>
        <v>0</v>
      </c>
      <c r="S57" s="2"/>
      <c r="T57" s="2">
        <f>SUM(OSRRefT22_12x_0)</f>
        <v>75.42</v>
      </c>
      <c r="U57" s="2"/>
      <c r="V57" s="6">
        <f t="shared" si="5"/>
        <v>0</v>
      </c>
      <c r="W57" s="2"/>
      <c r="X57" s="2">
        <f t="shared" si="6"/>
        <v>-45.02</v>
      </c>
      <c r="Y57" s="2"/>
      <c r="Z57" s="6">
        <f t="shared" si="7"/>
        <v>-0.59692389286661363</v>
      </c>
    </row>
    <row r="58" spans="1:26" s="69" customFormat="1" ht="15" hidden="1" customHeight="1" outlineLevel="2" x14ac:dyDescent="0.3">
      <c r="A58" s="25"/>
      <c r="B58" s="12" t="str">
        <f>CONCATENATE("          ","6294"," - ","TRAVEL OPERATIONAL")</f>
        <v xml:space="preserve">          6294 - TRAVEL OPERATIONAL</v>
      </c>
      <c r="C58" s="12"/>
      <c r="D58" s="8"/>
      <c r="E58" s="3"/>
      <c r="F58" s="7">
        <f t="shared" si="0"/>
        <v>0</v>
      </c>
      <c r="G58" s="3"/>
      <c r="H58" s="8">
        <v>7.6</v>
      </c>
      <c r="I58" s="3"/>
      <c r="J58" s="7">
        <f t="shared" si="1"/>
        <v>0</v>
      </c>
      <c r="K58" s="3"/>
      <c r="L58" s="8">
        <f t="shared" si="2"/>
        <v>-7.6</v>
      </c>
      <c r="M58" s="3"/>
      <c r="N58" s="7">
        <f t="shared" si="3"/>
        <v>-1</v>
      </c>
      <c r="O58" s="12"/>
      <c r="P58" s="8">
        <v>30.4</v>
      </c>
      <c r="Q58" s="3"/>
      <c r="R58" s="7">
        <f t="shared" si="4"/>
        <v>0</v>
      </c>
      <c r="S58" s="3"/>
      <c r="T58" s="8">
        <v>75.42</v>
      </c>
      <c r="U58" s="3"/>
      <c r="V58" s="7">
        <f t="shared" si="5"/>
        <v>0</v>
      </c>
      <c r="W58" s="3"/>
      <c r="X58" s="8">
        <f t="shared" si="6"/>
        <v>-45.02</v>
      </c>
      <c r="Y58" s="3"/>
      <c r="Z58" s="7">
        <f t="shared" si="7"/>
        <v>-0.59692389286661363</v>
      </c>
    </row>
    <row r="59" spans="1:26" s="64" customFormat="1" ht="15" customHeight="1" x14ac:dyDescent="0.3">
      <c r="A59" s="36"/>
      <c r="B59" s="36"/>
      <c r="C59" s="36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3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62" customFormat="1" ht="15" customHeight="1" x14ac:dyDescent="0.3">
      <c r="A60" s="11"/>
      <c r="B60" s="28" t="s">
        <v>290</v>
      </c>
      <c r="C60" s="11"/>
      <c r="D60" s="5">
        <f>SUM(0)</f>
        <v>0</v>
      </c>
      <c r="E60" s="5"/>
      <c r="F60" s="13">
        <f>IF(D$12=0,0,D60/D$12)</f>
        <v>0</v>
      </c>
      <c r="G60" s="5"/>
      <c r="H60" s="5">
        <f>SUM(0)</f>
        <v>0</v>
      </c>
      <c r="I60" s="5"/>
      <c r="J60" s="13">
        <f>IF(H$12=0,0,H60/H$12)</f>
        <v>0</v>
      </c>
      <c r="K60" s="5"/>
      <c r="L60" s="5">
        <f>+D60-H60</f>
        <v>0</v>
      </c>
      <c r="M60" s="5"/>
      <c r="N60" s="13">
        <f>IF(H60=0,0,L60/H60)</f>
        <v>0</v>
      </c>
      <c r="O60" s="11"/>
      <c r="P60" s="5">
        <f>SUM(0)</f>
        <v>0</v>
      </c>
      <c r="Q60" s="5"/>
      <c r="R60" s="13">
        <f>IF(P$12=0,0,P60/P$12)</f>
        <v>0</v>
      </c>
      <c r="S60" s="5"/>
      <c r="T60" s="5">
        <f>SUM(0)</f>
        <v>0</v>
      </c>
      <c r="U60" s="5"/>
      <c r="V60" s="13">
        <f>IF(T$12=0,0,T60/T$12)</f>
        <v>0</v>
      </c>
      <c r="W60" s="5"/>
      <c r="X60" s="5">
        <f>+P60-T60</f>
        <v>0</v>
      </c>
      <c r="Y60" s="5"/>
      <c r="Z60" s="13">
        <f>IF(T60=0,0,X60/T60)</f>
        <v>0</v>
      </c>
    </row>
    <row r="61" spans="1:26" ht="15" customHeight="1" x14ac:dyDescent="0.3">
      <c r="A61" s="10"/>
      <c r="B61" s="11"/>
      <c r="C61" s="11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O61" s="11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2" customFormat="1" ht="15" customHeight="1" x14ac:dyDescent="0.3">
      <c r="A62" s="11"/>
      <c r="B62" s="27" t="s">
        <v>291</v>
      </c>
      <c r="C62" s="27"/>
      <c r="D62" s="22">
        <f>+D16-D18+D60</f>
        <v>-75317.290000000008</v>
      </c>
      <c r="E62" s="15"/>
      <c r="F62" s="21">
        <f>IF(D$12=0,0,D62/D$12)</f>
        <v>0</v>
      </c>
      <c r="G62" s="15"/>
      <c r="H62" s="22">
        <f>+H16-H18+H60</f>
        <v>-56260.219999999994</v>
      </c>
      <c r="I62" s="15"/>
      <c r="J62" s="21">
        <f>IF(H$12=0,0,H62/H$12)</f>
        <v>0</v>
      </c>
      <c r="K62" s="17"/>
      <c r="L62" s="22">
        <f>+D62-H62</f>
        <v>-19057.070000000014</v>
      </c>
      <c r="M62" s="17"/>
      <c r="N62" s="21">
        <f>IF(H62=0,0,L62/H62)</f>
        <v>0.3387308119307037</v>
      </c>
      <c r="O62" s="28"/>
      <c r="P62" s="22">
        <f>+P16-P18+P60</f>
        <v>-408339.31999999995</v>
      </c>
      <c r="Q62" s="15"/>
      <c r="R62" s="21">
        <f>IF(P$12=0,0,P62/P$12)</f>
        <v>0</v>
      </c>
      <c r="S62" s="15"/>
      <c r="T62" s="22">
        <f>+T16-T18+T60</f>
        <v>-377764.95000000007</v>
      </c>
      <c r="U62" s="15"/>
      <c r="V62" s="21">
        <f>IF(T$12=0,0,T62/T$12)</f>
        <v>0</v>
      </c>
      <c r="W62" s="17"/>
      <c r="X62" s="22">
        <f>+P62-T62</f>
        <v>-30574.369999999879</v>
      </c>
      <c r="Y62" s="17"/>
      <c r="Z62" s="21">
        <f>IF(T62=0,0,X62/T62)</f>
        <v>8.0934904098434415E-2</v>
      </c>
    </row>
    <row r="63" spans="1:26" ht="15" customHeight="1" x14ac:dyDescent="0.3">
      <c r="A63" s="10"/>
      <c r="B63" s="11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48"/>
      <c r="B64" s="11" t="s">
        <v>292</v>
      </c>
      <c r="C64" s="11"/>
      <c r="D64" s="5"/>
      <c r="E64" s="5"/>
      <c r="F64" s="13">
        <f>IF(D$12=0,0,D64/D$12)</f>
        <v>0</v>
      </c>
      <c r="G64" s="5"/>
      <c r="H64" s="5"/>
      <c r="I64" s="5"/>
      <c r="J64" s="13">
        <f>IF(H$12=0,0,H64/H$12)</f>
        <v>0</v>
      </c>
      <c r="K64" s="5"/>
      <c r="L64" s="5">
        <f>+D64-H64</f>
        <v>0</v>
      </c>
      <c r="M64" s="5"/>
      <c r="N64" s="13">
        <f>IF(H64=0,0,L64/H64)</f>
        <v>0</v>
      </c>
      <c r="O64" s="11"/>
      <c r="P64" s="5"/>
      <c r="Q64" s="5"/>
      <c r="R64" s="13">
        <f>IF(P$12=0,0,P64/P$12)</f>
        <v>0</v>
      </c>
      <c r="S64" s="5"/>
      <c r="T64" s="5"/>
      <c r="U64" s="5"/>
      <c r="V64" s="13">
        <f>IF(T$12=0,0,T64/T$12)</f>
        <v>0</v>
      </c>
      <c r="W64" s="5"/>
      <c r="X64" s="5">
        <f>+P64-T64</f>
        <v>0</v>
      </c>
      <c r="Y64" s="5"/>
      <c r="Z64" s="13">
        <f>IF(T64=0,0,X64/T64)</f>
        <v>0</v>
      </c>
    </row>
    <row r="65" spans="1:26" ht="15" customHeight="1" x14ac:dyDescent="0.3">
      <c r="A65" s="10"/>
      <c r="B65" s="11"/>
      <c r="C65" s="11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O65" s="11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11"/>
      <c r="B66" s="27" t="s">
        <v>293</v>
      </c>
      <c r="C66" s="27"/>
      <c r="D66" s="34">
        <f>+D62-D64</f>
        <v>-75317.290000000008</v>
      </c>
      <c r="E66" s="15"/>
      <c r="F66" s="33">
        <f>IF(D$12=0,0,D66/D$12)</f>
        <v>0</v>
      </c>
      <c r="G66" s="15"/>
      <c r="H66" s="34">
        <f>+H62-H64</f>
        <v>-56260.219999999994</v>
      </c>
      <c r="I66" s="15"/>
      <c r="J66" s="33">
        <f>IF(H$12=0,0,H66/H$12)</f>
        <v>0</v>
      </c>
      <c r="K66" s="17"/>
      <c r="L66" s="34">
        <f>D66-H66</f>
        <v>-19057.070000000014</v>
      </c>
      <c r="M66" s="17"/>
      <c r="N66" s="33">
        <f>IF(H66=0,0,L66/H66)</f>
        <v>0.3387308119307037</v>
      </c>
      <c r="O66" s="28"/>
      <c r="P66" s="34">
        <f>+P62-P64</f>
        <v>-408339.31999999995</v>
      </c>
      <c r="Q66" s="15"/>
      <c r="R66" s="33">
        <f>IF(P$12=0,0,P66/P$12)</f>
        <v>0</v>
      </c>
      <c r="S66" s="15"/>
      <c r="T66" s="34">
        <f>+T62-T64</f>
        <v>-377764.95000000007</v>
      </c>
      <c r="U66" s="15"/>
      <c r="V66" s="33">
        <f>IF(T$12=0,0,T66/T$12)</f>
        <v>0</v>
      </c>
      <c r="W66" s="17"/>
      <c r="X66" s="34">
        <f>P66-T66</f>
        <v>-30574.369999999879</v>
      </c>
      <c r="Y66" s="17"/>
      <c r="Z66" s="33">
        <f>IF(T66=0,0,X66/T66)</f>
        <v>8.0934904098434415E-2</v>
      </c>
    </row>
    <row r="67" spans="1:26" ht="15" customHeight="1" x14ac:dyDescent="0.3">
      <c r="A67" s="10"/>
      <c r="B67" s="10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ht="15" customHeight="1" x14ac:dyDescent="0.3">
      <c r="A68" s="10"/>
      <c r="B68" s="10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7" t="s">
        <v>296</v>
      </c>
      <c r="C69" s="27"/>
      <c r="D69" s="31">
        <f>SUM(D66:D68)</f>
        <v>-75317.290000000008</v>
      </c>
      <c r="E69" s="15"/>
      <c r="F69" s="32">
        <f>IF(D$12=0,0,D69/D$12)</f>
        <v>0</v>
      </c>
      <c r="G69" s="15"/>
      <c r="H69" s="31">
        <f>SUM(H66:H68)</f>
        <v>-56260.219999999994</v>
      </c>
      <c r="I69" s="15"/>
      <c r="J69" s="32">
        <f>IF(H$12=0,0,H69/H$12)</f>
        <v>0</v>
      </c>
      <c r="K69" s="17"/>
      <c r="L69" s="31">
        <f>+D69-H69</f>
        <v>-19057.070000000014</v>
      </c>
      <c r="M69" s="17"/>
      <c r="N69" s="32">
        <f>IF(H69=0,0,L69/H69)</f>
        <v>0.3387308119307037</v>
      </c>
      <c r="O69" s="28"/>
      <c r="P69" s="31">
        <f>SUM(P66:P68)</f>
        <v>-408339.31999999995</v>
      </c>
      <c r="Q69" s="15"/>
      <c r="R69" s="32">
        <f>IF(P$12=0,0,P69/P$12)</f>
        <v>0</v>
      </c>
      <c r="S69" s="15"/>
      <c r="T69" s="31">
        <f>SUM(T66:T68)</f>
        <v>-377764.95000000007</v>
      </c>
      <c r="U69" s="15"/>
      <c r="V69" s="32">
        <f>IF(T$12=0,0,T69/T$12)</f>
        <v>0</v>
      </c>
      <c r="W69" s="17"/>
      <c r="X69" s="31">
        <f>+P69-T69</f>
        <v>-30574.369999999879</v>
      </c>
      <c r="Y69" s="17"/>
      <c r="Z69" s="32">
        <f>IF(T69=0,0,X69/T69)</f>
        <v>8.0934904098434415E-2</v>
      </c>
    </row>
    <row r="70" spans="1:26" ht="15" customHeight="1" x14ac:dyDescent="0.3">
      <c r="A70" s="10"/>
      <c r="C70" s="10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A71" s="10"/>
      <c r="B71" s="56">
        <v>44663.03859679398</v>
      </c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  <row r="72" spans="1:26" ht="15" customHeight="1" x14ac:dyDescent="0.3">
      <c r="A72" s="10"/>
      <c r="B72" s="57" t="s">
        <v>297</v>
      </c>
      <c r="D72" s="19"/>
      <c r="E72" s="19"/>
      <c r="G72" s="19"/>
      <c r="H72" s="19"/>
      <c r="I72" s="19"/>
      <c r="J72" s="40"/>
      <c r="K72" s="19"/>
      <c r="L72" s="19"/>
      <c r="M72" s="19"/>
      <c r="P72" s="19"/>
      <c r="Q72" s="19"/>
      <c r="R72" s="40"/>
      <c r="S72" s="19"/>
      <c r="T72" s="19"/>
      <c r="U72" s="19"/>
      <c r="V72" s="40"/>
      <c r="W72" s="19"/>
      <c r="X72" s="19"/>
    </row>
    <row r="73" spans="1:26" ht="15" customHeight="1" x14ac:dyDescent="0.3">
      <c r="A73" s="10"/>
      <c r="B73" s="58"/>
      <c r="D73" s="19"/>
      <c r="E73" s="19"/>
      <c r="G73" s="19"/>
      <c r="H73" s="19"/>
      <c r="I73" s="19"/>
      <c r="J73" s="40"/>
      <c r="K73" s="19"/>
      <c r="L73" s="19"/>
      <c r="M73" s="19"/>
      <c r="P73" s="19"/>
      <c r="Q73" s="19"/>
      <c r="R73" s="40"/>
      <c r="S73" s="19"/>
      <c r="T73" s="19"/>
      <c r="U73" s="19"/>
      <c r="V73" s="40"/>
      <c r="W73" s="19"/>
      <c r="X73" s="19"/>
    </row>
    <row r="74" spans="1:26" ht="15" customHeight="1" x14ac:dyDescent="0.3">
      <c r="D74" s="19"/>
      <c r="E74" s="19"/>
      <c r="G74" s="19"/>
      <c r="H74" s="19"/>
      <c r="I74" s="19"/>
      <c r="J74" s="40"/>
      <c r="K74" s="19"/>
      <c r="L74" s="19"/>
      <c r="M74" s="19"/>
      <c r="P74" s="19"/>
      <c r="Q74" s="19"/>
      <c r="R74" s="40"/>
      <c r="S74" s="19"/>
      <c r="T74" s="19"/>
      <c r="U74" s="19"/>
      <c r="V74" s="40"/>
      <c r="W74" s="19"/>
      <c r="X7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AF072-E1C1-1485-0C36-5D34EFFB09BF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","203"," - ","Human Resources")</f>
        <v>Department 203 - Human Resources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50925.13</v>
      </c>
      <c r="E18" s="23"/>
      <c r="F18" s="35">
        <f t="shared" ref="F18:F65" si="0">IF(D$12=0,0,D18/D$12)</f>
        <v>0</v>
      </c>
      <c r="G18" s="23"/>
      <c r="H18" s="23" cm="1">
        <f t="array" ref="H18">SUM(OSRRefH22x_0)</f>
        <v>39480.030000000006</v>
      </c>
      <c r="I18" s="23"/>
      <c r="J18" s="35">
        <f t="shared" ref="J18:J65" si="1">IF(H$12=0,0,H18/H$12)</f>
        <v>0</v>
      </c>
      <c r="K18" s="5"/>
      <c r="L18" s="23">
        <f t="shared" ref="L18:L65" si="2">+D18-H18</f>
        <v>11445.099999999991</v>
      </c>
      <c r="M18" s="5"/>
      <c r="N18" s="35">
        <f t="shared" ref="N18:N65" si="3">IF(H18=0,0,L18/H18)</f>
        <v>0.28989592966368033</v>
      </c>
      <c r="O18" s="11"/>
      <c r="P18" s="23" cm="1">
        <f t="array" ref="P18">SUM(OSRRefP22x_0)</f>
        <v>499339.32</v>
      </c>
      <c r="Q18" s="23"/>
      <c r="R18" s="35">
        <f t="shared" ref="R18:R65" si="4">IF(P$12=0,0,P18/P$12)</f>
        <v>0</v>
      </c>
      <c r="S18" s="23"/>
      <c r="T18" s="23" cm="1">
        <f t="array" ref="T18">SUM(OSRRefT22x_0)</f>
        <v>406545.27</v>
      </c>
      <c r="U18" s="23"/>
      <c r="V18" s="35">
        <f t="shared" ref="V18:V65" si="5">IF(T$12=0,0,T18/T$12)</f>
        <v>0</v>
      </c>
      <c r="W18" s="5"/>
      <c r="X18" s="23">
        <f t="shared" ref="X18:X65" si="6">+P18-T18</f>
        <v>92794.049999999988</v>
      </c>
      <c r="Y18" s="5"/>
      <c r="Z18" s="35">
        <f t="shared" ref="Z18:Z65" si="7">IF(T18=0,0,X18/T18)</f>
        <v>0.22825022659838098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12760.820000000003</v>
      </c>
      <c r="E19" s="2"/>
      <c r="F19" s="6">
        <f t="shared" si="0"/>
        <v>0</v>
      </c>
      <c r="G19" s="2"/>
      <c r="H19" s="2">
        <f>SUM(OSRRefH22_0x_0)</f>
        <v>11710.36</v>
      </c>
      <c r="I19" s="2"/>
      <c r="J19" s="6">
        <f t="shared" si="1"/>
        <v>0</v>
      </c>
      <c r="K19" s="2"/>
      <c r="L19" s="2">
        <f t="shared" si="2"/>
        <v>1050.4600000000028</v>
      </c>
      <c r="M19" s="2"/>
      <c r="N19" s="6">
        <f t="shared" si="3"/>
        <v>8.9703476238134669E-2</v>
      </c>
      <c r="O19" s="14"/>
      <c r="P19" s="2">
        <f>SUM(OSRRefP22_0x_0)</f>
        <v>134382.39999999999</v>
      </c>
      <c r="Q19" s="2"/>
      <c r="R19" s="6">
        <f t="shared" si="4"/>
        <v>0</v>
      </c>
      <c r="S19" s="2"/>
      <c r="T19" s="2">
        <f>SUM(OSRRefT22_0x_0)</f>
        <v>110280.76000000001</v>
      </c>
      <c r="U19" s="2"/>
      <c r="V19" s="6">
        <f t="shared" si="5"/>
        <v>0</v>
      </c>
      <c r="W19" s="2"/>
      <c r="X19" s="2">
        <f t="shared" si="6"/>
        <v>24101.639999999985</v>
      </c>
      <c r="Y19" s="2"/>
      <c r="Z19" s="6">
        <f t="shared" si="7"/>
        <v>0.2185480042030902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2289.5500000000002</v>
      </c>
      <c r="E20" s="3"/>
      <c r="F20" s="7">
        <f t="shared" si="0"/>
        <v>0</v>
      </c>
      <c r="G20" s="3"/>
      <c r="H20" s="8">
        <v>1795.46</v>
      </c>
      <c r="I20" s="3"/>
      <c r="J20" s="7">
        <f t="shared" si="1"/>
        <v>0</v>
      </c>
      <c r="K20" s="3"/>
      <c r="L20" s="8">
        <f t="shared" si="2"/>
        <v>494.09000000000015</v>
      </c>
      <c r="M20" s="3"/>
      <c r="N20" s="7">
        <f t="shared" si="3"/>
        <v>0.27518853107281704</v>
      </c>
      <c r="O20" s="12"/>
      <c r="P20" s="8">
        <v>20955.7</v>
      </c>
      <c r="Q20" s="3"/>
      <c r="R20" s="7">
        <f t="shared" si="4"/>
        <v>0</v>
      </c>
      <c r="S20" s="3"/>
      <c r="T20" s="8">
        <v>18873.599999999999</v>
      </c>
      <c r="U20" s="3"/>
      <c r="V20" s="7">
        <f t="shared" si="5"/>
        <v>0</v>
      </c>
      <c r="W20" s="3"/>
      <c r="X20" s="8">
        <f t="shared" si="6"/>
        <v>2082.1000000000022</v>
      </c>
      <c r="Y20" s="3"/>
      <c r="Z20" s="7">
        <f t="shared" si="7"/>
        <v>0.11031811631061389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383.38</v>
      </c>
      <c r="E21" s="3"/>
      <c r="F21" s="7">
        <f t="shared" si="0"/>
        <v>0</v>
      </c>
      <c r="G21" s="3"/>
      <c r="H21" s="8">
        <v>77.45</v>
      </c>
      <c r="I21" s="3"/>
      <c r="J21" s="7">
        <f t="shared" si="1"/>
        <v>0</v>
      </c>
      <c r="K21" s="3"/>
      <c r="L21" s="8">
        <f t="shared" si="2"/>
        <v>305.93</v>
      </c>
      <c r="M21" s="3"/>
      <c r="N21" s="7">
        <f t="shared" si="3"/>
        <v>3.9500322788896063</v>
      </c>
      <c r="O21" s="12"/>
      <c r="P21" s="8">
        <v>3507.94</v>
      </c>
      <c r="Q21" s="3"/>
      <c r="R21" s="7">
        <f t="shared" si="4"/>
        <v>0</v>
      </c>
      <c r="S21" s="3"/>
      <c r="T21" s="8">
        <v>821.32</v>
      </c>
      <c r="U21" s="3"/>
      <c r="V21" s="7">
        <f t="shared" si="5"/>
        <v>0</v>
      </c>
      <c r="W21" s="3"/>
      <c r="X21" s="8">
        <f t="shared" si="6"/>
        <v>2686.62</v>
      </c>
      <c r="Y21" s="3"/>
      <c r="Z21" s="7">
        <f t="shared" si="7"/>
        <v>3.2711001801977302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5574.36</v>
      </c>
      <c r="E22" s="3"/>
      <c r="F22" s="7">
        <f t="shared" si="0"/>
        <v>0</v>
      </c>
      <c r="G22" s="3"/>
      <c r="H22" s="8">
        <v>6028.29</v>
      </c>
      <c r="I22" s="3"/>
      <c r="J22" s="7">
        <f t="shared" si="1"/>
        <v>0</v>
      </c>
      <c r="K22" s="3"/>
      <c r="L22" s="8">
        <f t="shared" si="2"/>
        <v>-453.93000000000029</v>
      </c>
      <c r="M22" s="3"/>
      <c r="N22" s="7">
        <f t="shared" si="3"/>
        <v>-7.5299960685368539E-2</v>
      </c>
      <c r="O22" s="12"/>
      <c r="P22" s="8">
        <v>53050.47</v>
      </c>
      <c r="Q22" s="3"/>
      <c r="R22" s="7">
        <f t="shared" si="4"/>
        <v>0</v>
      </c>
      <c r="S22" s="3"/>
      <c r="T22" s="8">
        <v>54634.89</v>
      </c>
      <c r="U22" s="3"/>
      <c r="V22" s="7">
        <f t="shared" si="5"/>
        <v>0</v>
      </c>
      <c r="W22" s="3"/>
      <c r="X22" s="8">
        <f t="shared" si="6"/>
        <v>-1584.4199999999983</v>
      </c>
      <c r="Y22" s="3"/>
      <c r="Z22" s="7">
        <f t="shared" si="7"/>
        <v>-2.900014990420953E-2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77.27</v>
      </c>
      <c r="E23" s="3"/>
      <c r="F23" s="7">
        <f t="shared" si="0"/>
        <v>0</v>
      </c>
      <c r="G23" s="3"/>
      <c r="H23" s="8">
        <v>61.02</v>
      </c>
      <c r="I23" s="3"/>
      <c r="J23" s="7">
        <f t="shared" si="1"/>
        <v>0</v>
      </c>
      <c r="K23" s="3"/>
      <c r="L23" s="8">
        <f t="shared" si="2"/>
        <v>16.249999999999993</v>
      </c>
      <c r="M23" s="3"/>
      <c r="N23" s="7">
        <f t="shared" si="3"/>
        <v>0.2663061291379874</v>
      </c>
      <c r="O23" s="12"/>
      <c r="P23" s="8">
        <v>707.03</v>
      </c>
      <c r="Q23" s="3"/>
      <c r="R23" s="7">
        <f t="shared" si="4"/>
        <v>0</v>
      </c>
      <c r="S23" s="3"/>
      <c r="T23" s="8">
        <v>647.1</v>
      </c>
      <c r="U23" s="3"/>
      <c r="V23" s="7">
        <f t="shared" si="5"/>
        <v>0</v>
      </c>
      <c r="W23" s="3"/>
      <c r="X23" s="8">
        <f t="shared" si="6"/>
        <v>59.92999999999995</v>
      </c>
      <c r="Y23" s="3"/>
      <c r="Z23" s="7">
        <f t="shared" si="7"/>
        <v>9.2613197341987252E-2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1287.54</v>
      </c>
      <c r="E24" s="3"/>
      <c r="F24" s="7">
        <f t="shared" si="0"/>
        <v>0</v>
      </c>
      <c r="G24" s="3"/>
      <c r="H24" s="8">
        <v>1091.48</v>
      </c>
      <c r="I24" s="3"/>
      <c r="J24" s="7">
        <f t="shared" si="1"/>
        <v>0</v>
      </c>
      <c r="K24" s="3"/>
      <c r="L24" s="8">
        <f t="shared" si="2"/>
        <v>196.05999999999995</v>
      </c>
      <c r="M24" s="3"/>
      <c r="N24" s="7">
        <f t="shared" si="3"/>
        <v>0.1796276615238025</v>
      </c>
      <c r="O24" s="12"/>
      <c r="P24" s="8">
        <v>12008.79</v>
      </c>
      <c r="Q24" s="3"/>
      <c r="R24" s="7">
        <f t="shared" si="4"/>
        <v>0</v>
      </c>
      <c r="S24" s="3"/>
      <c r="T24" s="8">
        <v>12191.84</v>
      </c>
      <c r="U24" s="3"/>
      <c r="V24" s="7">
        <f t="shared" si="5"/>
        <v>0</v>
      </c>
      <c r="W24" s="3"/>
      <c r="X24" s="8">
        <f t="shared" si="6"/>
        <v>-183.04999999999927</v>
      </c>
      <c r="Y24" s="3"/>
      <c r="Z24" s="7">
        <f t="shared" si="7"/>
        <v>-1.5014140605519697E-2</v>
      </c>
    </row>
    <row r="25" spans="1:26" s="69" customFormat="1" ht="15" hidden="1" customHeight="1" outlineLevel="2" x14ac:dyDescent="0.3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2636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2636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5"/>
      <c r="B26" s="12" t="str">
        <f>CONCATENATE("          ","6117"," - ","RETIREMENT STAFF HOURLY")</f>
        <v xml:space="preserve">          6117 - RETIREMENT STAFF HOURLY</v>
      </c>
      <c r="C26" s="12"/>
      <c r="D26" s="8">
        <v>682.41</v>
      </c>
      <c r="E26" s="3"/>
      <c r="F26" s="7">
        <f t="shared" si="0"/>
        <v>0</v>
      </c>
      <c r="G26" s="3"/>
      <c r="H26" s="8">
        <v>775.13</v>
      </c>
      <c r="I26" s="3"/>
      <c r="J26" s="7">
        <f t="shared" si="1"/>
        <v>0</v>
      </c>
      <c r="K26" s="3"/>
      <c r="L26" s="8">
        <f t="shared" si="2"/>
        <v>-92.720000000000027</v>
      </c>
      <c r="M26" s="3"/>
      <c r="N26" s="7">
        <f t="shared" si="3"/>
        <v>-0.11961864461445181</v>
      </c>
      <c r="O26" s="12"/>
      <c r="P26" s="8">
        <v>9325</v>
      </c>
      <c r="Q26" s="3"/>
      <c r="R26" s="7">
        <f t="shared" si="4"/>
        <v>0</v>
      </c>
      <c r="S26" s="3"/>
      <c r="T26" s="8">
        <v>5639.71</v>
      </c>
      <c r="U26" s="3"/>
      <c r="V26" s="7">
        <f t="shared" si="5"/>
        <v>0</v>
      </c>
      <c r="W26" s="3"/>
      <c r="X26" s="8">
        <f t="shared" si="6"/>
        <v>3685.29</v>
      </c>
      <c r="Y26" s="3"/>
      <c r="Z26" s="7">
        <f t="shared" si="7"/>
        <v>0.65345381234141475</v>
      </c>
    </row>
    <row r="27" spans="1:26" s="69" customFormat="1" ht="15" hidden="1" customHeight="1" outlineLevel="2" x14ac:dyDescent="0.3">
      <c r="A27" s="25"/>
      <c r="B27" s="12" t="str">
        <f>CONCATENATE("          ","6118"," - ","VACATION")</f>
        <v xml:space="preserve">          6118 - VACATION</v>
      </c>
      <c r="C27" s="12"/>
      <c r="D27" s="8">
        <v>781.36</v>
      </c>
      <c r="E27" s="3"/>
      <c r="F27" s="7">
        <f t="shared" si="0"/>
        <v>0</v>
      </c>
      <c r="G27" s="3"/>
      <c r="H27" s="8">
        <v>973.41</v>
      </c>
      <c r="I27" s="3"/>
      <c r="J27" s="7">
        <f t="shared" si="1"/>
        <v>0</v>
      </c>
      <c r="K27" s="3"/>
      <c r="L27" s="8">
        <f t="shared" si="2"/>
        <v>-192.04999999999995</v>
      </c>
      <c r="M27" s="3"/>
      <c r="N27" s="7">
        <f t="shared" si="3"/>
        <v>-0.19729610338911657</v>
      </c>
      <c r="O27" s="12"/>
      <c r="P27" s="8">
        <v>16415.22</v>
      </c>
      <c r="Q27" s="3"/>
      <c r="R27" s="7">
        <f t="shared" si="4"/>
        <v>0</v>
      </c>
      <c r="S27" s="3"/>
      <c r="T27" s="8">
        <v>8505.33</v>
      </c>
      <c r="U27" s="3"/>
      <c r="V27" s="7">
        <f t="shared" si="5"/>
        <v>0</v>
      </c>
      <c r="W27" s="3"/>
      <c r="X27" s="8">
        <f t="shared" si="6"/>
        <v>7909.8900000000012</v>
      </c>
      <c r="Y27" s="3"/>
      <c r="Z27" s="7">
        <f t="shared" si="7"/>
        <v>0.92999213434399386</v>
      </c>
    </row>
    <row r="28" spans="1:26" s="69" customFormat="1" ht="15" hidden="1" customHeight="1" outlineLevel="2" x14ac:dyDescent="0.3">
      <c r="A28" s="25"/>
      <c r="B28" s="12" t="str">
        <f>CONCATENATE("          ","6119"," - ","SICK LEAVE")</f>
        <v xml:space="preserve">          6119 - SICK LEAVE</v>
      </c>
      <c r="C28" s="12"/>
      <c r="D28" s="8">
        <v>1239.8599999999999</v>
      </c>
      <c r="E28" s="3"/>
      <c r="F28" s="7">
        <f t="shared" si="0"/>
        <v>0</v>
      </c>
      <c r="G28" s="3"/>
      <c r="H28" s="8">
        <v>908.12</v>
      </c>
      <c r="I28" s="3"/>
      <c r="J28" s="7">
        <f t="shared" si="1"/>
        <v>0</v>
      </c>
      <c r="K28" s="3"/>
      <c r="L28" s="8">
        <f t="shared" si="2"/>
        <v>331.7399999999999</v>
      </c>
      <c r="M28" s="3"/>
      <c r="N28" s="7">
        <f t="shared" si="3"/>
        <v>0.36530414482667478</v>
      </c>
      <c r="O28" s="12"/>
      <c r="P28" s="8">
        <v>13583</v>
      </c>
      <c r="Q28" s="3"/>
      <c r="R28" s="7">
        <f t="shared" si="4"/>
        <v>0</v>
      </c>
      <c r="S28" s="3"/>
      <c r="T28" s="8">
        <v>8627.14</v>
      </c>
      <c r="U28" s="3"/>
      <c r="V28" s="7">
        <f t="shared" si="5"/>
        <v>0</v>
      </c>
      <c r="W28" s="3"/>
      <c r="X28" s="8">
        <f t="shared" si="6"/>
        <v>4955.8600000000006</v>
      </c>
      <c r="Y28" s="3"/>
      <c r="Z28" s="7">
        <f t="shared" si="7"/>
        <v>0.57444993358169694</v>
      </c>
    </row>
    <row r="29" spans="1:26" s="69" customFormat="1" ht="15" hidden="1" customHeight="1" outlineLevel="2" x14ac:dyDescent="0.3">
      <c r="A29" s="25"/>
      <c r="B29" s="12" t="str">
        <f>CONCATENATE("          ","6156"," - ","EMPLOYEE MEALS")</f>
        <v xml:space="preserve">          6156 - EMPLOYEE MEALS</v>
      </c>
      <c r="C29" s="12"/>
      <c r="D29" s="8">
        <v>445.09</v>
      </c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445.09</v>
      </c>
      <c r="M29" s="3"/>
      <c r="N29" s="7">
        <f t="shared" si="3"/>
        <v>0</v>
      </c>
      <c r="O29" s="12"/>
      <c r="P29" s="8">
        <v>2193.25</v>
      </c>
      <c r="Q29" s="3"/>
      <c r="R29" s="7">
        <f t="shared" si="4"/>
        <v>0</v>
      </c>
      <c r="S29" s="3"/>
      <c r="T29" s="8">
        <v>339.83</v>
      </c>
      <c r="U29" s="3"/>
      <c r="V29" s="7">
        <f t="shared" si="5"/>
        <v>0</v>
      </c>
      <c r="W29" s="3"/>
      <c r="X29" s="8">
        <f t="shared" si="6"/>
        <v>1853.42</v>
      </c>
      <c r="Y29" s="3"/>
      <c r="Z29" s="7">
        <f t="shared" si="7"/>
        <v>5.4539622752552752</v>
      </c>
    </row>
    <row r="30" spans="1:26" s="68" customFormat="1" ht="15" customHeight="1" outlineLevel="1" collapsed="1" x14ac:dyDescent="0.3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28775.86</v>
      </c>
      <c r="E30" s="2"/>
      <c r="F30" s="6">
        <f t="shared" si="0"/>
        <v>0</v>
      </c>
      <c r="G30" s="2"/>
      <c r="H30" s="2">
        <f>SUM(OSRRefH22_1x_0)</f>
        <v>23617.72</v>
      </c>
      <c r="I30" s="2"/>
      <c r="J30" s="6">
        <f t="shared" si="1"/>
        <v>0</v>
      </c>
      <c r="K30" s="2"/>
      <c r="L30" s="2">
        <f t="shared" si="2"/>
        <v>5158.1399999999994</v>
      </c>
      <c r="M30" s="2"/>
      <c r="N30" s="6">
        <f t="shared" si="3"/>
        <v>0.21840126820031736</v>
      </c>
      <c r="O30" s="14"/>
      <c r="P30" s="2">
        <f>SUM(OSRRefP22_1x_0)</f>
        <v>264801.65000000002</v>
      </c>
      <c r="Q30" s="2"/>
      <c r="R30" s="6">
        <f t="shared" si="4"/>
        <v>0</v>
      </c>
      <c r="S30" s="2"/>
      <c r="T30" s="2">
        <f>SUM(OSRRefT22_1x_0)</f>
        <v>236173.8</v>
      </c>
      <c r="U30" s="2"/>
      <c r="V30" s="6">
        <f t="shared" si="5"/>
        <v>0</v>
      </c>
      <c r="W30" s="2"/>
      <c r="X30" s="2">
        <f t="shared" si="6"/>
        <v>28627.850000000035</v>
      </c>
      <c r="Y30" s="2"/>
      <c r="Z30" s="6">
        <f t="shared" si="7"/>
        <v>0.12121518136220036</v>
      </c>
    </row>
    <row r="31" spans="1:26" s="69" customFormat="1" ht="15" hidden="1" customHeight="1" outlineLevel="2" x14ac:dyDescent="0.3">
      <c r="A31" s="25"/>
      <c r="B31" s="12" t="str">
        <f>CONCATENATE("          ","6001"," - ","ADMINISTRATIVE SALARIES")</f>
        <v xml:space="preserve">          6001 - ADMINISTRATIVE SALARIES</v>
      </c>
      <c r="C31" s="12"/>
      <c r="D31" s="8">
        <v>11834.04</v>
      </c>
      <c r="E31" s="3"/>
      <c r="F31" s="7">
        <f t="shared" si="0"/>
        <v>0</v>
      </c>
      <c r="G31" s="3"/>
      <c r="H31" s="8">
        <v>9474.9500000000007</v>
      </c>
      <c r="I31" s="3"/>
      <c r="J31" s="7">
        <f t="shared" si="1"/>
        <v>0</v>
      </c>
      <c r="K31" s="3"/>
      <c r="L31" s="8">
        <f t="shared" si="2"/>
        <v>2359.09</v>
      </c>
      <c r="M31" s="3"/>
      <c r="N31" s="7">
        <f t="shared" si="3"/>
        <v>0.24898178882210459</v>
      </c>
      <c r="O31" s="12"/>
      <c r="P31" s="8">
        <v>105186.88</v>
      </c>
      <c r="Q31" s="3"/>
      <c r="R31" s="7">
        <f t="shared" si="4"/>
        <v>0</v>
      </c>
      <c r="S31" s="3"/>
      <c r="T31" s="8">
        <v>91751.14</v>
      </c>
      <c r="U31" s="3"/>
      <c r="V31" s="7">
        <f t="shared" si="5"/>
        <v>0</v>
      </c>
      <c r="W31" s="3"/>
      <c r="X31" s="8">
        <f t="shared" si="6"/>
        <v>13435.740000000005</v>
      </c>
      <c r="Y31" s="3"/>
      <c r="Z31" s="7">
        <f t="shared" si="7"/>
        <v>0.14643676361950386</v>
      </c>
    </row>
    <row r="32" spans="1:26" s="69" customFormat="1" ht="15" hidden="1" customHeight="1" outlineLevel="2" x14ac:dyDescent="0.3">
      <c r="A32" s="25"/>
      <c r="B32" s="12" t="str">
        <f>CONCATENATE("          ","6002"," - ","STAFF SALARIES")</f>
        <v xml:space="preserve">          6002 - STAFF SALARIES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18.5</v>
      </c>
      <c r="Q32" s="3"/>
      <c r="R32" s="7">
        <f t="shared" si="4"/>
        <v>0</v>
      </c>
      <c r="S32" s="3"/>
      <c r="T32" s="8"/>
      <c r="U32" s="3"/>
      <c r="V32" s="7">
        <f t="shared" si="5"/>
        <v>0</v>
      </c>
      <c r="W32" s="3"/>
      <c r="X32" s="8">
        <f t="shared" si="6"/>
        <v>18.5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5"/>
      <c r="B33" s="12" t="str">
        <f>CONCATENATE("          ","6004"," - ","STAFF HOURLY")</f>
        <v xml:space="preserve">          6004 - STAFF HOURLY</v>
      </c>
      <c r="C33" s="12"/>
      <c r="D33" s="8">
        <v>11202.05</v>
      </c>
      <c r="E33" s="3"/>
      <c r="F33" s="7">
        <f t="shared" si="0"/>
        <v>0</v>
      </c>
      <c r="G33" s="3"/>
      <c r="H33" s="8">
        <v>9474.51</v>
      </c>
      <c r="I33" s="3"/>
      <c r="J33" s="7">
        <f t="shared" si="1"/>
        <v>0</v>
      </c>
      <c r="K33" s="3"/>
      <c r="L33" s="8">
        <f t="shared" si="2"/>
        <v>1727.5399999999991</v>
      </c>
      <c r="M33" s="3"/>
      <c r="N33" s="7">
        <f t="shared" si="3"/>
        <v>0.18233555086226086</v>
      </c>
      <c r="O33" s="12"/>
      <c r="P33" s="8">
        <v>137241.81</v>
      </c>
      <c r="Q33" s="3"/>
      <c r="R33" s="7">
        <f t="shared" si="4"/>
        <v>0</v>
      </c>
      <c r="S33" s="3"/>
      <c r="T33" s="8">
        <v>93251.47</v>
      </c>
      <c r="U33" s="3"/>
      <c r="V33" s="7">
        <f t="shared" si="5"/>
        <v>0</v>
      </c>
      <c r="W33" s="3"/>
      <c r="X33" s="8">
        <f t="shared" si="6"/>
        <v>43990.34</v>
      </c>
      <c r="Y33" s="3"/>
      <c r="Z33" s="7">
        <f t="shared" si="7"/>
        <v>0.47173883693200758</v>
      </c>
    </row>
    <row r="34" spans="1:26" s="69" customFormat="1" ht="15" hidden="1" customHeight="1" outlineLevel="2" x14ac:dyDescent="0.3">
      <c r="A34" s="25"/>
      <c r="B34" s="12" t="str">
        <f>CONCATENATE("          ","6005"," - ","TEMPORARY WAGES-HOURLY")</f>
        <v xml:space="preserve">          6005 - TEMPORARY WAGES-HOURLY</v>
      </c>
      <c r="C34" s="12"/>
      <c r="D34" s="8">
        <v>1562.77</v>
      </c>
      <c r="E34" s="3"/>
      <c r="F34" s="7">
        <f t="shared" si="0"/>
        <v>0</v>
      </c>
      <c r="G34" s="3"/>
      <c r="H34" s="8">
        <v>3704.26</v>
      </c>
      <c r="I34" s="3"/>
      <c r="J34" s="7">
        <f t="shared" si="1"/>
        <v>0</v>
      </c>
      <c r="K34" s="3"/>
      <c r="L34" s="8">
        <f t="shared" si="2"/>
        <v>-2141.4900000000002</v>
      </c>
      <c r="M34" s="3"/>
      <c r="N34" s="7">
        <f t="shared" si="3"/>
        <v>-0.57811546705684813</v>
      </c>
      <c r="O34" s="12"/>
      <c r="P34" s="8">
        <v>18177.46</v>
      </c>
      <c r="Q34" s="3"/>
      <c r="R34" s="7">
        <f t="shared" si="4"/>
        <v>0</v>
      </c>
      <c r="S34" s="3"/>
      <c r="T34" s="8">
        <v>47675.19</v>
      </c>
      <c r="U34" s="3"/>
      <c r="V34" s="7">
        <f t="shared" si="5"/>
        <v>0</v>
      </c>
      <c r="W34" s="3"/>
      <c r="X34" s="8">
        <f t="shared" si="6"/>
        <v>-29497.730000000003</v>
      </c>
      <c r="Y34" s="3"/>
      <c r="Z34" s="7">
        <f t="shared" si="7"/>
        <v>-0.61872286193300963</v>
      </c>
    </row>
    <row r="35" spans="1:26" s="69" customFormat="1" ht="15" hidden="1" customHeight="1" outlineLevel="2" x14ac:dyDescent="0.3">
      <c r="A35" s="25"/>
      <c r="B35" s="12" t="str">
        <f>CONCATENATE("          ","6007"," - ","STUDENT HOURLY")</f>
        <v xml:space="preserve">          6007 - STUDENT HOURLY</v>
      </c>
      <c r="C35" s="12"/>
      <c r="D35" s="8">
        <v>4177</v>
      </c>
      <c r="E35" s="3"/>
      <c r="F35" s="7">
        <f t="shared" si="0"/>
        <v>0</v>
      </c>
      <c r="G35" s="3"/>
      <c r="H35" s="8">
        <v>964</v>
      </c>
      <c r="I35" s="3"/>
      <c r="J35" s="7">
        <f t="shared" si="1"/>
        <v>0</v>
      </c>
      <c r="K35" s="3"/>
      <c r="L35" s="8">
        <f t="shared" si="2"/>
        <v>3213</v>
      </c>
      <c r="M35" s="3"/>
      <c r="N35" s="7">
        <f t="shared" si="3"/>
        <v>3.3329875518672201</v>
      </c>
      <c r="O35" s="12"/>
      <c r="P35" s="8">
        <v>4177</v>
      </c>
      <c r="Q35" s="3"/>
      <c r="R35" s="7">
        <f t="shared" si="4"/>
        <v>0</v>
      </c>
      <c r="S35" s="3"/>
      <c r="T35" s="8">
        <v>3496</v>
      </c>
      <c r="U35" s="3"/>
      <c r="V35" s="7">
        <f t="shared" si="5"/>
        <v>0</v>
      </c>
      <c r="W35" s="3"/>
      <c r="X35" s="8">
        <f t="shared" si="6"/>
        <v>681</v>
      </c>
      <c r="Y35" s="3"/>
      <c r="Z35" s="7">
        <f t="shared" si="7"/>
        <v>0.19479405034324943</v>
      </c>
    </row>
    <row r="36" spans="1:26" s="68" customFormat="1" ht="15" customHeight="1" outlineLevel="1" collapsed="1" x14ac:dyDescent="0.3">
      <c r="A36" s="26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71.67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71.67</v>
      </c>
      <c r="M36" s="2"/>
      <c r="N36" s="6">
        <f t="shared" si="3"/>
        <v>0</v>
      </c>
      <c r="O36" s="14"/>
      <c r="P36" s="2">
        <f>SUM(OSRRefP22_2x_0)</f>
        <v>414.93</v>
      </c>
      <c r="Q36" s="2"/>
      <c r="R36" s="6">
        <f t="shared" si="4"/>
        <v>0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414.93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5"/>
      <c r="B37" s="12" t="str">
        <f>CONCATENATE("          ","6362"," - ","ADVERTISING EXPENSE")</f>
        <v xml:space="preserve">          6362 - ADVERTISING EXPENSE</v>
      </c>
      <c r="C37" s="12"/>
      <c r="D37" s="8">
        <v>71.67</v>
      </c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71.67</v>
      </c>
      <c r="M37" s="3"/>
      <c r="N37" s="7">
        <f t="shared" si="3"/>
        <v>0</v>
      </c>
      <c r="O37" s="12"/>
      <c r="P37" s="8">
        <v>414.93</v>
      </c>
      <c r="Q37" s="3"/>
      <c r="R37" s="7">
        <f t="shared" si="4"/>
        <v>0</v>
      </c>
      <c r="S37" s="3"/>
      <c r="T37" s="8"/>
      <c r="U37" s="3"/>
      <c r="V37" s="7">
        <f t="shared" si="5"/>
        <v>0</v>
      </c>
      <c r="W37" s="3"/>
      <c r="X37" s="8">
        <f t="shared" si="6"/>
        <v>414.93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6"/>
      <c r="B38" s="14" t="str">
        <f>CONCATENATE("     ","Employees' Appreciation                           ")</f>
        <v xml:space="preserve">     Employees' Appreciation                           </v>
      </c>
      <c r="C38" s="14"/>
      <c r="D38" s="2">
        <f>SUM(OSRRefD22_3x_0)</f>
        <v>114.87</v>
      </c>
      <c r="E38" s="2"/>
      <c r="F38" s="6">
        <f t="shared" si="0"/>
        <v>0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114.87</v>
      </c>
      <c r="M38" s="2"/>
      <c r="N38" s="6">
        <f t="shared" si="3"/>
        <v>0</v>
      </c>
      <c r="O38" s="14"/>
      <c r="P38" s="2">
        <f>SUM(OSRRefP22_3x_0)</f>
        <v>114.87</v>
      </c>
      <c r="Q38" s="2"/>
      <c r="R38" s="6">
        <f t="shared" si="4"/>
        <v>0</v>
      </c>
      <c r="S38" s="2"/>
      <c r="T38" s="2">
        <f>SUM(OSRRefT22_3x_0)</f>
        <v>81.56</v>
      </c>
      <c r="U38" s="2"/>
      <c r="V38" s="6">
        <f t="shared" si="5"/>
        <v>0</v>
      </c>
      <c r="W38" s="2"/>
      <c r="X38" s="2">
        <f t="shared" si="6"/>
        <v>33.31</v>
      </c>
      <c r="Y38" s="2"/>
      <c r="Z38" s="6">
        <f t="shared" si="7"/>
        <v>0.40841098577734186</v>
      </c>
    </row>
    <row r="39" spans="1:26" s="69" customFormat="1" ht="15" hidden="1" customHeight="1" outlineLevel="2" x14ac:dyDescent="0.3">
      <c r="A39" s="25"/>
      <c r="B39" s="12" t="str">
        <f>CONCATENATE("          ","6277"," - ","EMPLOYEE APPRECIATION")</f>
        <v xml:space="preserve">          6277 - EMPLOYEE APPRECIATION</v>
      </c>
      <c r="C39" s="12"/>
      <c r="D39" s="8">
        <v>114.87</v>
      </c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114.87</v>
      </c>
      <c r="M39" s="3"/>
      <c r="N39" s="7">
        <f t="shared" si="3"/>
        <v>0</v>
      </c>
      <c r="O39" s="12"/>
      <c r="P39" s="8">
        <v>114.87</v>
      </c>
      <c r="Q39" s="3"/>
      <c r="R39" s="7">
        <f t="shared" si="4"/>
        <v>0</v>
      </c>
      <c r="S39" s="3"/>
      <c r="T39" s="8">
        <v>81.56</v>
      </c>
      <c r="U39" s="3"/>
      <c r="V39" s="7">
        <f t="shared" si="5"/>
        <v>0</v>
      </c>
      <c r="W39" s="3"/>
      <c r="X39" s="8">
        <f t="shared" si="6"/>
        <v>33.31</v>
      </c>
      <c r="Y39" s="3"/>
      <c r="Z39" s="7">
        <f t="shared" si="7"/>
        <v>0.40841098577734186</v>
      </c>
    </row>
    <row r="40" spans="1:26" s="68" customFormat="1" ht="15" customHeight="1" outlineLevel="1" collapsed="1" x14ac:dyDescent="0.3">
      <c r="A40" s="26"/>
      <c r="B40" s="14" t="str">
        <f>CONCATENATE("     ","Freight out/Postage                               ")</f>
        <v xml:space="preserve">     Freight out/Postage                               </v>
      </c>
      <c r="C40" s="14"/>
      <c r="D40" s="2">
        <f>SUM(OSRRefD22_4x_0)</f>
        <v>0.53</v>
      </c>
      <c r="E40" s="2"/>
      <c r="F40" s="6">
        <f t="shared" si="0"/>
        <v>0</v>
      </c>
      <c r="G40" s="2"/>
      <c r="H40" s="2">
        <f>SUM(OSRRefH22_4x_0)</f>
        <v>10.220000000000001</v>
      </c>
      <c r="I40" s="2"/>
      <c r="J40" s="6">
        <f t="shared" si="1"/>
        <v>0</v>
      </c>
      <c r="K40" s="2"/>
      <c r="L40" s="2">
        <f t="shared" si="2"/>
        <v>-9.6900000000000013</v>
      </c>
      <c r="M40" s="2"/>
      <c r="N40" s="6">
        <f t="shared" si="3"/>
        <v>-0.94814090019569475</v>
      </c>
      <c r="O40" s="14"/>
      <c r="P40" s="2">
        <f>SUM(OSRRefP22_4x_0)</f>
        <v>207.82</v>
      </c>
      <c r="Q40" s="2"/>
      <c r="R40" s="6">
        <f t="shared" si="4"/>
        <v>0</v>
      </c>
      <c r="S40" s="2"/>
      <c r="T40" s="2">
        <f>SUM(OSRRefT22_4x_0)</f>
        <v>116.77</v>
      </c>
      <c r="U40" s="2"/>
      <c r="V40" s="6">
        <f t="shared" si="5"/>
        <v>0</v>
      </c>
      <c r="W40" s="2"/>
      <c r="X40" s="2">
        <f t="shared" si="6"/>
        <v>91.05</v>
      </c>
      <c r="Y40" s="2"/>
      <c r="Z40" s="6">
        <f t="shared" si="7"/>
        <v>0.77973794639034</v>
      </c>
    </row>
    <row r="41" spans="1:26" s="69" customFormat="1" ht="15" hidden="1" customHeight="1" outlineLevel="2" x14ac:dyDescent="0.3">
      <c r="A41" s="25"/>
      <c r="B41" s="12" t="str">
        <f>CONCATENATE("          ","6307"," - ","POSTAGE")</f>
        <v xml:space="preserve">          6307 - POSTAGE</v>
      </c>
      <c r="C41" s="12"/>
      <c r="D41" s="8">
        <v>0.53</v>
      </c>
      <c r="E41" s="3"/>
      <c r="F41" s="7">
        <f t="shared" si="0"/>
        <v>0</v>
      </c>
      <c r="G41" s="3"/>
      <c r="H41" s="8">
        <v>10.220000000000001</v>
      </c>
      <c r="I41" s="3"/>
      <c r="J41" s="7">
        <f t="shared" si="1"/>
        <v>0</v>
      </c>
      <c r="K41" s="3"/>
      <c r="L41" s="8">
        <f t="shared" si="2"/>
        <v>-9.6900000000000013</v>
      </c>
      <c r="M41" s="3"/>
      <c r="N41" s="7">
        <f t="shared" si="3"/>
        <v>-0.94814090019569475</v>
      </c>
      <c r="O41" s="12"/>
      <c r="P41" s="8">
        <v>207.82</v>
      </c>
      <c r="Q41" s="3"/>
      <c r="R41" s="7">
        <f t="shared" si="4"/>
        <v>0</v>
      </c>
      <c r="S41" s="3"/>
      <c r="T41" s="8">
        <v>116.77</v>
      </c>
      <c r="U41" s="3"/>
      <c r="V41" s="7">
        <f t="shared" si="5"/>
        <v>0</v>
      </c>
      <c r="W41" s="3"/>
      <c r="X41" s="8">
        <f t="shared" si="6"/>
        <v>91.05</v>
      </c>
      <c r="Y41" s="3"/>
      <c r="Z41" s="7">
        <f t="shared" si="7"/>
        <v>0.77973794639034</v>
      </c>
    </row>
    <row r="42" spans="1:26" s="68" customFormat="1" ht="15" customHeight="1" outlineLevel="1" collapsed="1" x14ac:dyDescent="0.3">
      <c r="A42" s="26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SUM(OSRRefD22_5x_0)</f>
        <v>53.5</v>
      </c>
      <c r="E42" s="2"/>
      <c r="F42" s="6">
        <f t="shared" si="0"/>
        <v>0</v>
      </c>
      <c r="G42" s="2"/>
      <c r="H42" s="2">
        <f>SUM(OSRRefH22_5x_0)</f>
        <v>52</v>
      </c>
      <c r="I42" s="2"/>
      <c r="J42" s="6">
        <f t="shared" si="1"/>
        <v>0</v>
      </c>
      <c r="K42" s="2"/>
      <c r="L42" s="2">
        <f t="shared" si="2"/>
        <v>1.5</v>
      </c>
      <c r="M42" s="2"/>
      <c r="N42" s="6">
        <f t="shared" si="3"/>
        <v>2.8846153846153848E-2</v>
      </c>
      <c r="O42" s="14"/>
      <c r="P42" s="2">
        <f>SUM(OSRRefP22_5x_0)</f>
        <v>2842.75</v>
      </c>
      <c r="Q42" s="2"/>
      <c r="R42" s="6">
        <f t="shared" si="4"/>
        <v>0</v>
      </c>
      <c r="S42" s="2"/>
      <c r="T42" s="2">
        <f>SUM(OSRRefT22_5x_0)</f>
        <v>229.14</v>
      </c>
      <c r="U42" s="2"/>
      <c r="V42" s="6">
        <f t="shared" si="5"/>
        <v>0</v>
      </c>
      <c r="W42" s="2"/>
      <c r="X42" s="2">
        <f t="shared" si="6"/>
        <v>2613.61</v>
      </c>
      <c r="Y42" s="2"/>
      <c r="Z42" s="6">
        <f t="shared" si="7"/>
        <v>11.406170899886533</v>
      </c>
    </row>
    <row r="43" spans="1:26" s="69" customFormat="1" ht="15" hidden="1" customHeight="1" outlineLevel="2" x14ac:dyDescent="0.3">
      <c r="A43" s="25"/>
      <c r="B43" s="12" t="str">
        <f>CONCATENATE("          ","6279"," - ","GENERAL EXPENSE")</f>
        <v xml:space="preserve">          6279 - GENERAL EXPENSE</v>
      </c>
      <c r="C43" s="12"/>
      <c r="D43" s="8">
        <v>53.5</v>
      </c>
      <c r="E43" s="3"/>
      <c r="F43" s="7">
        <f t="shared" si="0"/>
        <v>0</v>
      </c>
      <c r="G43" s="3"/>
      <c r="H43" s="8">
        <v>52</v>
      </c>
      <c r="I43" s="3"/>
      <c r="J43" s="7">
        <f t="shared" si="1"/>
        <v>0</v>
      </c>
      <c r="K43" s="3"/>
      <c r="L43" s="8">
        <f t="shared" si="2"/>
        <v>1.5</v>
      </c>
      <c r="M43" s="3"/>
      <c r="N43" s="7">
        <f t="shared" si="3"/>
        <v>2.8846153846153848E-2</v>
      </c>
      <c r="O43" s="12"/>
      <c r="P43" s="8">
        <v>2842.75</v>
      </c>
      <c r="Q43" s="3"/>
      <c r="R43" s="7">
        <f t="shared" si="4"/>
        <v>0</v>
      </c>
      <c r="S43" s="3"/>
      <c r="T43" s="8">
        <v>229.14</v>
      </c>
      <c r="U43" s="3"/>
      <c r="V43" s="7">
        <f t="shared" si="5"/>
        <v>0</v>
      </c>
      <c r="W43" s="3"/>
      <c r="X43" s="8">
        <f t="shared" si="6"/>
        <v>2613.61</v>
      </c>
      <c r="Y43" s="3"/>
      <c r="Z43" s="7">
        <f t="shared" si="7"/>
        <v>11.406170899886533</v>
      </c>
    </row>
    <row r="44" spans="1:26" s="68" customFormat="1" ht="15" customHeight="1" outlineLevel="1" collapsed="1" x14ac:dyDescent="0.3">
      <c r="A44" s="26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SUM(OSRRefD22_6x_0)</f>
        <v>88.99</v>
      </c>
      <c r="E44" s="2"/>
      <c r="F44" s="6">
        <f t="shared" si="0"/>
        <v>0</v>
      </c>
      <c r="G44" s="2"/>
      <c r="H44" s="2">
        <f>SUM(OSRRefH22_6x_0)</f>
        <v>65.47</v>
      </c>
      <c r="I44" s="2"/>
      <c r="J44" s="6">
        <f t="shared" si="1"/>
        <v>0</v>
      </c>
      <c r="K44" s="2"/>
      <c r="L44" s="2">
        <f t="shared" si="2"/>
        <v>23.519999999999996</v>
      </c>
      <c r="M44" s="2"/>
      <c r="N44" s="6">
        <f t="shared" si="3"/>
        <v>0.35924851076829079</v>
      </c>
      <c r="O44" s="14"/>
      <c r="P44" s="2">
        <f>SUM(OSRRefP22_6x_0)</f>
        <v>800.91</v>
      </c>
      <c r="Q44" s="2"/>
      <c r="R44" s="6">
        <f t="shared" si="4"/>
        <v>0</v>
      </c>
      <c r="S44" s="2"/>
      <c r="T44" s="2">
        <f>SUM(OSRRefT22_6x_0)</f>
        <v>589.23</v>
      </c>
      <c r="U44" s="2"/>
      <c r="V44" s="6">
        <f t="shared" si="5"/>
        <v>0</v>
      </c>
      <c r="W44" s="2"/>
      <c r="X44" s="2">
        <f t="shared" si="6"/>
        <v>211.67999999999995</v>
      </c>
      <c r="Y44" s="2"/>
      <c r="Z44" s="6">
        <f t="shared" si="7"/>
        <v>0.35924851076829073</v>
      </c>
    </row>
    <row r="45" spans="1:26" s="69" customFormat="1" ht="15" hidden="1" customHeight="1" outlineLevel="2" x14ac:dyDescent="0.3">
      <c r="A45" s="25"/>
      <c r="B45" s="12" t="str">
        <f>CONCATENATE("          ","6314"," - ","LIABILITY INSURANCE")</f>
        <v xml:space="preserve">          6314 - LIABILITY INSURANCE</v>
      </c>
      <c r="C45" s="12"/>
      <c r="D45" s="8">
        <v>88.99</v>
      </c>
      <c r="E45" s="3"/>
      <c r="F45" s="7">
        <f t="shared" si="0"/>
        <v>0</v>
      </c>
      <c r="G45" s="3"/>
      <c r="H45" s="8">
        <v>65.47</v>
      </c>
      <c r="I45" s="3"/>
      <c r="J45" s="7">
        <f t="shared" si="1"/>
        <v>0</v>
      </c>
      <c r="K45" s="3"/>
      <c r="L45" s="8">
        <f t="shared" si="2"/>
        <v>23.519999999999996</v>
      </c>
      <c r="M45" s="3"/>
      <c r="N45" s="7">
        <f t="shared" si="3"/>
        <v>0.35924851076829079</v>
      </c>
      <c r="O45" s="12"/>
      <c r="P45" s="8">
        <v>800.91</v>
      </c>
      <c r="Q45" s="3"/>
      <c r="R45" s="7">
        <f t="shared" si="4"/>
        <v>0</v>
      </c>
      <c r="S45" s="3"/>
      <c r="T45" s="8">
        <v>589.23</v>
      </c>
      <c r="U45" s="3"/>
      <c r="V45" s="7">
        <f t="shared" si="5"/>
        <v>0</v>
      </c>
      <c r="W45" s="3"/>
      <c r="X45" s="8">
        <f t="shared" si="6"/>
        <v>211.67999999999995</v>
      </c>
      <c r="Y45" s="3"/>
      <c r="Z45" s="7">
        <f t="shared" si="7"/>
        <v>0.35924851076829073</v>
      </c>
    </row>
    <row r="46" spans="1:26" s="68" customFormat="1" ht="15" customHeight="1" outlineLevel="1" collapsed="1" x14ac:dyDescent="0.3">
      <c r="A46" s="26"/>
      <c r="B46" s="14" t="str">
        <f>CONCATENATE("     ","Professional Services                             ")</f>
        <v xml:space="preserve">     Professional Services                             </v>
      </c>
      <c r="C46" s="14"/>
      <c r="D46" s="2">
        <f>SUM(OSRRefD22_7x_0)</f>
        <v>617.33000000000004</v>
      </c>
      <c r="E46" s="2"/>
      <c r="F46" s="6">
        <f t="shared" si="0"/>
        <v>0</v>
      </c>
      <c r="G46" s="2"/>
      <c r="H46" s="2">
        <f>SUM(OSRRefH22_7x_0)</f>
        <v>0</v>
      </c>
      <c r="I46" s="2"/>
      <c r="J46" s="6">
        <f t="shared" si="1"/>
        <v>0</v>
      </c>
      <c r="K46" s="2"/>
      <c r="L46" s="2">
        <f t="shared" si="2"/>
        <v>617.33000000000004</v>
      </c>
      <c r="M46" s="2"/>
      <c r="N46" s="6">
        <f t="shared" si="3"/>
        <v>0</v>
      </c>
      <c r="O46" s="14"/>
      <c r="P46" s="2">
        <f>SUM(OSRRefP22_7x_0)</f>
        <v>11176.01</v>
      </c>
      <c r="Q46" s="2"/>
      <c r="R46" s="6">
        <f t="shared" si="4"/>
        <v>0</v>
      </c>
      <c r="S46" s="2"/>
      <c r="T46" s="2">
        <f>SUM(OSRRefT22_7x_0)</f>
        <v>8819.880000000001</v>
      </c>
      <c r="U46" s="2"/>
      <c r="V46" s="6">
        <f t="shared" si="5"/>
        <v>0</v>
      </c>
      <c r="W46" s="2"/>
      <c r="X46" s="2">
        <f t="shared" si="6"/>
        <v>2356.1299999999992</v>
      </c>
      <c r="Y46" s="2"/>
      <c r="Z46" s="6">
        <f t="shared" si="7"/>
        <v>0.26713855517308616</v>
      </c>
    </row>
    <row r="47" spans="1:26" s="69" customFormat="1" ht="15" hidden="1" customHeight="1" outlineLevel="2" x14ac:dyDescent="0.3">
      <c r="A47" s="25"/>
      <c r="B47" s="12" t="str">
        <f>CONCATENATE("          ","6334"," - ","LEGAL COUNCIL EXPENSE")</f>
        <v xml:space="preserve">          6334 - LEGAL COUNCIL EXPENSE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3255</v>
      </c>
      <c r="Q47" s="3"/>
      <c r="R47" s="7">
        <f t="shared" si="4"/>
        <v>0</v>
      </c>
      <c r="S47" s="3"/>
      <c r="T47" s="8">
        <v>2450</v>
      </c>
      <c r="U47" s="3"/>
      <c r="V47" s="7">
        <f t="shared" si="5"/>
        <v>0</v>
      </c>
      <c r="W47" s="3"/>
      <c r="X47" s="8">
        <f t="shared" si="6"/>
        <v>805</v>
      </c>
      <c r="Y47" s="3"/>
      <c r="Z47" s="7">
        <f t="shared" si="7"/>
        <v>0.32857142857142857</v>
      </c>
    </row>
    <row r="48" spans="1:26" s="69" customFormat="1" ht="15" hidden="1" customHeight="1" outlineLevel="2" x14ac:dyDescent="0.3">
      <c r="A48" s="25"/>
      <c r="B48" s="12" t="str">
        <f>CONCATENATE("          ","6336"," - ","PROFESSIONAL SERVICES")</f>
        <v xml:space="preserve">          6336 - PROFESSIONAL SERVICES</v>
      </c>
      <c r="C48" s="12"/>
      <c r="D48" s="8">
        <v>617.33000000000004</v>
      </c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617.33000000000004</v>
      </c>
      <c r="M48" s="3"/>
      <c r="N48" s="7">
        <f t="shared" si="3"/>
        <v>0</v>
      </c>
      <c r="O48" s="12"/>
      <c r="P48" s="8">
        <v>7921.01</v>
      </c>
      <c r="Q48" s="3"/>
      <c r="R48" s="7">
        <f t="shared" si="4"/>
        <v>0</v>
      </c>
      <c r="S48" s="3"/>
      <c r="T48" s="8">
        <v>6369.88</v>
      </c>
      <c r="U48" s="3"/>
      <c r="V48" s="7">
        <f t="shared" si="5"/>
        <v>0</v>
      </c>
      <c r="W48" s="3"/>
      <c r="X48" s="8">
        <f t="shared" si="6"/>
        <v>1551.13</v>
      </c>
      <c r="Y48" s="3"/>
      <c r="Z48" s="7">
        <f t="shared" si="7"/>
        <v>0.24351008182257752</v>
      </c>
    </row>
    <row r="49" spans="1:26" s="68" customFormat="1" ht="15" customHeight="1" outlineLevel="1" collapsed="1" x14ac:dyDescent="0.3">
      <c r="A49" s="26"/>
      <c r="B49" s="14" t="str">
        <f>CONCATENATE("     ","Repair and Maintenance                            ")</f>
        <v xml:space="preserve">     Repair and Maintenance                            </v>
      </c>
      <c r="C49" s="14"/>
      <c r="D49" s="2">
        <f>SUM(OSRRefD22_8x_0)</f>
        <v>7771.38</v>
      </c>
      <c r="E49" s="2"/>
      <c r="F49" s="6">
        <f t="shared" si="0"/>
        <v>0</v>
      </c>
      <c r="G49" s="2"/>
      <c r="H49" s="2">
        <f>SUM(OSRRefH22_8x_0)</f>
        <v>3753.51</v>
      </c>
      <c r="I49" s="2"/>
      <c r="J49" s="6">
        <f t="shared" si="1"/>
        <v>0</v>
      </c>
      <c r="K49" s="2"/>
      <c r="L49" s="2">
        <f t="shared" si="2"/>
        <v>4017.87</v>
      </c>
      <c r="M49" s="2"/>
      <c r="N49" s="6">
        <f t="shared" si="3"/>
        <v>1.0704300774475091</v>
      </c>
      <c r="O49" s="14"/>
      <c r="P49" s="2">
        <f>SUM(OSRRefP22_8x_0)</f>
        <v>59815.189999999995</v>
      </c>
      <c r="Q49" s="2"/>
      <c r="R49" s="6">
        <f t="shared" si="4"/>
        <v>0</v>
      </c>
      <c r="S49" s="2"/>
      <c r="T49" s="2">
        <f>SUM(OSRRefT22_8x_0)</f>
        <v>43113.579999999994</v>
      </c>
      <c r="U49" s="2"/>
      <c r="V49" s="6">
        <f t="shared" si="5"/>
        <v>0</v>
      </c>
      <c r="W49" s="2"/>
      <c r="X49" s="2">
        <f t="shared" si="6"/>
        <v>16701.61</v>
      </c>
      <c r="Y49" s="2"/>
      <c r="Z49" s="6">
        <f t="shared" si="7"/>
        <v>0.38738629452715367</v>
      </c>
    </row>
    <row r="50" spans="1:26" s="69" customFormat="1" ht="15" hidden="1" customHeight="1" outlineLevel="2" x14ac:dyDescent="0.3">
      <c r="A50" s="25"/>
      <c r="B50" s="12" t="str">
        <f>CONCATENATE("          ","6371"," - ","COMPUTER SOFTWARE MAINTENANCE")</f>
        <v xml:space="preserve">          6371 - COMPUTER SOFTWARE MAINTENANCE</v>
      </c>
      <c r="C50" s="12"/>
      <c r="D50" s="8">
        <v>7771.38</v>
      </c>
      <c r="E50" s="3"/>
      <c r="F50" s="7">
        <f t="shared" si="0"/>
        <v>0</v>
      </c>
      <c r="G50" s="3"/>
      <c r="H50" s="8">
        <v>3753.51</v>
      </c>
      <c r="I50" s="3"/>
      <c r="J50" s="7">
        <f t="shared" si="1"/>
        <v>0</v>
      </c>
      <c r="K50" s="3"/>
      <c r="L50" s="8">
        <f t="shared" si="2"/>
        <v>4017.87</v>
      </c>
      <c r="M50" s="3"/>
      <c r="N50" s="7">
        <f t="shared" si="3"/>
        <v>1.0704300774475091</v>
      </c>
      <c r="O50" s="12"/>
      <c r="P50" s="8">
        <v>59382.559999999998</v>
      </c>
      <c r="Q50" s="3"/>
      <c r="R50" s="7">
        <f t="shared" si="4"/>
        <v>0</v>
      </c>
      <c r="S50" s="3"/>
      <c r="T50" s="8">
        <v>43007.56</v>
      </c>
      <c r="U50" s="3"/>
      <c r="V50" s="7">
        <f t="shared" si="5"/>
        <v>0</v>
      </c>
      <c r="W50" s="3"/>
      <c r="X50" s="8">
        <f t="shared" si="6"/>
        <v>16375</v>
      </c>
      <c r="Y50" s="3"/>
      <c r="Z50" s="7">
        <f t="shared" si="7"/>
        <v>0.38074701285076396</v>
      </c>
    </row>
    <row r="51" spans="1:26" s="69" customFormat="1" ht="15" hidden="1" customHeight="1" outlineLevel="2" x14ac:dyDescent="0.3">
      <c r="A51" s="25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432.63</v>
      </c>
      <c r="Q51" s="3"/>
      <c r="R51" s="7">
        <f t="shared" si="4"/>
        <v>0</v>
      </c>
      <c r="S51" s="3"/>
      <c r="T51" s="8">
        <v>106.02</v>
      </c>
      <c r="U51" s="3"/>
      <c r="V51" s="7">
        <f t="shared" si="5"/>
        <v>0</v>
      </c>
      <c r="W51" s="3"/>
      <c r="X51" s="8">
        <f t="shared" si="6"/>
        <v>326.61</v>
      </c>
      <c r="Y51" s="3"/>
      <c r="Z51" s="7">
        <f t="shared" si="7"/>
        <v>3.080645161290323</v>
      </c>
    </row>
    <row r="52" spans="1:26" s="68" customFormat="1" ht="15" customHeight="1" outlineLevel="1" collapsed="1" x14ac:dyDescent="0.3">
      <c r="A52" s="26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SUM(OSRRefD22_9x_0)</f>
        <v>0</v>
      </c>
      <c r="E52" s="2"/>
      <c r="F52" s="6">
        <f t="shared" si="0"/>
        <v>0</v>
      </c>
      <c r="G52" s="2"/>
      <c r="H52" s="2">
        <f>SUM(OSRRefH22_9x_0)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SUM(OSRRefP22_9x_0)</f>
        <v>2730.9</v>
      </c>
      <c r="Q52" s="2"/>
      <c r="R52" s="6">
        <f t="shared" si="4"/>
        <v>0</v>
      </c>
      <c r="S52" s="2"/>
      <c r="T52" s="2">
        <f>SUM(OSRRefT22_9x_0)</f>
        <v>1329.99</v>
      </c>
      <c r="U52" s="2"/>
      <c r="V52" s="6">
        <f t="shared" si="5"/>
        <v>0</v>
      </c>
      <c r="W52" s="2"/>
      <c r="X52" s="2">
        <f t="shared" si="6"/>
        <v>1400.91</v>
      </c>
      <c r="Y52" s="2"/>
      <c r="Z52" s="6">
        <f t="shared" si="7"/>
        <v>1.0533237092008212</v>
      </c>
    </row>
    <row r="53" spans="1:26" s="69" customFormat="1" ht="15" hidden="1" customHeight="1" outlineLevel="2" x14ac:dyDescent="0.3">
      <c r="A53" s="25"/>
      <c r="B53" s="12" t="str">
        <f>CONCATENATE("          ","6258"," - ","MEMBERSHIP DUES")</f>
        <v xml:space="preserve">          6258 - MEMBERSHIP DUES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1452</v>
      </c>
      <c r="Q53" s="3"/>
      <c r="R53" s="7">
        <f t="shared" si="4"/>
        <v>0</v>
      </c>
      <c r="S53" s="3"/>
      <c r="T53" s="8">
        <v>1329.99</v>
      </c>
      <c r="U53" s="3"/>
      <c r="V53" s="7">
        <f t="shared" si="5"/>
        <v>0</v>
      </c>
      <c r="W53" s="3"/>
      <c r="X53" s="8">
        <f t="shared" si="6"/>
        <v>122.00999999999999</v>
      </c>
      <c r="Y53" s="3"/>
      <c r="Z53" s="7">
        <f t="shared" si="7"/>
        <v>9.1737531861141808E-2</v>
      </c>
    </row>
    <row r="54" spans="1:26" s="69" customFormat="1" ht="15" hidden="1" customHeight="1" outlineLevel="2" x14ac:dyDescent="0.3">
      <c r="A54" s="25"/>
      <c r="B54" s="12" t="str">
        <f>CONCATENATE("          ","6275"," - ","SUBSCRIPTIONS")</f>
        <v xml:space="preserve">          6275 - SUBSCRIPTIONS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>
        <v>1278.9000000000001</v>
      </c>
      <c r="Q54" s="3"/>
      <c r="R54" s="7">
        <f t="shared" si="4"/>
        <v>0</v>
      </c>
      <c r="S54" s="3"/>
      <c r="T54" s="8"/>
      <c r="U54" s="3"/>
      <c r="V54" s="7">
        <f t="shared" si="5"/>
        <v>0</v>
      </c>
      <c r="W54" s="3"/>
      <c r="X54" s="8">
        <f t="shared" si="6"/>
        <v>1278.9000000000001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6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SUM(OSRRefD22_10x_0)</f>
        <v>96.78</v>
      </c>
      <c r="E55" s="2"/>
      <c r="F55" s="6">
        <f t="shared" si="0"/>
        <v>0</v>
      </c>
      <c r="G55" s="2"/>
      <c r="H55" s="2">
        <f>SUM(OSRRefH22_10x_0)</f>
        <v>0</v>
      </c>
      <c r="I55" s="2"/>
      <c r="J55" s="6">
        <f t="shared" si="1"/>
        <v>0</v>
      </c>
      <c r="K55" s="2"/>
      <c r="L55" s="2">
        <f t="shared" si="2"/>
        <v>96.78</v>
      </c>
      <c r="M55" s="2"/>
      <c r="N55" s="6">
        <f t="shared" si="3"/>
        <v>0</v>
      </c>
      <c r="O55" s="14"/>
      <c r="P55" s="2">
        <f>SUM(OSRRefP22_10x_0)</f>
        <v>17025.690000000002</v>
      </c>
      <c r="Q55" s="2"/>
      <c r="R55" s="6">
        <f t="shared" si="4"/>
        <v>0</v>
      </c>
      <c r="S55" s="2"/>
      <c r="T55" s="2">
        <f>SUM(OSRRefT22_10x_0)</f>
        <v>2388.2600000000002</v>
      </c>
      <c r="U55" s="2"/>
      <c r="V55" s="6">
        <f t="shared" si="5"/>
        <v>0</v>
      </c>
      <c r="W55" s="2"/>
      <c r="X55" s="2">
        <f t="shared" si="6"/>
        <v>14637.430000000002</v>
      </c>
      <c r="Y55" s="2"/>
      <c r="Z55" s="6">
        <f t="shared" si="7"/>
        <v>6.128909750194703</v>
      </c>
    </row>
    <row r="56" spans="1:26" s="69" customFormat="1" ht="15" hidden="1" customHeight="1" outlineLevel="2" x14ac:dyDescent="0.3">
      <c r="A56" s="25"/>
      <c r="B56" s="12" t="str">
        <f>CONCATENATE("          ","6235"," - ","COVID-19 EXPENSES")</f>
        <v xml:space="preserve">          6235 - COVID-19 EXPENSES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2636.13</v>
      </c>
      <c r="Q56" s="3"/>
      <c r="R56" s="7">
        <f t="shared" si="4"/>
        <v>0</v>
      </c>
      <c r="S56" s="3"/>
      <c r="T56" s="8">
        <v>210.58</v>
      </c>
      <c r="U56" s="3"/>
      <c r="V56" s="7">
        <f t="shared" si="5"/>
        <v>0</v>
      </c>
      <c r="W56" s="3"/>
      <c r="X56" s="8">
        <f t="shared" si="6"/>
        <v>2425.5500000000002</v>
      </c>
      <c r="Y56" s="3"/>
      <c r="Z56" s="7">
        <f t="shared" si="7"/>
        <v>11.518425301548106</v>
      </c>
    </row>
    <row r="57" spans="1:26" s="69" customFormat="1" ht="15" hidden="1" customHeight="1" outlineLevel="2" x14ac:dyDescent="0.3">
      <c r="A57" s="25"/>
      <c r="B57" s="12" t="str">
        <f>CONCATENATE("          ","6241"," - ","OFFICE EXPENSE")</f>
        <v xml:space="preserve">          6241 - OFFICE EXPENSE</v>
      </c>
      <c r="C57" s="12"/>
      <c r="D57" s="8">
        <v>96.78</v>
      </c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96.78</v>
      </c>
      <c r="M57" s="3"/>
      <c r="N57" s="7">
        <f t="shared" si="3"/>
        <v>0</v>
      </c>
      <c r="O57" s="12"/>
      <c r="P57" s="8">
        <v>2453.27</v>
      </c>
      <c r="Q57" s="3"/>
      <c r="R57" s="7">
        <f t="shared" si="4"/>
        <v>0</v>
      </c>
      <c r="S57" s="3"/>
      <c r="T57" s="8">
        <v>1954.97</v>
      </c>
      <c r="U57" s="3"/>
      <c r="V57" s="7">
        <f t="shared" si="5"/>
        <v>0</v>
      </c>
      <c r="W57" s="3"/>
      <c r="X57" s="8">
        <f t="shared" si="6"/>
        <v>498.29999999999995</v>
      </c>
      <c r="Y57" s="3"/>
      <c r="Z57" s="7">
        <f t="shared" si="7"/>
        <v>0.25488882182335276</v>
      </c>
    </row>
    <row r="58" spans="1:26" s="69" customFormat="1" ht="15" hidden="1" customHeight="1" outlineLevel="2" x14ac:dyDescent="0.3">
      <c r="A58" s="25"/>
      <c r="B58" s="12" t="str">
        <f>CONCATENATE("          ","6244"," - ","SAFETY SUPPLY EXPENSE")</f>
        <v xml:space="preserve">          6244 - SAFETY SUPPLY EXPENSE</v>
      </c>
      <c r="C58" s="12"/>
      <c r="D58" s="8"/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>
        <v>650</v>
      </c>
      <c r="Q58" s="3"/>
      <c r="R58" s="7">
        <f t="shared" si="4"/>
        <v>0</v>
      </c>
      <c r="S58" s="3"/>
      <c r="T58" s="8">
        <v>222.71</v>
      </c>
      <c r="U58" s="3"/>
      <c r="V58" s="7">
        <f t="shared" si="5"/>
        <v>0</v>
      </c>
      <c r="W58" s="3"/>
      <c r="X58" s="8">
        <f t="shared" si="6"/>
        <v>427.28999999999996</v>
      </c>
      <c r="Y58" s="3"/>
      <c r="Z58" s="7">
        <f t="shared" si="7"/>
        <v>1.9185936868573479</v>
      </c>
    </row>
    <row r="59" spans="1:26" s="69" customFormat="1" ht="15" hidden="1" customHeight="1" outlineLevel="2" x14ac:dyDescent="0.3">
      <c r="A59" s="25"/>
      <c r="B59" s="12" t="str">
        <f>CONCATENATE("          ","6248"," - ","UNIFORMS")</f>
        <v xml:space="preserve">          6248 - UNIFORMS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11286.29</v>
      </c>
      <c r="Q59" s="3"/>
      <c r="R59" s="7">
        <f t="shared" si="4"/>
        <v>0</v>
      </c>
      <c r="S59" s="3"/>
      <c r="T59" s="8"/>
      <c r="U59" s="3"/>
      <c r="V59" s="7">
        <f t="shared" si="5"/>
        <v>0</v>
      </c>
      <c r="W59" s="3"/>
      <c r="X59" s="8">
        <f t="shared" si="6"/>
        <v>11286.29</v>
      </c>
      <c r="Y59" s="3"/>
      <c r="Z59" s="7">
        <f t="shared" si="7"/>
        <v>0</v>
      </c>
    </row>
    <row r="60" spans="1:26" s="68" customFormat="1" ht="15" customHeight="1" outlineLevel="1" collapsed="1" x14ac:dyDescent="0.3">
      <c r="A60" s="26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SUM(OSRRefD22_11x_0)</f>
        <v>573.4</v>
      </c>
      <c r="E60" s="2"/>
      <c r="F60" s="6">
        <f t="shared" si="0"/>
        <v>0</v>
      </c>
      <c r="G60" s="2"/>
      <c r="H60" s="2">
        <f>SUM(OSRRefH22_11x_0)</f>
        <v>270.75</v>
      </c>
      <c r="I60" s="2"/>
      <c r="J60" s="6">
        <f t="shared" si="1"/>
        <v>0</v>
      </c>
      <c r="K60" s="2"/>
      <c r="L60" s="2">
        <f t="shared" si="2"/>
        <v>302.64999999999998</v>
      </c>
      <c r="M60" s="2"/>
      <c r="N60" s="6">
        <f t="shared" si="3"/>
        <v>1.117820867959372</v>
      </c>
      <c r="O60" s="14"/>
      <c r="P60" s="2">
        <f>SUM(OSRRefP22_11x_0)</f>
        <v>4551.2</v>
      </c>
      <c r="Q60" s="2"/>
      <c r="R60" s="6">
        <f t="shared" si="4"/>
        <v>0</v>
      </c>
      <c r="S60" s="2"/>
      <c r="T60" s="2">
        <f>SUM(OSRRefT22_11x_0)</f>
        <v>2799.3</v>
      </c>
      <c r="U60" s="2"/>
      <c r="V60" s="6">
        <f t="shared" si="5"/>
        <v>0</v>
      </c>
      <c r="W60" s="2"/>
      <c r="X60" s="2">
        <f t="shared" si="6"/>
        <v>1751.8999999999996</v>
      </c>
      <c r="Y60" s="2"/>
      <c r="Z60" s="6">
        <f t="shared" si="7"/>
        <v>0.62583503018611775</v>
      </c>
    </row>
    <row r="61" spans="1:26" s="69" customFormat="1" ht="15" hidden="1" customHeight="1" outlineLevel="2" x14ac:dyDescent="0.3">
      <c r="A61" s="25"/>
      <c r="B61" s="12" t="str">
        <f>CONCATENATE("          ","6309"," - ","TELEPHONE")</f>
        <v xml:space="preserve">          6309 - TELEPHONE</v>
      </c>
      <c r="C61" s="12"/>
      <c r="D61" s="8">
        <v>573.4</v>
      </c>
      <c r="E61" s="3"/>
      <c r="F61" s="7">
        <f t="shared" si="0"/>
        <v>0</v>
      </c>
      <c r="G61" s="3"/>
      <c r="H61" s="8">
        <v>270.75</v>
      </c>
      <c r="I61" s="3"/>
      <c r="J61" s="7">
        <f t="shared" si="1"/>
        <v>0</v>
      </c>
      <c r="K61" s="3"/>
      <c r="L61" s="8">
        <f t="shared" si="2"/>
        <v>302.64999999999998</v>
      </c>
      <c r="M61" s="3"/>
      <c r="N61" s="7">
        <f t="shared" si="3"/>
        <v>1.117820867959372</v>
      </c>
      <c r="O61" s="12"/>
      <c r="P61" s="8">
        <v>4551.2</v>
      </c>
      <c r="Q61" s="3"/>
      <c r="R61" s="7">
        <f t="shared" si="4"/>
        <v>0</v>
      </c>
      <c r="S61" s="3"/>
      <c r="T61" s="8">
        <v>2799.3</v>
      </c>
      <c r="U61" s="3"/>
      <c r="V61" s="7">
        <f t="shared" si="5"/>
        <v>0</v>
      </c>
      <c r="W61" s="3"/>
      <c r="X61" s="8">
        <f t="shared" si="6"/>
        <v>1751.8999999999996</v>
      </c>
      <c r="Y61" s="3"/>
      <c r="Z61" s="7">
        <f t="shared" si="7"/>
        <v>0.62583503018611775</v>
      </c>
    </row>
    <row r="62" spans="1:26" s="68" customFormat="1" ht="15" customHeight="1" outlineLevel="1" collapsed="1" x14ac:dyDescent="0.3">
      <c r="A62" s="26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SUM(OSRRefD22_12x_0)</f>
        <v>0</v>
      </c>
      <c r="E62" s="2"/>
      <c r="F62" s="6">
        <f t="shared" si="0"/>
        <v>0</v>
      </c>
      <c r="G62" s="2"/>
      <c r="H62" s="2">
        <f>SUM(OSRRefH22_12x_0)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SUM(OSRRefP22_12x_0)</f>
        <v>475</v>
      </c>
      <c r="Q62" s="2"/>
      <c r="R62" s="6">
        <f t="shared" si="4"/>
        <v>0</v>
      </c>
      <c r="S62" s="2"/>
      <c r="T62" s="2">
        <f>SUM(OSRRefT22_12x_0)</f>
        <v>-97</v>
      </c>
      <c r="U62" s="2"/>
      <c r="V62" s="6">
        <f t="shared" si="5"/>
        <v>0</v>
      </c>
      <c r="W62" s="2"/>
      <c r="X62" s="2">
        <f t="shared" si="6"/>
        <v>572</v>
      </c>
      <c r="Y62" s="2"/>
      <c r="Z62" s="6">
        <f t="shared" si="7"/>
        <v>-5.8969072164948457</v>
      </c>
    </row>
    <row r="63" spans="1:26" s="69" customFormat="1" ht="15" hidden="1" customHeight="1" outlineLevel="2" x14ac:dyDescent="0.3">
      <c r="A63" s="25"/>
      <c r="B63" s="12" t="str">
        <f>CONCATENATE("          ","6376"," - ","TRAINING")</f>
        <v xml:space="preserve">          6376 - TRAINING</v>
      </c>
      <c r="C63" s="12"/>
      <c r="D63" s="8"/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0</v>
      </c>
      <c r="M63" s="3"/>
      <c r="N63" s="7">
        <f t="shared" si="3"/>
        <v>0</v>
      </c>
      <c r="O63" s="12"/>
      <c r="P63" s="8">
        <v>475</v>
      </c>
      <c r="Q63" s="3"/>
      <c r="R63" s="7">
        <f t="shared" si="4"/>
        <v>0</v>
      </c>
      <c r="S63" s="3"/>
      <c r="T63" s="8">
        <v>-97</v>
      </c>
      <c r="U63" s="3"/>
      <c r="V63" s="7">
        <f t="shared" si="5"/>
        <v>0</v>
      </c>
      <c r="W63" s="3"/>
      <c r="X63" s="8">
        <f t="shared" si="6"/>
        <v>572</v>
      </c>
      <c r="Y63" s="3"/>
      <c r="Z63" s="7">
        <f t="shared" si="7"/>
        <v>-5.8969072164948457</v>
      </c>
    </row>
    <row r="64" spans="1:26" s="68" customFormat="1" ht="15" customHeight="1" outlineLevel="1" collapsed="1" x14ac:dyDescent="0.3">
      <c r="A64" s="26"/>
      <c r="B64" s="14" t="str">
        <f>CONCATENATE("     ","Travel                                            ")</f>
        <v xml:space="preserve">     Travel                                            </v>
      </c>
      <c r="C64" s="14"/>
      <c r="D64" s="2">
        <f>SUM(OSRRefD22_13x_0)</f>
        <v>0</v>
      </c>
      <c r="E64" s="2"/>
      <c r="F64" s="6">
        <f t="shared" si="0"/>
        <v>0</v>
      </c>
      <c r="G64" s="2"/>
      <c r="H64" s="2">
        <f>SUM(OSRRefH22_13x_0)</f>
        <v>0</v>
      </c>
      <c r="I64" s="2"/>
      <c r="J64" s="6">
        <f t="shared" si="1"/>
        <v>0</v>
      </c>
      <c r="K64" s="2"/>
      <c r="L64" s="2">
        <f t="shared" si="2"/>
        <v>0</v>
      </c>
      <c r="M64" s="2"/>
      <c r="N64" s="6">
        <f t="shared" si="3"/>
        <v>0</v>
      </c>
      <c r="O64" s="14"/>
      <c r="P64" s="2">
        <f>SUM(OSRRefP22_13x_0)</f>
        <v>0</v>
      </c>
      <c r="Q64" s="2"/>
      <c r="R64" s="6">
        <f t="shared" si="4"/>
        <v>0</v>
      </c>
      <c r="S64" s="2"/>
      <c r="T64" s="2">
        <f>SUM(OSRRefT22_13x_0)</f>
        <v>720</v>
      </c>
      <c r="U64" s="2"/>
      <c r="V64" s="6">
        <f t="shared" si="5"/>
        <v>0</v>
      </c>
      <c r="W64" s="2"/>
      <c r="X64" s="2">
        <f t="shared" si="6"/>
        <v>-720</v>
      </c>
      <c r="Y64" s="2"/>
      <c r="Z64" s="6">
        <f t="shared" si="7"/>
        <v>-1</v>
      </c>
    </row>
    <row r="65" spans="1:26" s="69" customFormat="1" ht="15" hidden="1" customHeight="1" outlineLevel="2" x14ac:dyDescent="0.3">
      <c r="A65" s="25"/>
      <c r="B65" s="12" t="str">
        <f>CONCATENATE("          ","6292"," - ","TRAVEL/CONFERENCE")</f>
        <v xml:space="preserve">          6292 - TRAVEL/CONFERENCE</v>
      </c>
      <c r="C65" s="12"/>
      <c r="D65" s="8"/>
      <c r="E65" s="3"/>
      <c r="F65" s="7">
        <f t="shared" si="0"/>
        <v>0</v>
      </c>
      <c r="G65" s="3"/>
      <c r="H65" s="8"/>
      <c r="I65" s="3"/>
      <c r="J65" s="7">
        <f t="shared" si="1"/>
        <v>0</v>
      </c>
      <c r="K65" s="3"/>
      <c r="L65" s="8">
        <f t="shared" si="2"/>
        <v>0</v>
      </c>
      <c r="M65" s="3"/>
      <c r="N65" s="7">
        <f t="shared" si="3"/>
        <v>0</v>
      </c>
      <c r="O65" s="12"/>
      <c r="P65" s="8"/>
      <c r="Q65" s="3"/>
      <c r="R65" s="7">
        <f t="shared" si="4"/>
        <v>0</v>
      </c>
      <c r="S65" s="3"/>
      <c r="T65" s="8">
        <v>720</v>
      </c>
      <c r="U65" s="3"/>
      <c r="V65" s="7">
        <f t="shared" si="5"/>
        <v>0</v>
      </c>
      <c r="W65" s="3"/>
      <c r="X65" s="8">
        <f t="shared" si="6"/>
        <v>-720</v>
      </c>
      <c r="Y65" s="3"/>
      <c r="Z65" s="7">
        <f t="shared" si="7"/>
        <v>-1</v>
      </c>
    </row>
    <row r="66" spans="1:26" s="64" customFormat="1" ht="15" customHeight="1" x14ac:dyDescent="0.3">
      <c r="A66" s="36"/>
      <c r="B66" s="36"/>
      <c r="C66" s="36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3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62" customFormat="1" ht="15" customHeight="1" x14ac:dyDescent="0.3">
      <c r="A67" s="11"/>
      <c r="B67" s="28" t="s">
        <v>290</v>
      </c>
      <c r="C67" s="11"/>
      <c r="D67" s="5">
        <f>SUM(0)</f>
        <v>0</v>
      </c>
      <c r="E67" s="5"/>
      <c r="F67" s="13">
        <f>IF(D$12=0,0,D67/D$12)</f>
        <v>0</v>
      </c>
      <c r="G67" s="5"/>
      <c r="H67" s="5">
        <f>SUM(0)</f>
        <v>0</v>
      </c>
      <c r="I67" s="5"/>
      <c r="J67" s="13">
        <f>IF(H$12=0,0,H67/H$12)</f>
        <v>0</v>
      </c>
      <c r="K67" s="5"/>
      <c r="L67" s="5">
        <f>+D67-H67</f>
        <v>0</v>
      </c>
      <c r="M67" s="5"/>
      <c r="N67" s="13">
        <f>IF(H67=0,0,L67/H67)</f>
        <v>0</v>
      </c>
      <c r="O67" s="11"/>
      <c r="P67" s="5">
        <f>SUM(0)</f>
        <v>0</v>
      </c>
      <c r="Q67" s="5"/>
      <c r="R67" s="13">
        <f>IF(P$12=0,0,P67/P$12)</f>
        <v>0</v>
      </c>
      <c r="S67" s="5"/>
      <c r="T67" s="5">
        <f>SUM(0)</f>
        <v>0</v>
      </c>
      <c r="U67" s="5"/>
      <c r="V67" s="13">
        <f>IF(T$12=0,0,T67/T$12)</f>
        <v>0</v>
      </c>
      <c r="W67" s="5"/>
      <c r="X67" s="5">
        <f>+P67-T67</f>
        <v>0</v>
      </c>
      <c r="Y67" s="5"/>
      <c r="Z67" s="13">
        <f>IF(T67=0,0,X67/T67)</f>
        <v>0</v>
      </c>
    </row>
    <row r="68" spans="1:26" ht="15" customHeight="1" x14ac:dyDescent="0.3">
      <c r="A68" s="10"/>
      <c r="B68" s="11"/>
      <c r="C68" s="11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O68" s="11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7" t="s">
        <v>291</v>
      </c>
      <c r="C69" s="27"/>
      <c r="D69" s="22">
        <f>+D16-D18+D67</f>
        <v>-50925.13</v>
      </c>
      <c r="E69" s="15"/>
      <c r="F69" s="21">
        <f>IF(D$12=0,0,D69/D$12)</f>
        <v>0</v>
      </c>
      <c r="G69" s="15"/>
      <c r="H69" s="22">
        <f>+H16-H18+H67</f>
        <v>-39480.030000000006</v>
      </c>
      <c r="I69" s="15"/>
      <c r="J69" s="21">
        <f>IF(H$12=0,0,H69/H$12)</f>
        <v>0</v>
      </c>
      <c r="K69" s="17"/>
      <c r="L69" s="22">
        <f>+D69-H69</f>
        <v>-11445.099999999991</v>
      </c>
      <c r="M69" s="17"/>
      <c r="N69" s="21">
        <f>IF(H69=0,0,L69/H69)</f>
        <v>0.28989592966368033</v>
      </c>
      <c r="O69" s="28"/>
      <c r="P69" s="22">
        <f>+P16-P18+P67</f>
        <v>-499339.32</v>
      </c>
      <c r="Q69" s="15"/>
      <c r="R69" s="21">
        <f>IF(P$12=0,0,P69/P$12)</f>
        <v>0</v>
      </c>
      <c r="S69" s="15"/>
      <c r="T69" s="22">
        <f>+T16-T18+T67</f>
        <v>-406545.27</v>
      </c>
      <c r="U69" s="15"/>
      <c r="V69" s="21">
        <f>IF(T$12=0,0,T69/T$12)</f>
        <v>0</v>
      </c>
      <c r="W69" s="17"/>
      <c r="X69" s="22">
        <f>+P69-T69</f>
        <v>-92794.049999999988</v>
      </c>
      <c r="Y69" s="17"/>
      <c r="Z69" s="21">
        <f>IF(T69=0,0,X69/T69)</f>
        <v>0.22825022659838098</v>
      </c>
    </row>
    <row r="70" spans="1:26" ht="15" customHeight="1" x14ac:dyDescent="0.3">
      <c r="A70" s="10"/>
      <c r="B70" s="11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48"/>
      <c r="B71" s="11" t="s">
        <v>292</v>
      </c>
      <c r="C71" s="11"/>
      <c r="D71" s="5"/>
      <c r="E71" s="5"/>
      <c r="F71" s="13">
        <f>IF(D$12=0,0,D71/D$12)</f>
        <v>0</v>
      </c>
      <c r="G71" s="5"/>
      <c r="H71" s="5"/>
      <c r="I71" s="5"/>
      <c r="J71" s="13">
        <f>IF(H$12=0,0,H71/H$12)</f>
        <v>0</v>
      </c>
      <c r="K71" s="5"/>
      <c r="L71" s="5">
        <f>+D71-H71</f>
        <v>0</v>
      </c>
      <c r="M71" s="5"/>
      <c r="N71" s="13">
        <f>IF(H71=0,0,L71/H71)</f>
        <v>0</v>
      </c>
      <c r="O71" s="11"/>
      <c r="P71" s="5"/>
      <c r="Q71" s="5"/>
      <c r="R71" s="13">
        <f>IF(P$12=0,0,P71/P$12)</f>
        <v>0</v>
      </c>
      <c r="S71" s="5"/>
      <c r="T71" s="5"/>
      <c r="U71" s="5"/>
      <c r="V71" s="13">
        <f>IF(T$12=0,0,T71/T$12)</f>
        <v>0</v>
      </c>
      <c r="W71" s="5"/>
      <c r="X71" s="5">
        <f>+P71-T71</f>
        <v>0</v>
      </c>
      <c r="Y71" s="5"/>
      <c r="Z71" s="13">
        <f>IF(T71=0,0,X71/T71)</f>
        <v>0</v>
      </c>
    </row>
    <row r="72" spans="1:26" ht="15" customHeight="1" x14ac:dyDescent="0.3">
      <c r="A72" s="10"/>
      <c r="B72" s="11"/>
      <c r="C72" s="11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O72" s="11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3">
      <c r="A73" s="11"/>
      <c r="B73" s="27" t="s">
        <v>293</v>
      </c>
      <c r="C73" s="27"/>
      <c r="D73" s="34">
        <f>+D69-D71</f>
        <v>-50925.13</v>
      </c>
      <c r="E73" s="15"/>
      <c r="F73" s="33">
        <f>IF(D$12=0,0,D73/D$12)</f>
        <v>0</v>
      </c>
      <c r="G73" s="15"/>
      <c r="H73" s="34">
        <f>+H69-H71</f>
        <v>-39480.030000000006</v>
      </c>
      <c r="I73" s="15"/>
      <c r="J73" s="33">
        <f>IF(H$12=0,0,H73/H$12)</f>
        <v>0</v>
      </c>
      <c r="K73" s="17"/>
      <c r="L73" s="34">
        <f>D73-H73</f>
        <v>-11445.099999999991</v>
      </c>
      <c r="M73" s="17"/>
      <c r="N73" s="33">
        <f>IF(H73=0,0,L73/H73)</f>
        <v>0.28989592966368033</v>
      </c>
      <c r="O73" s="28"/>
      <c r="P73" s="34">
        <f>+P69-P71</f>
        <v>-499339.32</v>
      </c>
      <c r="Q73" s="15"/>
      <c r="R73" s="33">
        <f>IF(P$12=0,0,P73/P$12)</f>
        <v>0</v>
      </c>
      <c r="S73" s="15"/>
      <c r="T73" s="34">
        <f>+T69-T71</f>
        <v>-406545.27</v>
      </c>
      <c r="U73" s="15"/>
      <c r="V73" s="33">
        <f>IF(T$12=0,0,T73/T$12)</f>
        <v>0</v>
      </c>
      <c r="W73" s="17"/>
      <c r="X73" s="34">
        <f>P73-T73</f>
        <v>-92794.049999999988</v>
      </c>
      <c r="Y73" s="17"/>
      <c r="Z73" s="33">
        <f>IF(T73=0,0,X73/T73)</f>
        <v>0.22825022659838098</v>
      </c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ht="15" customHeight="1" x14ac:dyDescent="0.3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7" t="s">
        <v>296</v>
      </c>
      <c r="C76" s="27"/>
      <c r="D76" s="31">
        <f>SUM(D73:D75)</f>
        <v>-50925.13</v>
      </c>
      <c r="E76" s="15"/>
      <c r="F76" s="32">
        <f>IF(D$12=0,0,D76/D$12)</f>
        <v>0</v>
      </c>
      <c r="G76" s="15"/>
      <c r="H76" s="31">
        <f>SUM(H73:H75)</f>
        <v>-39480.030000000006</v>
      </c>
      <c r="I76" s="15"/>
      <c r="J76" s="32">
        <f>IF(H$12=0,0,H76/H$12)</f>
        <v>0</v>
      </c>
      <c r="K76" s="17"/>
      <c r="L76" s="31">
        <f>+D76-H76</f>
        <v>-11445.099999999991</v>
      </c>
      <c r="M76" s="17"/>
      <c r="N76" s="32">
        <f>IF(H76=0,0,L76/H76)</f>
        <v>0.28989592966368033</v>
      </c>
      <c r="O76" s="28"/>
      <c r="P76" s="31">
        <f>SUM(P73:P75)</f>
        <v>-499339.32</v>
      </c>
      <c r="Q76" s="15"/>
      <c r="R76" s="32">
        <f>IF(P$12=0,0,P76/P$12)</f>
        <v>0</v>
      </c>
      <c r="S76" s="15"/>
      <c r="T76" s="31">
        <f>SUM(T73:T75)</f>
        <v>-406545.27</v>
      </c>
      <c r="U76" s="15"/>
      <c r="V76" s="32">
        <f>IF(T$12=0,0,T76/T$12)</f>
        <v>0</v>
      </c>
      <c r="W76" s="17"/>
      <c r="X76" s="31">
        <f>+P76-T76</f>
        <v>-92794.049999999988</v>
      </c>
      <c r="Y76" s="17"/>
      <c r="Z76" s="32">
        <f>IF(T76=0,0,X76/T76)</f>
        <v>0.22825022659838098</v>
      </c>
    </row>
    <row r="77" spans="1:26" ht="15" customHeight="1" x14ac:dyDescent="0.3">
      <c r="A77" s="10"/>
      <c r="C77" s="10"/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6">
        <v>44663.03859679398</v>
      </c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A79" s="10"/>
      <c r="B79" s="57" t="s">
        <v>297</v>
      </c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  <row r="80" spans="1:26" ht="15" customHeight="1" x14ac:dyDescent="0.3">
      <c r="A80" s="10"/>
      <c r="B80" s="58"/>
      <c r="D80" s="19"/>
      <c r="E80" s="19"/>
      <c r="G80" s="19"/>
      <c r="H80" s="19"/>
      <c r="I80" s="19"/>
      <c r="J80" s="40"/>
      <c r="K80" s="19"/>
      <c r="L80" s="19"/>
      <c r="M80" s="19"/>
      <c r="P80" s="19"/>
      <c r="Q80" s="19"/>
      <c r="R80" s="40"/>
      <c r="S80" s="19"/>
      <c r="T80" s="19"/>
      <c r="U80" s="19"/>
      <c r="V80" s="40"/>
      <c r="W80" s="19"/>
      <c r="X80" s="19"/>
    </row>
    <row r="81" spans="4:24" ht="15" customHeight="1" x14ac:dyDescent="0.3">
      <c r="D81" s="19"/>
      <c r="E81" s="19"/>
      <c r="G81" s="19"/>
      <c r="H81" s="19"/>
      <c r="I81" s="19"/>
      <c r="J81" s="40"/>
      <c r="K81" s="19"/>
      <c r="L81" s="19"/>
      <c r="M81" s="19"/>
      <c r="P81" s="19"/>
      <c r="Q81" s="19"/>
      <c r="R81" s="40"/>
      <c r="S81" s="19"/>
      <c r="T81" s="19"/>
      <c r="U81" s="19"/>
      <c r="V81" s="40"/>
      <c r="W81" s="19"/>
      <c r="X8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5CDB-A7E3-1D91-7297-D76D0D6D77C4}">
  <sheetPr>
    <tabColor rgb="FF92D050"/>
    <outlinePr summaryBelow="0" summaryRight="0"/>
  </sheetPr>
  <dimension ref="A2:Z6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","204"," - ","Information Technology")</f>
        <v>Department 204 - Information Technology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33133.78</v>
      </c>
      <c r="E18" s="23"/>
      <c r="F18" s="35">
        <f t="shared" ref="F18:F52" si="0">IF(D$12=0,0,D18/D$12)</f>
        <v>0</v>
      </c>
      <c r="G18" s="23"/>
      <c r="H18" s="23" cm="1">
        <f t="array" ref="H18">SUM(OSRRefH22x_0)</f>
        <v>50075.959999999992</v>
      </c>
      <c r="I18" s="23"/>
      <c r="J18" s="35">
        <f t="shared" ref="J18:J52" si="1">IF(H$12=0,0,H18/H$12)</f>
        <v>0</v>
      </c>
      <c r="K18" s="5"/>
      <c r="L18" s="23">
        <f t="shared" ref="L18:L52" si="2">+D18-H18</f>
        <v>-16942.179999999993</v>
      </c>
      <c r="M18" s="5"/>
      <c r="N18" s="35">
        <f t="shared" ref="N18:N52" si="3">IF(H18=0,0,L18/H18)</f>
        <v>-0.33832960965700898</v>
      </c>
      <c r="O18" s="11"/>
      <c r="P18" s="23" cm="1">
        <f t="array" ref="P18">SUM(OSRRefP22x_0)</f>
        <v>409064.62000000011</v>
      </c>
      <c r="Q18" s="23"/>
      <c r="R18" s="35">
        <f t="shared" ref="R18:R52" si="4">IF(P$12=0,0,P18/P$12)</f>
        <v>0</v>
      </c>
      <c r="S18" s="23"/>
      <c r="T18" s="23" cm="1">
        <f t="array" ref="T18">SUM(OSRRefT22x_0)</f>
        <v>456160.60000000003</v>
      </c>
      <c r="U18" s="23"/>
      <c r="V18" s="35">
        <f t="shared" ref="V18:V52" si="5">IF(T$12=0,0,T18/T$12)</f>
        <v>0</v>
      </c>
      <c r="W18" s="5"/>
      <c r="X18" s="23">
        <f t="shared" ref="X18:X52" si="6">+P18-T18</f>
        <v>-47095.979999999923</v>
      </c>
      <c r="Y18" s="5"/>
      <c r="Z18" s="35">
        <f t="shared" ref="Z18:Z52" si="7">IF(T18=0,0,X18/T18)</f>
        <v>-0.10324429597821451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10788.41</v>
      </c>
      <c r="E19" s="2"/>
      <c r="F19" s="6">
        <f t="shared" si="0"/>
        <v>0</v>
      </c>
      <c r="G19" s="2"/>
      <c r="H19" s="2">
        <f>SUM(OSRRefH22_0x_0)</f>
        <v>10511.94</v>
      </c>
      <c r="I19" s="2"/>
      <c r="J19" s="6">
        <f t="shared" si="1"/>
        <v>0</v>
      </c>
      <c r="K19" s="2"/>
      <c r="L19" s="2">
        <f t="shared" si="2"/>
        <v>276.46999999999935</v>
      </c>
      <c r="M19" s="2"/>
      <c r="N19" s="6">
        <f t="shared" si="3"/>
        <v>2.6300568686655302E-2</v>
      </c>
      <c r="O19" s="14"/>
      <c r="P19" s="2">
        <f>SUM(OSRRefP22_0x_0)</f>
        <v>102127.73000000001</v>
      </c>
      <c r="Q19" s="2"/>
      <c r="R19" s="6">
        <f t="shared" si="4"/>
        <v>0</v>
      </c>
      <c r="S19" s="2"/>
      <c r="T19" s="2">
        <f>SUM(OSRRefT22_0x_0)</f>
        <v>109028.22</v>
      </c>
      <c r="U19" s="2"/>
      <c r="V19" s="6">
        <f t="shared" si="5"/>
        <v>0</v>
      </c>
      <c r="W19" s="2"/>
      <c r="X19" s="2">
        <f t="shared" si="6"/>
        <v>-6900.4899999999907</v>
      </c>
      <c r="Y19" s="2"/>
      <c r="Z19" s="6">
        <f t="shared" si="7"/>
        <v>-6.3290861760377182E-2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1474.55</v>
      </c>
      <c r="E20" s="3"/>
      <c r="F20" s="7">
        <f t="shared" si="0"/>
        <v>0</v>
      </c>
      <c r="G20" s="3"/>
      <c r="H20" s="8">
        <v>1417.14</v>
      </c>
      <c r="I20" s="3"/>
      <c r="J20" s="7">
        <f t="shared" si="1"/>
        <v>0</v>
      </c>
      <c r="K20" s="3"/>
      <c r="L20" s="8">
        <f t="shared" si="2"/>
        <v>57.409999999999854</v>
      </c>
      <c r="M20" s="3"/>
      <c r="N20" s="7">
        <f t="shared" si="3"/>
        <v>4.051117038542406E-2</v>
      </c>
      <c r="O20" s="12"/>
      <c r="P20" s="8">
        <v>13766.97</v>
      </c>
      <c r="Q20" s="3"/>
      <c r="R20" s="7">
        <f t="shared" si="4"/>
        <v>0</v>
      </c>
      <c r="S20" s="3"/>
      <c r="T20" s="8">
        <v>15541.99</v>
      </c>
      <c r="U20" s="3"/>
      <c r="V20" s="7">
        <f t="shared" si="5"/>
        <v>0</v>
      </c>
      <c r="W20" s="3"/>
      <c r="X20" s="8">
        <f t="shared" si="6"/>
        <v>-1775.0200000000004</v>
      </c>
      <c r="Y20" s="3"/>
      <c r="Z20" s="7">
        <f t="shared" si="7"/>
        <v>-0.11420802612792831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248.65</v>
      </c>
      <c r="E21" s="3"/>
      <c r="F21" s="7">
        <f t="shared" si="0"/>
        <v>0</v>
      </c>
      <c r="G21" s="3"/>
      <c r="H21" s="8">
        <v>61.13</v>
      </c>
      <c r="I21" s="3"/>
      <c r="J21" s="7">
        <f t="shared" si="1"/>
        <v>0</v>
      </c>
      <c r="K21" s="3"/>
      <c r="L21" s="8">
        <f t="shared" si="2"/>
        <v>187.52</v>
      </c>
      <c r="M21" s="3"/>
      <c r="N21" s="7">
        <f t="shared" si="3"/>
        <v>3.0675609357107803</v>
      </c>
      <c r="O21" s="12"/>
      <c r="P21" s="8">
        <v>2314.2600000000002</v>
      </c>
      <c r="Q21" s="3"/>
      <c r="R21" s="7">
        <f t="shared" si="4"/>
        <v>0</v>
      </c>
      <c r="S21" s="3"/>
      <c r="T21" s="8">
        <v>722.85</v>
      </c>
      <c r="U21" s="3"/>
      <c r="V21" s="7">
        <f t="shared" si="5"/>
        <v>0</v>
      </c>
      <c r="W21" s="3"/>
      <c r="X21" s="8">
        <f t="shared" si="6"/>
        <v>1591.4100000000003</v>
      </c>
      <c r="Y21" s="3"/>
      <c r="Z21" s="7">
        <f t="shared" si="7"/>
        <v>2.2015770906827146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4446.67</v>
      </c>
      <c r="E22" s="3"/>
      <c r="F22" s="7">
        <f t="shared" si="0"/>
        <v>0</v>
      </c>
      <c r="G22" s="3"/>
      <c r="H22" s="8">
        <v>4844.5200000000004</v>
      </c>
      <c r="I22" s="3"/>
      <c r="J22" s="7">
        <f t="shared" si="1"/>
        <v>0</v>
      </c>
      <c r="K22" s="3"/>
      <c r="L22" s="8">
        <f t="shared" si="2"/>
        <v>-397.85000000000036</v>
      </c>
      <c r="M22" s="3"/>
      <c r="N22" s="7">
        <f t="shared" si="3"/>
        <v>-8.2123719171352444E-2</v>
      </c>
      <c r="O22" s="12"/>
      <c r="P22" s="8">
        <v>42373.38</v>
      </c>
      <c r="Q22" s="3"/>
      <c r="R22" s="7">
        <f t="shared" si="4"/>
        <v>0</v>
      </c>
      <c r="S22" s="3"/>
      <c r="T22" s="8">
        <v>47913.94</v>
      </c>
      <c r="U22" s="3"/>
      <c r="V22" s="7">
        <f t="shared" si="5"/>
        <v>0</v>
      </c>
      <c r="W22" s="3"/>
      <c r="X22" s="8">
        <f t="shared" si="6"/>
        <v>-5540.5600000000049</v>
      </c>
      <c r="Y22" s="3"/>
      <c r="Z22" s="7">
        <f t="shared" si="7"/>
        <v>-0.11563565843259821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50.12</v>
      </c>
      <c r="E23" s="3"/>
      <c r="F23" s="7">
        <f t="shared" si="0"/>
        <v>0</v>
      </c>
      <c r="G23" s="3"/>
      <c r="H23" s="8">
        <v>48.16</v>
      </c>
      <c r="I23" s="3"/>
      <c r="J23" s="7">
        <f t="shared" si="1"/>
        <v>0</v>
      </c>
      <c r="K23" s="3"/>
      <c r="L23" s="8">
        <f t="shared" si="2"/>
        <v>1.9600000000000009</v>
      </c>
      <c r="M23" s="3"/>
      <c r="N23" s="7">
        <f t="shared" si="3"/>
        <v>4.0697674418604675E-2</v>
      </c>
      <c r="O23" s="12"/>
      <c r="P23" s="8">
        <v>466.44</v>
      </c>
      <c r="Q23" s="3"/>
      <c r="R23" s="7">
        <f t="shared" si="4"/>
        <v>0</v>
      </c>
      <c r="S23" s="3"/>
      <c r="T23" s="8">
        <v>530.34</v>
      </c>
      <c r="U23" s="3"/>
      <c r="V23" s="7">
        <f t="shared" si="5"/>
        <v>0</v>
      </c>
      <c r="W23" s="3"/>
      <c r="X23" s="8">
        <f t="shared" si="6"/>
        <v>-63.900000000000034</v>
      </c>
      <c r="Y23" s="3"/>
      <c r="Z23" s="7">
        <f t="shared" si="7"/>
        <v>-0.12048874307048314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1888.64</v>
      </c>
      <c r="E24" s="3"/>
      <c r="F24" s="7">
        <f t="shared" si="0"/>
        <v>0</v>
      </c>
      <c r="G24" s="3"/>
      <c r="H24" s="8">
        <v>1861.21</v>
      </c>
      <c r="I24" s="3"/>
      <c r="J24" s="7">
        <f t="shared" si="1"/>
        <v>0</v>
      </c>
      <c r="K24" s="3"/>
      <c r="L24" s="8">
        <f t="shared" si="2"/>
        <v>27.430000000000064</v>
      </c>
      <c r="M24" s="3"/>
      <c r="N24" s="7">
        <f t="shared" si="3"/>
        <v>1.4737724383599949E-2</v>
      </c>
      <c r="O24" s="12"/>
      <c r="P24" s="8">
        <v>17771.96</v>
      </c>
      <c r="Q24" s="3"/>
      <c r="R24" s="7">
        <f t="shared" si="4"/>
        <v>0</v>
      </c>
      <c r="S24" s="3"/>
      <c r="T24" s="8">
        <v>20067.32</v>
      </c>
      <c r="U24" s="3"/>
      <c r="V24" s="7">
        <f t="shared" si="5"/>
        <v>0</v>
      </c>
      <c r="W24" s="3"/>
      <c r="X24" s="8">
        <f t="shared" si="6"/>
        <v>-2295.3600000000006</v>
      </c>
      <c r="Y24" s="3"/>
      <c r="Z24" s="7">
        <f t="shared" si="7"/>
        <v>-0.11438298686620837</v>
      </c>
    </row>
    <row r="25" spans="1:26" s="69" customFormat="1" ht="15" hidden="1" customHeight="1" outlineLevel="2" x14ac:dyDescent="0.3">
      <c r="A25" s="25"/>
      <c r="B25" s="12" t="str">
        <f>CONCATENATE("          ","6117"," - ","RETIREMENT STAFF HOURLY")</f>
        <v xml:space="preserve">          6117 - RETIREMENT STAFF HOURLY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912.28</v>
      </c>
      <c r="U25" s="3"/>
      <c r="V25" s="7">
        <f t="shared" si="5"/>
        <v>0</v>
      </c>
      <c r="W25" s="3"/>
      <c r="X25" s="8">
        <f t="shared" si="6"/>
        <v>-912.28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","6118"," - ","VACATION")</f>
        <v xml:space="preserve">          6118 - VACATION</v>
      </c>
      <c r="C26" s="12"/>
      <c r="D26" s="8">
        <v>1464.36</v>
      </c>
      <c r="E26" s="3"/>
      <c r="F26" s="7">
        <f t="shared" si="0"/>
        <v>0</v>
      </c>
      <c r="G26" s="3"/>
      <c r="H26" s="8">
        <v>1345.28</v>
      </c>
      <c r="I26" s="3"/>
      <c r="J26" s="7">
        <f t="shared" si="1"/>
        <v>0</v>
      </c>
      <c r="K26" s="3"/>
      <c r="L26" s="8">
        <f t="shared" si="2"/>
        <v>119.07999999999993</v>
      </c>
      <c r="M26" s="3"/>
      <c r="N26" s="7">
        <f t="shared" si="3"/>
        <v>8.8516888677450001E-2</v>
      </c>
      <c r="O26" s="12"/>
      <c r="P26" s="8">
        <v>14194.27</v>
      </c>
      <c r="Q26" s="3"/>
      <c r="R26" s="7">
        <f t="shared" si="4"/>
        <v>0</v>
      </c>
      <c r="S26" s="3"/>
      <c r="T26" s="8">
        <v>13071.74</v>
      </c>
      <c r="U26" s="3"/>
      <c r="V26" s="7">
        <f t="shared" si="5"/>
        <v>0</v>
      </c>
      <c r="W26" s="3"/>
      <c r="X26" s="8">
        <f t="shared" si="6"/>
        <v>1122.5300000000007</v>
      </c>
      <c r="Y26" s="3"/>
      <c r="Z26" s="7">
        <f t="shared" si="7"/>
        <v>8.5874566048590367E-2</v>
      </c>
    </row>
    <row r="27" spans="1:26" s="69" customFormat="1" ht="15" hidden="1" customHeight="1" outlineLevel="2" x14ac:dyDescent="0.3">
      <c r="A27" s="25"/>
      <c r="B27" s="12" t="str">
        <f>CONCATENATE("          ","6119"," - ","SICK LEAVE")</f>
        <v xml:space="preserve">          6119 - SICK LEAVE</v>
      </c>
      <c r="C27" s="12"/>
      <c r="D27" s="8">
        <v>877.84</v>
      </c>
      <c r="E27" s="3"/>
      <c r="F27" s="7">
        <f t="shared" si="0"/>
        <v>0</v>
      </c>
      <c r="G27" s="3"/>
      <c r="H27" s="8">
        <v>844.06</v>
      </c>
      <c r="I27" s="3"/>
      <c r="J27" s="7">
        <f t="shared" si="1"/>
        <v>0</v>
      </c>
      <c r="K27" s="3"/>
      <c r="L27" s="8">
        <f t="shared" si="2"/>
        <v>33.780000000000086</v>
      </c>
      <c r="M27" s="3"/>
      <c r="N27" s="7">
        <f t="shared" si="3"/>
        <v>4.002085159822772E-2</v>
      </c>
      <c r="O27" s="12"/>
      <c r="P27" s="8">
        <v>9082.83</v>
      </c>
      <c r="Q27" s="3"/>
      <c r="R27" s="7">
        <f t="shared" si="4"/>
        <v>0</v>
      </c>
      <c r="S27" s="3"/>
      <c r="T27" s="8">
        <v>8793.4699999999993</v>
      </c>
      <c r="U27" s="3"/>
      <c r="V27" s="7">
        <f t="shared" si="5"/>
        <v>0</v>
      </c>
      <c r="W27" s="3"/>
      <c r="X27" s="8">
        <f t="shared" si="6"/>
        <v>289.36000000000058</v>
      </c>
      <c r="Y27" s="3"/>
      <c r="Z27" s="7">
        <f t="shared" si="7"/>
        <v>3.2906236104745974E-2</v>
      </c>
    </row>
    <row r="28" spans="1:26" s="69" customFormat="1" ht="15" hidden="1" customHeight="1" outlineLevel="2" x14ac:dyDescent="0.3">
      <c r="A28" s="25"/>
      <c r="B28" s="12" t="str">
        <f>CONCATENATE("          ","6156"," - ","EMPLOYEE MEALS")</f>
        <v xml:space="preserve">          6156 - EMPLOYEE MEALS</v>
      </c>
      <c r="C28" s="12"/>
      <c r="D28" s="8">
        <v>337.58</v>
      </c>
      <c r="E28" s="3"/>
      <c r="F28" s="7">
        <f t="shared" si="0"/>
        <v>0</v>
      </c>
      <c r="G28" s="3"/>
      <c r="H28" s="8">
        <v>90.44</v>
      </c>
      <c r="I28" s="3"/>
      <c r="J28" s="7">
        <f t="shared" si="1"/>
        <v>0</v>
      </c>
      <c r="K28" s="3"/>
      <c r="L28" s="8">
        <f t="shared" si="2"/>
        <v>247.14</v>
      </c>
      <c r="M28" s="3"/>
      <c r="N28" s="7">
        <f t="shared" si="3"/>
        <v>2.7326404245908891</v>
      </c>
      <c r="O28" s="12"/>
      <c r="P28" s="8">
        <v>2157.62</v>
      </c>
      <c r="Q28" s="3"/>
      <c r="R28" s="7">
        <f t="shared" si="4"/>
        <v>0</v>
      </c>
      <c r="S28" s="3"/>
      <c r="T28" s="8">
        <v>1474.29</v>
      </c>
      <c r="U28" s="3"/>
      <c r="V28" s="7">
        <f t="shared" si="5"/>
        <v>0</v>
      </c>
      <c r="W28" s="3"/>
      <c r="X28" s="8">
        <f t="shared" si="6"/>
        <v>683.32999999999993</v>
      </c>
      <c r="Y28" s="3"/>
      <c r="Z28" s="7">
        <f t="shared" si="7"/>
        <v>0.4634976836307646</v>
      </c>
    </row>
    <row r="29" spans="1:26" s="68" customFormat="1" ht="15" customHeight="1" outlineLevel="1" collapsed="1" x14ac:dyDescent="0.3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17704.02</v>
      </c>
      <c r="E29" s="2"/>
      <c r="F29" s="6">
        <f t="shared" si="0"/>
        <v>0</v>
      </c>
      <c r="G29" s="2"/>
      <c r="H29" s="2">
        <f>SUM(OSRRefH22_1x_0)</f>
        <v>17848.189999999999</v>
      </c>
      <c r="I29" s="2"/>
      <c r="J29" s="6">
        <f t="shared" si="1"/>
        <v>0</v>
      </c>
      <c r="K29" s="2"/>
      <c r="L29" s="2">
        <f t="shared" si="2"/>
        <v>-144.16999999999825</v>
      </c>
      <c r="M29" s="2"/>
      <c r="N29" s="6">
        <f t="shared" si="3"/>
        <v>-8.07756977037998E-3</v>
      </c>
      <c r="O29" s="14"/>
      <c r="P29" s="2">
        <f>SUM(OSRRefP22_1x_0)</f>
        <v>168760.2</v>
      </c>
      <c r="Q29" s="2"/>
      <c r="R29" s="6">
        <f t="shared" si="4"/>
        <v>0</v>
      </c>
      <c r="S29" s="2"/>
      <c r="T29" s="2">
        <f>SUM(OSRRefT22_1x_0)</f>
        <v>181133.83</v>
      </c>
      <c r="U29" s="2"/>
      <c r="V29" s="6">
        <f t="shared" si="5"/>
        <v>0</v>
      </c>
      <c r="W29" s="2"/>
      <c r="X29" s="2">
        <f t="shared" si="6"/>
        <v>-12373.629999999976</v>
      </c>
      <c r="Y29" s="2"/>
      <c r="Z29" s="6">
        <f t="shared" si="7"/>
        <v>-6.8312087256146334E-2</v>
      </c>
    </row>
    <row r="30" spans="1:26" s="69" customFormat="1" ht="15" hidden="1" customHeight="1" outlineLevel="2" x14ac:dyDescent="0.3">
      <c r="A30" s="25"/>
      <c r="B30" s="12" t="str">
        <f>CONCATENATE("          ","6002"," - ","STAFF SALARIES")</f>
        <v xml:space="preserve">          6002 - STAFF SALARIES</v>
      </c>
      <c r="C30" s="12"/>
      <c r="D30" s="8">
        <v>17704.02</v>
      </c>
      <c r="E30" s="3"/>
      <c r="F30" s="7">
        <f t="shared" si="0"/>
        <v>0</v>
      </c>
      <c r="G30" s="3"/>
      <c r="H30" s="8">
        <v>17848.189999999999</v>
      </c>
      <c r="I30" s="3"/>
      <c r="J30" s="7">
        <f t="shared" si="1"/>
        <v>0</v>
      </c>
      <c r="K30" s="3"/>
      <c r="L30" s="8">
        <f t="shared" si="2"/>
        <v>-144.16999999999825</v>
      </c>
      <c r="M30" s="3"/>
      <c r="N30" s="7">
        <f t="shared" si="3"/>
        <v>-8.07756977037998E-3</v>
      </c>
      <c r="O30" s="12"/>
      <c r="P30" s="8">
        <v>168760.2</v>
      </c>
      <c r="Q30" s="3"/>
      <c r="R30" s="7">
        <f t="shared" si="4"/>
        <v>0</v>
      </c>
      <c r="S30" s="3"/>
      <c r="T30" s="8">
        <v>166920.59</v>
      </c>
      <c r="U30" s="3"/>
      <c r="V30" s="7">
        <f t="shared" si="5"/>
        <v>0</v>
      </c>
      <c r="W30" s="3"/>
      <c r="X30" s="8">
        <f t="shared" si="6"/>
        <v>1839.6100000000151</v>
      </c>
      <c r="Y30" s="3"/>
      <c r="Z30" s="7">
        <f t="shared" si="7"/>
        <v>1.1020869264840336E-2</v>
      </c>
    </row>
    <row r="31" spans="1:26" s="69" customFormat="1" ht="15" hidden="1" customHeight="1" outlineLevel="2" x14ac:dyDescent="0.3">
      <c r="A31" s="25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14213.24</v>
      </c>
      <c r="U31" s="3"/>
      <c r="V31" s="7">
        <f t="shared" si="5"/>
        <v>0</v>
      </c>
      <c r="W31" s="3"/>
      <c r="X31" s="8">
        <f t="shared" si="6"/>
        <v>-14213.24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5"/>
      <c r="B32" s="12" t="str">
        <f>CONCATENATE("          ","6007"," - ","STUDENT HOURLY")</f>
        <v xml:space="preserve">          6007 - STUDENT 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0</v>
      </c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6"/>
      <c r="B33" s="14" t="str">
        <f>CONCATENATE("     ","Depreciation                                      ")</f>
        <v xml:space="preserve">     Depreciation                                      </v>
      </c>
      <c r="C33" s="14"/>
      <c r="D33" s="2">
        <f>SUM(OSRRefD22_2x_0)</f>
        <v>2140.89</v>
      </c>
      <c r="E33" s="2"/>
      <c r="F33" s="6">
        <f t="shared" si="0"/>
        <v>0</v>
      </c>
      <c r="G33" s="2"/>
      <c r="H33" s="2">
        <f>SUM(OSRRefH22_2x_0)</f>
        <v>4994.03</v>
      </c>
      <c r="I33" s="2"/>
      <c r="J33" s="6">
        <f t="shared" si="1"/>
        <v>0</v>
      </c>
      <c r="K33" s="2"/>
      <c r="L33" s="2">
        <f t="shared" si="2"/>
        <v>-2853.14</v>
      </c>
      <c r="M33" s="2"/>
      <c r="N33" s="6">
        <f t="shared" si="3"/>
        <v>-0.57131014431230887</v>
      </c>
      <c r="O33" s="14"/>
      <c r="P33" s="2">
        <f>SUM(OSRRefP22_2x_0)</f>
        <v>28140.45</v>
      </c>
      <c r="Q33" s="2"/>
      <c r="R33" s="6">
        <f t="shared" si="4"/>
        <v>0</v>
      </c>
      <c r="S33" s="2"/>
      <c r="T33" s="2">
        <f>SUM(OSRRefT22_2x_0)</f>
        <v>46516.79</v>
      </c>
      <c r="U33" s="2"/>
      <c r="V33" s="6">
        <f t="shared" si="5"/>
        <v>0</v>
      </c>
      <c r="W33" s="2"/>
      <c r="X33" s="2">
        <f t="shared" si="6"/>
        <v>-18376.34</v>
      </c>
      <c r="Y33" s="2"/>
      <c r="Z33" s="6">
        <f t="shared" si="7"/>
        <v>-0.39504746565702403</v>
      </c>
    </row>
    <row r="34" spans="1:26" s="69" customFormat="1" ht="15" hidden="1" customHeight="1" outlineLevel="2" x14ac:dyDescent="0.3">
      <c r="A34" s="25"/>
      <c r="B34" s="12" t="str">
        <f>CONCATENATE("          ","6322"," - ","EQUIPMENT DEPRECIATION EXPENSE")</f>
        <v xml:space="preserve">          6322 - EQUIPMENT DEPRECIATION EXPENSE</v>
      </c>
      <c r="C34" s="12"/>
      <c r="D34" s="8">
        <v>2140.89</v>
      </c>
      <c r="E34" s="3"/>
      <c r="F34" s="7">
        <f t="shared" si="0"/>
        <v>0</v>
      </c>
      <c r="G34" s="3"/>
      <c r="H34" s="8">
        <v>4994.03</v>
      </c>
      <c r="I34" s="3"/>
      <c r="J34" s="7">
        <f t="shared" si="1"/>
        <v>0</v>
      </c>
      <c r="K34" s="3"/>
      <c r="L34" s="8">
        <f t="shared" si="2"/>
        <v>-2853.14</v>
      </c>
      <c r="M34" s="3"/>
      <c r="N34" s="7">
        <f t="shared" si="3"/>
        <v>-0.57131014431230887</v>
      </c>
      <c r="O34" s="12"/>
      <c r="P34" s="8">
        <v>28140.45</v>
      </c>
      <c r="Q34" s="3"/>
      <c r="R34" s="7">
        <f t="shared" si="4"/>
        <v>0</v>
      </c>
      <c r="S34" s="3"/>
      <c r="T34" s="8">
        <v>46516.79</v>
      </c>
      <c r="U34" s="3"/>
      <c r="V34" s="7">
        <f t="shared" si="5"/>
        <v>0</v>
      </c>
      <c r="W34" s="3"/>
      <c r="X34" s="8">
        <f t="shared" si="6"/>
        <v>-18376.34</v>
      </c>
      <c r="Y34" s="3"/>
      <c r="Z34" s="7">
        <f t="shared" si="7"/>
        <v>-0.39504746565702403</v>
      </c>
    </row>
    <row r="35" spans="1:26" s="68" customFormat="1" ht="15" customHeight="1" outlineLevel="1" collapsed="1" x14ac:dyDescent="0.3">
      <c r="A35" s="26"/>
      <c r="B35" s="14" t="str">
        <f>CONCATENATE("     ","Freight out/Postage                               ")</f>
        <v xml:space="preserve">     Freight out/Postage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5.7</v>
      </c>
      <c r="U35" s="2"/>
      <c r="V35" s="6">
        <f t="shared" si="5"/>
        <v>0</v>
      </c>
      <c r="W35" s="2"/>
      <c r="X35" s="2">
        <f t="shared" si="6"/>
        <v>-5.7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5"/>
      <c r="B36" s="12" t="str">
        <f>CONCATENATE("          ","6307"," - ","POSTAGE")</f>
        <v xml:space="preserve">          6307 - POSTAGE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5.7</v>
      </c>
      <c r="U36" s="3"/>
      <c r="V36" s="7">
        <f t="shared" si="5"/>
        <v>0</v>
      </c>
      <c r="W36" s="3"/>
      <c r="X36" s="8">
        <f t="shared" si="6"/>
        <v>-5.7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6"/>
      <c r="B37" s="14" t="str">
        <f>CONCATENATE("     ","Insurance                                         ")</f>
        <v xml:space="preserve">     Insurance                                         </v>
      </c>
      <c r="C37" s="14"/>
      <c r="D37" s="2">
        <f>SUM(OSRRefD22_4x_0)</f>
        <v>76.569999999999993</v>
      </c>
      <c r="E37" s="2"/>
      <c r="F37" s="6">
        <f t="shared" si="0"/>
        <v>0</v>
      </c>
      <c r="G37" s="2"/>
      <c r="H37" s="2">
        <f>SUM(OSRRefH22_4x_0)</f>
        <v>56.34</v>
      </c>
      <c r="I37" s="2"/>
      <c r="J37" s="6">
        <f t="shared" si="1"/>
        <v>0</v>
      </c>
      <c r="K37" s="2"/>
      <c r="L37" s="2">
        <f t="shared" si="2"/>
        <v>20.22999999999999</v>
      </c>
      <c r="M37" s="2"/>
      <c r="N37" s="6">
        <f t="shared" si="3"/>
        <v>0.35906993255236047</v>
      </c>
      <c r="O37" s="14"/>
      <c r="P37" s="2">
        <f>SUM(OSRRefP22_4x_0)</f>
        <v>689.13</v>
      </c>
      <c r="Q37" s="2"/>
      <c r="R37" s="6">
        <f t="shared" si="4"/>
        <v>0</v>
      </c>
      <c r="S37" s="2"/>
      <c r="T37" s="2">
        <f>SUM(OSRRefT22_4x_0)</f>
        <v>507.06</v>
      </c>
      <c r="U37" s="2"/>
      <c r="V37" s="6">
        <f t="shared" si="5"/>
        <v>0</v>
      </c>
      <c r="W37" s="2"/>
      <c r="X37" s="2">
        <f t="shared" si="6"/>
        <v>182.07</v>
      </c>
      <c r="Y37" s="2"/>
      <c r="Z37" s="6">
        <f t="shared" si="7"/>
        <v>0.35906993255236064</v>
      </c>
    </row>
    <row r="38" spans="1:26" s="69" customFormat="1" ht="15" hidden="1" customHeight="1" outlineLevel="2" x14ac:dyDescent="0.3">
      <c r="A38" s="25"/>
      <c r="B38" s="12" t="str">
        <f>CONCATENATE("          ","6314"," - ","LIABILITY INSURANCE")</f>
        <v xml:space="preserve">          6314 - LIABILITY INSURANCE</v>
      </c>
      <c r="C38" s="12"/>
      <c r="D38" s="8">
        <v>76.569999999999993</v>
      </c>
      <c r="E38" s="3"/>
      <c r="F38" s="7">
        <f t="shared" si="0"/>
        <v>0</v>
      </c>
      <c r="G38" s="3"/>
      <c r="H38" s="8">
        <v>56.34</v>
      </c>
      <c r="I38" s="3"/>
      <c r="J38" s="7">
        <f t="shared" si="1"/>
        <v>0</v>
      </c>
      <c r="K38" s="3"/>
      <c r="L38" s="8">
        <f t="shared" si="2"/>
        <v>20.22999999999999</v>
      </c>
      <c r="M38" s="3"/>
      <c r="N38" s="7">
        <f t="shared" si="3"/>
        <v>0.35906993255236047</v>
      </c>
      <c r="O38" s="12"/>
      <c r="P38" s="8">
        <v>689.13</v>
      </c>
      <c r="Q38" s="3"/>
      <c r="R38" s="7">
        <f t="shared" si="4"/>
        <v>0</v>
      </c>
      <c r="S38" s="3"/>
      <c r="T38" s="8">
        <v>507.06</v>
      </c>
      <c r="U38" s="3"/>
      <c r="V38" s="7">
        <f t="shared" si="5"/>
        <v>0</v>
      </c>
      <c r="W38" s="3"/>
      <c r="X38" s="8">
        <f t="shared" si="6"/>
        <v>182.07</v>
      </c>
      <c r="Y38" s="3"/>
      <c r="Z38" s="7">
        <f t="shared" si="7"/>
        <v>0.35906993255236064</v>
      </c>
    </row>
    <row r="39" spans="1:26" s="68" customFormat="1" ht="15" customHeight="1" outlineLevel="1" collapsed="1" x14ac:dyDescent="0.3">
      <c r="A39" s="26"/>
      <c r="B39" s="14" t="str">
        <f>CONCATENATE("     ","Repair and Maintenance                            ")</f>
        <v xml:space="preserve">     Repair and Maintenance                            </v>
      </c>
      <c r="C39" s="14"/>
      <c r="D39" s="2">
        <f>SUM(OSRRefD22_5x_0)</f>
        <v>1.25</v>
      </c>
      <c r="E39" s="2"/>
      <c r="F39" s="6">
        <f t="shared" si="0"/>
        <v>0</v>
      </c>
      <c r="G39" s="2"/>
      <c r="H39" s="2">
        <f>SUM(OSRRefH22_5x_0)</f>
        <v>15209.5</v>
      </c>
      <c r="I39" s="2"/>
      <c r="J39" s="6">
        <f t="shared" si="1"/>
        <v>0</v>
      </c>
      <c r="K39" s="2"/>
      <c r="L39" s="2">
        <f t="shared" si="2"/>
        <v>-15208.25</v>
      </c>
      <c r="M39" s="2"/>
      <c r="N39" s="6">
        <f t="shared" si="3"/>
        <v>-0.99991781452381734</v>
      </c>
      <c r="O39" s="14"/>
      <c r="P39" s="2">
        <f>SUM(OSRRefP22_5x_0)</f>
        <v>80260.3</v>
      </c>
      <c r="Q39" s="2"/>
      <c r="R39" s="6">
        <f t="shared" si="4"/>
        <v>0</v>
      </c>
      <c r="S39" s="2"/>
      <c r="T39" s="2">
        <f>SUM(OSRRefT22_5x_0)</f>
        <v>113360.48</v>
      </c>
      <c r="U39" s="2"/>
      <c r="V39" s="6">
        <f t="shared" si="5"/>
        <v>0</v>
      </c>
      <c r="W39" s="2"/>
      <c r="X39" s="2">
        <f t="shared" si="6"/>
        <v>-33100.179999999993</v>
      </c>
      <c r="Y39" s="2"/>
      <c r="Z39" s="6">
        <f t="shared" si="7"/>
        <v>-0.29199047145883639</v>
      </c>
    </row>
    <row r="40" spans="1:26" s="69" customFormat="1" ht="15" hidden="1" customHeight="1" outlineLevel="2" x14ac:dyDescent="0.3">
      <c r="A40" s="25"/>
      <c r="B40" s="12" t="str">
        <f>CONCATENATE("          ","6371"," - ","COMPUTER SOFTWARE MAINTENANCE")</f>
        <v xml:space="preserve">          6371 - COMPUTER SOFTWARE MAINTENANCE</v>
      </c>
      <c r="C40" s="12"/>
      <c r="D40" s="8"/>
      <c r="E40" s="3"/>
      <c r="F40" s="7">
        <f t="shared" si="0"/>
        <v>0</v>
      </c>
      <c r="G40" s="3"/>
      <c r="H40" s="8">
        <v>3217.5</v>
      </c>
      <c r="I40" s="3"/>
      <c r="J40" s="7">
        <f t="shared" si="1"/>
        <v>0</v>
      </c>
      <c r="K40" s="3"/>
      <c r="L40" s="8">
        <f t="shared" si="2"/>
        <v>-3217.5</v>
      </c>
      <c r="M40" s="3"/>
      <c r="N40" s="7">
        <f t="shared" si="3"/>
        <v>-1</v>
      </c>
      <c r="O40" s="12"/>
      <c r="P40" s="8">
        <v>2093.8200000000002</v>
      </c>
      <c r="Q40" s="3"/>
      <c r="R40" s="7">
        <f t="shared" si="4"/>
        <v>0</v>
      </c>
      <c r="S40" s="3"/>
      <c r="T40" s="8">
        <v>4067.48</v>
      </c>
      <c r="U40" s="3"/>
      <c r="V40" s="7">
        <f t="shared" si="5"/>
        <v>0</v>
      </c>
      <c r="W40" s="3"/>
      <c r="X40" s="8">
        <f t="shared" si="6"/>
        <v>-1973.6599999999999</v>
      </c>
      <c r="Y40" s="3"/>
      <c r="Z40" s="7">
        <f t="shared" si="7"/>
        <v>-0.48522918367146239</v>
      </c>
    </row>
    <row r="41" spans="1:26" s="69" customFormat="1" ht="15" hidden="1" customHeight="1" outlineLevel="2" x14ac:dyDescent="0.3">
      <c r="A41" s="25"/>
      <c r="B41" s="12" t="str">
        <f>CONCATENATE("          ","6372"," - ","COMPUTER HARDWARE MAINTENANCE")</f>
        <v xml:space="preserve">          6372 - COMPUTER HARDWARE MAINTENANCE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4760.47</v>
      </c>
      <c r="Q41" s="3"/>
      <c r="R41" s="7">
        <f t="shared" si="4"/>
        <v>0</v>
      </c>
      <c r="S41" s="3"/>
      <c r="T41" s="8"/>
      <c r="U41" s="3"/>
      <c r="V41" s="7">
        <f t="shared" si="5"/>
        <v>0</v>
      </c>
      <c r="W41" s="3"/>
      <c r="X41" s="8">
        <f t="shared" si="6"/>
        <v>4760.47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5"/>
      <c r="B42" s="12" t="str">
        <f>CONCATENATE("          ","6373"," - ","MAINTENANCE CONTRACTS")</f>
        <v xml:space="preserve">          6373 - MAINTENANCE CONTRACTS</v>
      </c>
      <c r="C42" s="12"/>
      <c r="D42" s="8">
        <v>1.25</v>
      </c>
      <c r="E42" s="3"/>
      <c r="F42" s="7">
        <f t="shared" si="0"/>
        <v>0</v>
      </c>
      <c r="G42" s="3"/>
      <c r="H42" s="8">
        <v>11992</v>
      </c>
      <c r="I42" s="3"/>
      <c r="J42" s="7">
        <f t="shared" si="1"/>
        <v>0</v>
      </c>
      <c r="K42" s="3"/>
      <c r="L42" s="8">
        <f t="shared" si="2"/>
        <v>-11990.75</v>
      </c>
      <c r="M42" s="3"/>
      <c r="N42" s="7">
        <f t="shared" si="3"/>
        <v>-0.99989576384256174</v>
      </c>
      <c r="O42" s="12"/>
      <c r="P42" s="8">
        <v>73358.490000000005</v>
      </c>
      <c r="Q42" s="3"/>
      <c r="R42" s="7">
        <f t="shared" si="4"/>
        <v>0</v>
      </c>
      <c r="S42" s="3"/>
      <c r="T42" s="8">
        <v>109293</v>
      </c>
      <c r="U42" s="3"/>
      <c r="V42" s="7">
        <f t="shared" si="5"/>
        <v>0</v>
      </c>
      <c r="W42" s="3"/>
      <c r="X42" s="8">
        <f t="shared" si="6"/>
        <v>-35934.509999999995</v>
      </c>
      <c r="Y42" s="3"/>
      <c r="Z42" s="7">
        <f t="shared" si="7"/>
        <v>-0.3287905904312261</v>
      </c>
    </row>
    <row r="43" spans="1:26" s="69" customFormat="1" ht="15" hidden="1" customHeight="1" outlineLevel="2" x14ac:dyDescent="0.3">
      <c r="A43" s="25"/>
      <c r="B43" s="12" t="str">
        <f>CONCATENATE("          ","6375"," - ","OUTSIDE REPAIRS &amp; MAINTENANCE")</f>
        <v xml:space="preserve">          6375 - OUTSIDE REPAIRS &amp; MAINTENANCE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47.52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47.52</v>
      </c>
      <c r="Y43" s="3"/>
      <c r="Z43" s="7">
        <f t="shared" si="7"/>
        <v>0</v>
      </c>
    </row>
    <row r="44" spans="1:26" s="68" customFormat="1" ht="15" customHeight="1" outlineLevel="1" collapsed="1" x14ac:dyDescent="0.3">
      <c r="A44" s="26"/>
      <c r="B44" s="14" t="str">
        <f>CONCATENATE("     ","Supplies                                          ")</f>
        <v xml:space="preserve">     Supplies                                          </v>
      </c>
      <c r="C44" s="14"/>
      <c r="D44" s="2">
        <f>SUM(OSRRefD22_6x_0)</f>
        <v>1680.85</v>
      </c>
      <c r="E44" s="2"/>
      <c r="F44" s="6">
        <f t="shared" si="0"/>
        <v>0</v>
      </c>
      <c r="G44" s="2"/>
      <c r="H44" s="2">
        <f>SUM(OSRRefH22_6x_0)</f>
        <v>392.29</v>
      </c>
      <c r="I44" s="2"/>
      <c r="J44" s="6">
        <f t="shared" si="1"/>
        <v>0</v>
      </c>
      <c r="K44" s="2"/>
      <c r="L44" s="2">
        <f t="shared" si="2"/>
        <v>1288.56</v>
      </c>
      <c r="M44" s="2"/>
      <c r="N44" s="6">
        <f t="shared" si="3"/>
        <v>3.284712839990823</v>
      </c>
      <c r="O44" s="14"/>
      <c r="P44" s="2">
        <f>SUM(OSRRefP22_6x_0)</f>
        <v>21575.08</v>
      </c>
      <c r="Q44" s="2"/>
      <c r="R44" s="6">
        <f t="shared" si="4"/>
        <v>0</v>
      </c>
      <c r="S44" s="2"/>
      <c r="T44" s="2">
        <f>SUM(OSRRefT22_6x_0)</f>
        <v>-1787.22</v>
      </c>
      <c r="U44" s="2"/>
      <c r="V44" s="6">
        <f t="shared" si="5"/>
        <v>0</v>
      </c>
      <c r="W44" s="2"/>
      <c r="X44" s="2">
        <f t="shared" si="6"/>
        <v>23362.300000000003</v>
      </c>
      <c r="Y44" s="2"/>
      <c r="Z44" s="6">
        <f t="shared" si="7"/>
        <v>-13.071865802755118</v>
      </c>
    </row>
    <row r="45" spans="1:26" s="69" customFormat="1" ht="15" hidden="1" customHeight="1" outlineLevel="2" x14ac:dyDescent="0.3">
      <c r="A45" s="25"/>
      <c r="B45" s="12" t="str">
        <f>CONCATENATE("          ","6241"," - ","OFFICE EXPENSE")</f>
        <v xml:space="preserve">          6241 - OFFICE EXPENSE</v>
      </c>
      <c r="C45" s="12"/>
      <c r="D45" s="8">
        <v>1680.85</v>
      </c>
      <c r="E45" s="3"/>
      <c r="F45" s="7">
        <f t="shared" si="0"/>
        <v>0</v>
      </c>
      <c r="G45" s="3"/>
      <c r="H45" s="8">
        <v>392.29</v>
      </c>
      <c r="I45" s="3"/>
      <c r="J45" s="7">
        <f t="shared" si="1"/>
        <v>0</v>
      </c>
      <c r="K45" s="3"/>
      <c r="L45" s="8">
        <f t="shared" si="2"/>
        <v>1288.56</v>
      </c>
      <c r="M45" s="3"/>
      <c r="N45" s="7">
        <f t="shared" si="3"/>
        <v>3.284712839990823</v>
      </c>
      <c r="O45" s="12"/>
      <c r="P45" s="8">
        <v>21575.08</v>
      </c>
      <c r="Q45" s="3"/>
      <c r="R45" s="7">
        <f t="shared" si="4"/>
        <v>0</v>
      </c>
      <c r="S45" s="3"/>
      <c r="T45" s="8">
        <v>-1787.22</v>
      </c>
      <c r="U45" s="3"/>
      <c r="V45" s="7">
        <f t="shared" si="5"/>
        <v>0</v>
      </c>
      <c r="W45" s="3"/>
      <c r="X45" s="8">
        <f t="shared" si="6"/>
        <v>23362.300000000003</v>
      </c>
      <c r="Y45" s="3"/>
      <c r="Z45" s="7">
        <f t="shared" si="7"/>
        <v>-13.071865802755118</v>
      </c>
    </row>
    <row r="46" spans="1:26" s="68" customFormat="1" ht="15" customHeight="1" outlineLevel="1" collapsed="1" x14ac:dyDescent="0.3">
      <c r="A46" s="26"/>
      <c r="B46" s="14" t="str">
        <f>CONCATENATE("     ","Telephone/Data Lines                              ")</f>
        <v xml:space="preserve">     Telephone/Data Lines                              </v>
      </c>
      <c r="C46" s="14"/>
      <c r="D46" s="2">
        <f>SUM(OSRRefD22_7x_0)</f>
        <v>741.79</v>
      </c>
      <c r="E46" s="2"/>
      <c r="F46" s="6">
        <f t="shared" si="0"/>
        <v>0</v>
      </c>
      <c r="G46" s="2"/>
      <c r="H46" s="2">
        <f>SUM(OSRRefH22_7x_0)</f>
        <v>664.67</v>
      </c>
      <c r="I46" s="2"/>
      <c r="J46" s="6">
        <f t="shared" si="1"/>
        <v>0</v>
      </c>
      <c r="K46" s="2"/>
      <c r="L46" s="2">
        <f t="shared" si="2"/>
        <v>77.12</v>
      </c>
      <c r="M46" s="2"/>
      <c r="N46" s="6">
        <f t="shared" si="3"/>
        <v>0.11602750236959695</v>
      </c>
      <c r="O46" s="14"/>
      <c r="P46" s="2">
        <f>SUM(OSRRefP22_7x_0)</f>
        <v>7412.73</v>
      </c>
      <c r="Q46" s="2"/>
      <c r="R46" s="6">
        <f t="shared" si="4"/>
        <v>0</v>
      </c>
      <c r="S46" s="2"/>
      <c r="T46" s="2">
        <f>SUM(OSRRefT22_7x_0)</f>
        <v>6897.74</v>
      </c>
      <c r="U46" s="2"/>
      <c r="V46" s="6">
        <f t="shared" si="5"/>
        <v>0</v>
      </c>
      <c r="W46" s="2"/>
      <c r="X46" s="2">
        <f t="shared" si="6"/>
        <v>514.98999999999978</v>
      </c>
      <c r="Y46" s="2"/>
      <c r="Z46" s="6">
        <f t="shared" si="7"/>
        <v>7.4660685963808412E-2</v>
      </c>
    </row>
    <row r="47" spans="1:26" s="69" customFormat="1" ht="15" hidden="1" customHeight="1" outlineLevel="2" x14ac:dyDescent="0.3">
      <c r="A47" s="25"/>
      <c r="B47" s="12" t="str">
        <f>CONCATENATE("          ","6303"," - ","DATA PHONE LINES")</f>
        <v xml:space="preserve">          6303 - DATA PHONE LINES</v>
      </c>
      <c r="C47" s="12"/>
      <c r="D47" s="8">
        <v>81.99</v>
      </c>
      <c r="E47" s="3"/>
      <c r="F47" s="7">
        <f t="shared" si="0"/>
        <v>0</v>
      </c>
      <c r="G47" s="3"/>
      <c r="H47" s="8">
        <v>238.97</v>
      </c>
      <c r="I47" s="3"/>
      <c r="J47" s="7">
        <f t="shared" si="1"/>
        <v>0</v>
      </c>
      <c r="K47" s="3"/>
      <c r="L47" s="8">
        <f t="shared" si="2"/>
        <v>-156.98000000000002</v>
      </c>
      <c r="M47" s="3"/>
      <c r="N47" s="7">
        <f t="shared" si="3"/>
        <v>-0.65690254006779103</v>
      </c>
      <c r="O47" s="12"/>
      <c r="P47" s="8">
        <v>1424.83</v>
      </c>
      <c r="Q47" s="3"/>
      <c r="R47" s="7">
        <f t="shared" si="4"/>
        <v>0</v>
      </c>
      <c r="S47" s="3"/>
      <c r="T47" s="8">
        <v>1241.8399999999999</v>
      </c>
      <c r="U47" s="3"/>
      <c r="V47" s="7">
        <f t="shared" si="5"/>
        <v>0</v>
      </c>
      <c r="W47" s="3"/>
      <c r="X47" s="8">
        <f t="shared" si="6"/>
        <v>182.99</v>
      </c>
      <c r="Y47" s="3"/>
      <c r="Z47" s="7">
        <f t="shared" si="7"/>
        <v>0.14735392643174647</v>
      </c>
    </row>
    <row r="48" spans="1:26" s="69" customFormat="1" ht="15" hidden="1" customHeight="1" outlineLevel="2" x14ac:dyDescent="0.3">
      <c r="A48" s="25"/>
      <c r="B48" s="12" t="str">
        <f>CONCATENATE("          ","6309"," - ","TELEPHONE")</f>
        <v xml:space="preserve">          6309 - TELEPHONE</v>
      </c>
      <c r="C48" s="12"/>
      <c r="D48" s="8">
        <v>659.8</v>
      </c>
      <c r="E48" s="3"/>
      <c r="F48" s="7">
        <f t="shared" si="0"/>
        <v>0</v>
      </c>
      <c r="G48" s="3"/>
      <c r="H48" s="8">
        <v>425.7</v>
      </c>
      <c r="I48" s="3"/>
      <c r="J48" s="7">
        <f t="shared" si="1"/>
        <v>0</v>
      </c>
      <c r="K48" s="3"/>
      <c r="L48" s="8">
        <f t="shared" si="2"/>
        <v>234.09999999999997</v>
      </c>
      <c r="M48" s="3"/>
      <c r="N48" s="7">
        <f t="shared" si="3"/>
        <v>0.54991778247592193</v>
      </c>
      <c r="O48" s="12"/>
      <c r="P48" s="8">
        <v>5987.9</v>
      </c>
      <c r="Q48" s="3"/>
      <c r="R48" s="7">
        <f t="shared" si="4"/>
        <v>0</v>
      </c>
      <c r="S48" s="3"/>
      <c r="T48" s="8">
        <v>5655.9</v>
      </c>
      <c r="U48" s="3"/>
      <c r="V48" s="7">
        <f t="shared" si="5"/>
        <v>0</v>
      </c>
      <c r="W48" s="3"/>
      <c r="X48" s="8">
        <f t="shared" si="6"/>
        <v>332</v>
      </c>
      <c r="Y48" s="3"/>
      <c r="Z48" s="7">
        <f t="shared" si="7"/>
        <v>5.8699764847327571E-2</v>
      </c>
    </row>
    <row r="49" spans="1:26" s="68" customFormat="1" ht="15" customHeight="1" outlineLevel="1" collapsed="1" x14ac:dyDescent="0.3">
      <c r="A49" s="26"/>
      <c r="B49" s="14" t="str">
        <f>CONCATENATE("     ","Training                                          ")</f>
        <v xml:space="preserve">     Training                                          </v>
      </c>
      <c r="C49" s="14"/>
      <c r="D49" s="2">
        <f>SUM(OSRRefD22_8x_0)</f>
        <v>0</v>
      </c>
      <c r="E49" s="2"/>
      <c r="F49" s="6">
        <f t="shared" si="0"/>
        <v>0</v>
      </c>
      <c r="G49" s="2"/>
      <c r="H49" s="2">
        <f>SUM(OSRRefH22_8x_0)</f>
        <v>399</v>
      </c>
      <c r="I49" s="2"/>
      <c r="J49" s="6">
        <f t="shared" si="1"/>
        <v>0</v>
      </c>
      <c r="K49" s="2"/>
      <c r="L49" s="2">
        <f t="shared" si="2"/>
        <v>-399</v>
      </c>
      <c r="M49" s="2"/>
      <c r="N49" s="6">
        <f t="shared" si="3"/>
        <v>-1</v>
      </c>
      <c r="O49" s="14"/>
      <c r="P49" s="2">
        <f>SUM(OSRRefP22_8x_0)</f>
        <v>99</v>
      </c>
      <c r="Q49" s="2"/>
      <c r="R49" s="6">
        <f t="shared" si="4"/>
        <v>0</v>
      </c>
      <c r="S49" s="2"/>
      <c r="T49" s="2">
        <f>SUM(OSRRefT22_8x_0)</f>
        <v>498</v>
      </c>
      <c r="U49" s="2"/>
      <c r="V49" s="6">
        <f t="shared" si="5"/>
        <v>0</v>
      </c>
      <c r="W49" s="2"/>
      <c r="X49" s="2">
        <f t="shared" si="6"/>
        <v>-399</v>
      </c>
      <c r="Y49" s="2"/>
      <c r="Z49" s="6">
        <f t="shared" si="7"/>
        <v>-0.8012048192771084</v>
      </c>
    </row>
    <row r="50" spans="1:26" s="69" customFormat="1" ht="15" hidden="1" customHeight="1" outlineLevel="2" x14ac:dyDescent="0.3">
      <c r="A50" s="25"/>
      <c r="B50" s="12" t="str">
        <f>CONCATENATE("          ","6376"," - ","TRAINING")</f>
        <v xml:space="preserve">          6376 - TRAINING</v>
      </c>
      <c r="C50" s="12"/>
      <c r="D50" s="8"/>
      <c r="E50" s="3"/>
      <c r="F50" s="7">
        <f t="shared" si="0"/>
        <v>0</v>
      </c>
      <c r="G50" s="3"/>
      <c r="H50" s="8">
        <v>399</v>
      </c>
      <c r="I50" s="3"/>
      <c r="J50" s="7">
        <f t="shared" si="1"/>
        <v>0</v>
      </c>
      <c r="K50" s="3"/>
      <c r="L50" s="8">
        <f t="shared" si="2"/>
        <v>-399</v>
      </c>
      <c r="M50" s="3"/>
      <c r="N50" s="7">
        <f t="shared" si="3"/>
        <v>-1</v>
      </c>
      <c r="O50" s="12"/>
      <c r="P50" s="8">
        <v>99</v>
      </c>
      <c r="Q50" s="3"/>
      <c r="R50" s="7">
        <f t="shared" si="4"/>
        <v>0</v>
      </c>
      <c r="S50" s="3"/>
      <c r="T50" s="8">
        <v>498</v>
      </c>
      <c r="U50" s="3"/>
      <c r="V50" s="7">
        <f t="shared" si="5"/>
        <v>0</v>
      </c>
      <c r="W50" s="3"/>
      <c r="X50" s="8">
        <f t="shared" si="6"/>
        <v>-399</v>
      </c>
      <c r="Y50" s="3"/>
      <c r="Z50" s="7">
        <f t="shared" si="7"/>
        <v>-0.8012048192771084</v>
      </c>
    </row>
    <row r="51" spans="1:26" s="68" customFormat="1" ht="15" customHeight="1" outlineLevel="1" collapsed="1" x14ac:dyDescent="0.3">
      <c r="A51" s="26"/>
      <c r="B51" s="14" t="str">
        <f>CONCATENATE("     ","Travel                                            ")</f>
        <v xml:space="preserve">     Travel                                            </v>
      </c>
      <c r="C51" s="14"/>
      <c r="D51" s="2">
        <f>SUM(OSRRefD22_9x_0)</f>
        <v>0</v>
      </c>
      <c r="E51" s="2"/>
      <c r="F51" s="6">
        <f t="shared" si="0"/>
        <v>0</v>
      </c>
      <c r="G51" s="2"/>
      <c r="H51" s="2">
        <f>SUM(OSRRefH22_9x_0)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SUM(OSRRefP22_9x_0)</f>
        <v>0</v>
      </c>
      <c r="Q51" s="2"/>
      <c r="R51" s="6">
        <f t="shared" si="4"/>
        <v>0</v>
      </c>
      <c r="S51" s="2"/>
      <c r="T51" s="2">
        <f>SUM(OSRRefT22_9x_0)</f>
        <v>0</v>
      </c>
      <c r="U51" s="2"/>
      <c r="V51" s="6">
        <f t="shared" si="5"/>
        <v>0</v>
      </c>
      <c r="W51" s="2"/>
      <c r="X51" s="2">
        <f t="shared" si="6"/>
        <v>0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5"/>
      <c r="B52" s="12" t="str">
        <f>CONCATENATE("          ","6292"," - ","TRAVEL/CONFERENCE")</f>
        <v xml:space="preserve">          6292 - TRAVEL/CONFERENCE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0</v>
      </c>
      <c r="Q52" s="3"/>
      <c r="R52" s="7">
        <f t="shared" si="4"/>
        <v>0</v>
      </c>
      <c r="S52" s="3"/>
      <c r="T52" s="8"/>
      <c r="U52" s="3"/>
      <c r="V52" s="7">
        <f t="shared" si="5"/>
        <v>0</v>
      </c>
      <c r="W52" s="3"/>
      <c r="X52" s="8">
        <f t="shared" si="6"/>
        <v>0</v>
      </c>
      <c r="Y52" s="3"/>
      <c r="Z52" s="7">
        <f t="shared" si="7"/>
        <v>0</v>
      </c>
    </row>
    <row r="53" spans="1:26" s="64" customFormat="1" ht="15" customHeight="1" x14ac:dyDescent="0.3">
      <c r="A53" s="36"/>
      <c r="B53" s="36"/>
      <c r="C53" s="36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3">
      <c r="A54" s="11"/>
      <c r="B54" s="28" t="s">
        <v>290</v>
      </c>
      <c r="C54" s="11"/>
      <c r="D54" s="5">
        <f>SUM(0)</f>
        <v>0</v>
      </c>
      <c r="E54" s="5"/>
      <c r="F54" s="13">
        <f>IF(D$12=0,0,D54/D$12)</f>
        <v>0</v>
      </c>
      <c r="G54" s="5"/>
      <c r="H54" s="5">
        <f>SUM(0)</f>
        <v>0</v>
      </c>
      <c r="I54" s="5"/>
      <c r="J54" s="13">
        <f>IF(H$12=0,0,H54/H$12)</f>
        <v>0</v>
      </c>
      <c r="K54" s="5"/>
      <c r="L54" s="5">
        <f>+D54-H54</f>
        <v>0</v>
      </c>
      <c r="M54" s="5"/>
      <c r="N54" s="13">
        <f>IF(H54=0,0,L54/H54)</f>
        <v>0</v>
      </c>
      <c r="O54" s="11"/>
      <c r="P54" s="5">
        <f>SUM(0)</f>
        <v>0</v>
      </c>
      <c r="Q54" s="5"/>
      <c r="R54" s="13">
        <f>IF(P$12=0,0,P54/P$12)</f>
        <v>0</v>
      </c>
      <c r="S54" s="5"/>
      <c r="T54" s="5">
        <f>SUM(0)</f>
        <v>0</v>
      </c>
      <c r="U54" s="5"/>
      <c r="V54" s="13">
        <f>IF(T$12=0,0,T54/T$12)</f>
        <v>0</v>
      </c>
      <c r="W54" s="5"/>
      <c r="X54" s="5">
        <f>+P54-T54</f>
        <v>0</v>
      </c>
      <c r="Y54" s="5"/>
      <c r="Z54" s="13">
        <f>IF(T54=0,0,X54/T54)</f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x14ac:dyDescent="0.3">
      <c r="A56" s="11"/>
      <c r="B56" s="27" t="s">
        <v>291</v>
      </c>
      <c r="C56" s="27"/>
      <c r="D56" s="22">
        <f>+D16-D18+D54</f>
        <v>-33133.78</v>
      </c>
      <c r="E56" s="15"/>
      <c r="F56" s="21">
        <f>IF(D$12=0,0,D56/D$12)</f>
        <v>0</v>
      </c>
      <c r="G56" s="15"/>
      <c r="H56" s="22">
        <f>+H16-H18+H54</f>
        <v>-50075.959999999992</v>
      </c>
      <c r="I56" s="15"/>
      <c r="J56" s="21">
        <f>IF(H$12=0,0,H56/H$12)</f>
        <v>0</v>
      </c>
      <c r="K56" s="17"/>
      <c r="L56" s="22">
        <f>+D56-H56</f>
        <v>16942.179999999993</v>
      </c>
      <c r="M56" s="17"/>
      <c r="N56" s="21">
        <f>IF(H56=0,0,L56/H56)</f>
        <v>-0.33832960965700898</v>
      </c>
      <c r="O56" s="28"/>
      <c r="P56" s="22">
        <f>+P16-P18+P54</f>
        <v>-409064.62000000011</v>
      </c>
      <c r="Q56" s="15"/>
      <c r="R56" s="21">
        <f>IF(P$12=0,0,P56/P$12)</f>
        <v>0</v>
      </c>
      <c r="S56" s="15"/>
      <c r="T56" s="22">
        <f>+T16-T18+T54</f>
        <v>-456160.60000000003</v>
      </c>
      <c r="U56" s="15"/>
      <c r="V56" s="21">
        <f>IF(T$12=0,0,T56/T$12)</f>
        <v>0</v>
      </c>
      <c r="W56" s="17"/>
      <c r="X56" s="22">
        <f>+P56-T56</f>
        <v>47095.979999999923</v>
      </c>
      <c r="Y56" s="17"/>
      <c r="Z56" s="21">
        <f>IF(T56=0,0,X56/T56)</f>
        <v>-0.10324429597821451</v>
      </c>
    </row>
    <row r="57" spans="1:26" ht="15" customHeight="1" x14ac:dyDescent="0.3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x14ac:dyDescent="0.3">
      <c r="A58" s="48"/>
      <c r="B58" s="11" t="s">
        <v>292</v>
      </c>
      <c r="C58" s="11"/>
      <c r="D58" s="5"/>
      <c r="E58" s="5"/>
      <c r="F58" s="13">
        <f>IF(D$12=0,0,D58/D$12)</f>
        <v>0</v>
      </c>
      <c r="G58" s="5"/>
      <c r="H58" s="5"/>
      <c r="I58" s="5"/>
      <c r="J58" s="13">
        <f>IF(H$12=0,0,H58/H$12)</f>
        <v>0</v>
      </c>
      <c r="K58" s="5"/>
      <c r="L58" s="5">
        <f>+D58-H58</f>
        <v>0</v>
      </c>
      <c r="M58" s="5"/>
      <c r="N58" s="13">
        <f>IF(H58=0,0,L58/H58)</f>
        <v>0</v>
      </c>
      <c r="O58" s="11"/>
      <c r="P58" s="5"/>
      <c r="Q58" s="5"/>
      <c r="R58" s="13">
        <f>IF(P$12=0,0,P58/P$12)</f>
        <v>0</v>
      </c>
      <c r="S58" s="5"/>
      <c r="T58" s="5"/>
      <c r="U58" s="5"/>
      <c r="V58" s="13">
        <f>IF(T$12=0,0,T58/T$12)</f>
        <v>0</v>
      </c>
      <c r="W58" s="5"/>
      <c r="X58" s="5">
        <f>+P58-T58</f>
        <v>0</v>
      </c>
      <c r="Y58" s="5"/>
      <c r="Z58" s="13">
        <f>IF(T58=0,0,X58/T58)</f>
        <v>0</v>
      </c>
    </row>
    <row r="59" spans="1:26" ht="15" customHeight="1" x14ac:dyDescent="0.3">
      <c r="A59" s="10"/>
      <c r="B59" s="11"/>
      <c r="C59" s="11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O59" s="11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2" customFormat="1" ht="15" customHeight="1" x14ac:dyDescent="0.3">
      <c r="A60" s="11"/>
      <c r="B60" s="27" t="s">
        <v>293</v>
      </c>
      <c r="C60" s="27"/>
      <c r="D60" s="34">
        <f>+D56-D58</f>
        <v>-33133.78</v>
      </c>
      <c r="E60" s="15"/>
      <c r="F60" s="33">
        <f>IF(D$12=0,0,D60/D$12)</f>
        <v>0</v>
      </c>
      <c r="G60" s="15"/>
      <c r="H60" s="34">
        <f>+H56-H58</f>
        <v>-50075.959999999992</v>
      </c>
      <c r="I60" s="15"/>
      <c r="J60" s="33">
        <f>IF(H$12=0,0,H60/H$12)</f>
        <v>0</v>
      </c>
      <c r="K60" s="17"/>
      <c r="L60" s="34">
        <f>D60-H60</f>
        <v>16942.179999999993</v>
      </c>
      <c r="M60" s="17"/>
      <c r="N60" s="33">
        <f>IF(H60=0,0,L60/H60)</f>
        <v>-0.33832960965700898</v>
      </c>
      <c r="O60" s="28"/>
      <c r="P60" s="34">
        <f>+P56-P58</f>
        <v>-409064.62000000011</v>
      </c>
      <c r="Q60" s="15"/>
      <c r="R60" s="33">
        <f>IF(P$12=0,0,P60/P$12)</f>
        <v>0</v>
      </c>
      <c r="S60" s="15"/>
      <c r="T60" s="34">
        <f>+T56-T58</f>
        <v>-456160.60000000003</v>
      </c>
      <c r="U60" s="15"/>
      <c r="V60" s="33">
        <f>IF(T$12=0,0,T60/T$12)</f>
        <v>0</v>
      </c>
      <c r="W60" s="17"/>
      <c r="X60" s="34">
        <f>P60-T60</f>
        <v>47095.979999999923</v>
      </c>
      <c r="Y60" s="17"/>
      <c r="Z60" s="33">
        <f>IF(T60=0,0,X60/T60)</f>
        <v>-0.10324429597821451</v>
      </c>
    </row>
    <row r="61" spans="1:26" ht="15" customHeight="1" x14ac:dyDescent="0.3">
      <c r="A61" s="10"/>
      <c r="B61" s="10"/>
      <c r="C61" s="10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ht="15" customHeight="1" x14ac:dyDescent="0.3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11"/>
      <c r="B63" s="27" t="s">
        <v>296</v>
      </c>
      <c r="C63" s="27"/>
      <c r="D63" s="31">
        <f>SUM(D60:D62)</f>
        <v>-33133.78</v>
      </c>
      <c r="E63" s="15"/>
      <c r="F63" s="32">
        <f>IF(D$12=0,0,D63/D$12)</f>
        <v>0</v>
      </c>
      <c r="G63" s="15"/>
      <c r="H63" s="31">
        <f>SUM(H60:H62)</f>
        <v>-50075.959999999992</v>
      </c>
      <c r="I63" s="15"/>
      <c r="J63" s="32">
        <f>IF(H$12=0,0,H63/H$12)</f>
        <v>0</v>
      </c>
      <c r="K63" s="17"/>
      <c r="L63" s="31">
        <f>+D63-H63</f>
        <v>16942.179999999993</v>
      </c>
      <c r="M63" s="17"/>
      <c r="N63" s="32">
        <f>IF(H63=0,0,L63/H63)</f>
        <v>-0.33832960965700898</v>
      </c>
      <c r="O63" s="28"/>
      <c r="P63" s="31">
        <f>SUM(P60:P62)</f>
        <v>-409064.62000000011</v>
      </c>
      <c r="Q63" s="15"/>
      <c r="R63" s="32">
        <f>IF(P$12=0,0,P63/P$12)</f>
        <v>0</v>
      </c>
      <c r="S63" s="15"/>
      <c r="T63" s="31">
        <f>SUM(T60:T62)</f>
        <v>-456160.60000000003</v>
      </c>
      <c r="U63" s="15"/>
      <c r="V63" s="32">
        <f>IF(T$12=0,0,T63/T$12)</f>
        <v>0</v>
      </c>
      <c r="W63" s="17"/>
      <c r="X63" s="31">
        <f>+P63-T63</f>
        <v>47095.979999999923</v>
      </c>
      <c r="Y63" s="17"/>
      <c r="Z63" s="32">
        <f>IF(T63=0,0,X63/T63)</f>
        <v>-0.10324429597821451</v>
      </c>
    </row>
    <row r="64" spans="1:26" ht="15" customHeight="1" x14ac:dyDescent="0.3">
      <c r="A64" s="10"/>
      <c r="C64" s="10"/>
      <c r="D64" s="19"/>
      <c r="E64" s="19"/>
      <c r="G64" s="19"/>
      <c r="H64" s="19"/>
      <c r="I64" s="19"/>
      <c r="J64" s="40"/>
      <c r="K64" s="19"/>
      <c r="L64" s="19"/>
      <c r="M64" s="19"/>
      <c r="P64" s="19"/>
      <c r="Q64" s="19"/>
      <c r="R64" s="40"/>
      <c r="S64" s="19"/>
      <c r="T64" s="19"/>
      <c r="U64" s="19"/>
      <c r="V64" s="40"/>
      <c r="W64" s="19"/>
      <c r="X64" s="19"/>
    </row>
    <row r="65" spans="1:24" ht="15" customHeight="1" x14ac:dyDescent="0.3">
      <c r="A65" s="10"/>
      <c r="B65" s="56">
        <v>44663.03859679398</v>
      </c>
      <c r="D65" s="19"/>
      <c r="E65" s="19"/>
      <c r="G65" s="19"/>
      <c r="H65" s="19"/>
      <c r="I65" s="19"/>
      <c r="J65" s="40"/>
      <c r="K65" s="19"/>
      <c r="L65" s="19"/>
      <c r="M65" s="19"/>
      <c r="P65" s="19"/>
      <c r="Q65" s="19"/>
      <c r="R65" s="40"/>
      <c r="S65" s="19"/>
      <c r="T65" s="19"/>
      <c r="U65" s="19"/>
      <c r="V65" s="40"/>
      <c r="W65" s="19"/>
      <c r="X65" s="19"/>
    </row>
    <row r="66" spans="1:24" ht="15" customHeight="1" x14ac:dyDescent="0.3">
      <c r="A66" s="10"/>
      <c r="B66" s="57" t="s">
        <v>297</v>
      </c>
      <c r="D66" s="19"/>
      <c r="E66" s="19"/>
      <c r="G66" s="19"/>
      <c r="H66" s="19"/>
      <c r="I66" s="19"/>
      <c r="J66" s="40"/>
      <c r="K66" s="19"/>
      <c r="L66" s="19"/>
      <c r="M66" s="19"/>
      <c r="P66" s="19"/>
      <c r="Q66" s="19"/>
      <c r="R66" s="40"/>
      <c r="S66" s="19"/>
      <c r="T66" s="19"/>
      <c r="U66" s="19"/>
      <c r="V66" s="40"/>
      <c r="W66" s="19"/>
      <c r="X66" s="19"/>
    </row>
    <row r="67" spans="1:24" ht="15" customHeight="1" x14ac:dyDescent="0.3">
      <c r="A67" s="10"/>
      <c r="B67" s="58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4" ht="15" customHeight="1" x14ac:dyDescent="0.3"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2732-87C3-BAC8-0EB5-941A80A22B67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","205"," - ","Maintenance")</f>
        <v>Department 205 - Maintenance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7088.09</v>
      </c>
      <c r="E18" s="23"/>
      <c r="F18" s="35">
        <f t="shared" ref="F18:F42" si="0">IF(D$12=0,0,D18/D$12)</f>
        <v>0</v>
      </c>
      <c r="G18" s="23"/>
      <c r="H18" s="23" cm="1">
        <f t="array" ref="H18">SUM(OSRRefH22x_0)</f>
        <v>7931.51</v>
      </c>
      <c r="I18" s="23"/>
      <c r="J18" s="35">
        <f t="shared" ref="J18:J42" si="1">IF(H$12=0,0,H18/H$12)</f>
        <v>0</v>
      </c>
      <c r="K18" s="5"/>
      <c r="L18" s="23">
        <f t="shared" ref="L18:L42" si="2">+D18-H18</f>
        <v>-843.42000000000007</v>
      </c>
      <c r="M18" s="5"/>
      <c r="N18" s="35">
        <f t="shared" ref="N18:N42" si="3">IF(H18=0,0,L18/H18)</f>
        <v>-0.10633788521983835</v>
      </c>
      <c r="O18" s="11"/>
      <c r="P18" s="23" cm="1">
        <f t="array" ref="P18">SUM(OSRRefP22x_0)</f>
        <v>73552.34</v>
      </c>
      <c r="Q18" s="23"/>
      <c r="R18" s="35">
        <f t="shared" ref="R18:R42" si="4">IF(P$12=0,0,P18/P$12)</f>
        <v>0</v>
      </c>
      <c r="S18" s="23"/>
      <c r="T18" s="23" cm="1">
        <f t="array" ref="T18">SUM(OSRRefT22x_0)</f>
        <v>70378.329999999987</v>
      </c>
      <c r="U18" s="23"/>
      <c r="V18" s="35">
        <f t="shared" ref="V18:V42" si="5">IF(T$12=0,0,T18/T$12)</f>
        <v>0</v>
      </c>
      <c r="W18" s="5"/>
      <c r="X18" s="23">
        <f t="shared" ref="X18:X42" si="6">+P18-T18</f>
        <v>3174.0100000000093</v>
      </c>
      <c r="Y18" s="5"/>
      <c r="Z18" s="35">
        <f t="shared" ref="Z18:Z42" si="7">IF(T18=0,0,X18/T18)</f>
        <v>4.5099251431513221E-2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2549.3799999999997</v>
      </c>
      <c r="E19" s="2"/>
      <c r="F19" s="6">
        <f t="shared" si="0"/>
        <v>0</v>
      </c>
      <c r="G19" s="2"/>
      <c r="H19" s="2">
        <f>SUM(OSRRefH22_0x_0)</f>
        <v>2547.5399999999995</v>
      </c>
      <c r="I19" s="2"/>
      <c r="J19" s="6">
        <f t="shared" si="1"/>
        <v>0</v>
      </c>
      <c r="K19" s="2"/>
      <c r="L19" s="2">
        <f t="shared" si="2"/>
        <v>1.8400000000001455</v>
      </c>
      <c r="M19" s="2"/>
      <c r="N19" s="6">
        <f t="shared" si="3"/>
        <v>7.2226540113212972E-4</v>
      </c>
      <c r="O19" s="14"/>
      <c r="P19" s="2">
        <f>SUM(OSRRefP22_0x_0)</f>
        <v>24124.190000000002</v>
      </c>
      <c r="Q19" s="2"/>
      <c r="R19" s="6">
        <f t="shared" si="4"/>
        <v>0</v>
      </c>
      <c r="S19" s="2"/>
      <c r="T19" s="2">
        <f>SUM(OSRRefT22_0x_0)</f>
        <v>22456.63</v>
      </c>
      <c r="U19" s="2"/>
      <c r="V19" s="6">
        <f t="shared" si="5"/>
        <v>0</v>
      </c>
      <c r="W19" s="2"/>
      <c r="X19" s="2">
        <f t="shared" si="6"/>
        <v>1667.5600000000013</v>
      </c>
      <c r="Y19" s="2"/>
      <c r="Z19" s="6">
        <f t="shared" si="7"/>
        <v>7.4256912101236972E-2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341.44</v>
      </c>
      <c r="E20" s="3"/>
      <c r="F20" s="7">
        <f t="shared" si="0"/>
        <v>0</v>
      </c>
      <c r="G20" s="3"/>
      <c r="H20" s="8">
        <v>323.81</v>
      </c>
      <c r="I20" s="3"/>
      <c r="J20" s="7">
        <f t="shared" si="1"/>
        <v>0</v>
      </c>
      <c r="K20" s="3"/>
      <c r="L20" s="8">
        <f t="shared" si="2"/>
        <v>17.629999999999995</v>
      </c>
      <c r="M20" s="3"/>
      <c r="N20" s="7">
        <f t="shared" si="3"/>
        <v>5.4445508168370328E-2</v>
      </c>
      <c r="O20" s="12"/>
      <c r="P20" s="8">
        <v>3176.92</v>
      </c>
      <c r="Q20" s="3"/>
      <c r="R20" s="7">
        <f t="shared" si="4"/>
        <v>0</v>
      </c>
      <c r="S20" s="3"/>
      <c r="T20" s="8">
        <v>3027.87</v>
      </c>
      <c r="U20" s="3"/>
      <c r="V20" s="7">
        <f t="shared" si="5"/>
        <v>0</v>
      </c>
      <c r="W20" s="3"/>
      <c r="X20" s="8">
        <f t="shared" si="6"/>
        <v>149.05000000000018</v>
      </c>
      <c r="Y20" s="3"/>
      <c r="Z20" s="7">
        <f t="shared" si="7"/>
        <v>4.9226023574327891E-2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246.44</v>
      </c>
      <c r="E21" s="3"/>
      <c r="F21" s="7">
        <f t="shared" si="0"/>
        <v>0</v>
      </c>
      <c r="G21" s="3"/>
      <c r="H21" s="8">
        <v>292.88</v>
      </c>
      <c r="I21" s="3"/>
      <c r="J21" s="7">
        <f t="shared" si="1"/>
        <v>0</v>
      </c>
      <c r="K21" s="3"/>
      <c r="L21" s="8">
        <f t="shared" si="2"/>
        <v>-46.44</v>
      </c>
      <c r="M21" s="3"/>
      <c r="N21" s="7">
        <f t="shared" si="3"/>
        <v>-0.15856323408904671</v>
      </c>
      <c r="O21" s="12"/>
      <c r="P21" s="8">
        <v>2286.75</v>
      </c>
      <c r="Q21" s="3"/>
      <c r="R21" s="7">
        <f t="shared" si="4"/>
        <v>0</v>
      </c>
      <c r="S21" s="3"/>
      <c r="T21" s="8">
        <v>2741.58</v>
      </c>
      <c r="U21" s="3"/>
      <c r="V21" s="7">
        <f t="shared" si="5"/>
        <v>0</v>
      </c>
      <c r="W21" s="3"/>
      <c r="X21" s="8">
        <f t="shared" si="6"/>
        <v>-454.82999999999993</v>
      </c>
      <c r="Y21" s="3"/>
      <c r="Z21" s="7">
        <f t="shared" si="7"/>
        <v>-0.16590068500645611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694.36</v>
      </c>
      <c r="E22" s="3"/>
      <c r="F22" s="7">
        <f t="shared" si="0"/>
        <v>0</v>
      </c>
      <c r="G22" s="3"/>
      <c r="H22" s="8">
        <v>699.91</v>
      </c>
      <c r="I22" s="3"/>
      <c r="J22" s="7">
        <f t="shared" si="1"/>
        <v>0</v>
      </c>
      <c r="K22" s="3"/>
      <c r="L22" s="8">
        <f t="shared" si="2"/>
        <v>-5.5499999999999545</v>
      </c>
      <c r="M22" s="3"/>
      <c r="N22" s="7">
        <f t="shared" si="3"/>
        <v>-7.92959094740746E-3</v>
      </c>
      <c r="O22" s="12"/>
      <c r="P22" s="8">
        <v>6271.29</v>
      </c>
      <c r="Q22" s="3"/>
      <c r="R22" s="7">
        <f t="shared" si="4"/>
        <v>0</v>
      </c>
      <c r="S22" s="3"/>
      <c r="T22" s="8">
        <v>6276.69</v>
      </c>
      <c r="U22" s="3"/>
      <c r="V22" s="7">
        <f t="shared" si="5"/>
        <v>0</v>
      </c>
      <c r="W22" s="3"/>
      <c r="X22" s="8">
        <f t="shared" si="6"/>
        <v>-5.3999999999996362</v>
      </c>
      <c r="Y22" s="3"/>
      <c r="Z22" s="7">
        <f t="shared" si="7"/>
        <v>-8.6032606357803814E-4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11.59</v>
      </c>
      <c r="E23" s="3"/>
      <c r="F23" s="7">
        <f t="shared" si="0"/>
        <v>0</v>
      </c>
      <c r="G23" s="3"/>
      <c r="H23" s="8">
        <v>10.99</v>
      </c>
      <c r="I23" s="3"/>
      <c r="J23" s="7">
        <f t="shared" si="1"/>
        <v>0</v>
      </c>
      <c r="K23" s="3"/>
      <c r="L23" s="8">
        <f t="shared" si="2"/>
        <v>0.59999999999999964</v>
      </c>
      <c r="M23" s="3"/>
      <c r="N23" s="7">
        <f t="shared" si="3"/>
        <v>5.4595086442220164E-2</v>
      </c>
      <c r="O23" s="12"/>
      <c r="P23" s="8">
        <v>107.51</v>
      </c>
      <c r="Q23" s="3"/>
      <c r="R23" s="7">
        <f t="shared" si="4"/>
        <v>0</v>
      </c>
      <c r="S23" s="3"/>
      <c r="T23" s="8">
        <v>102.87</v>
      </c>
      <c r="U23" s="3"/>
      <c r="V23" s="7">
        <f t="shared" si="5"/>
        <v>0</v>
      </c>
      <c r="W23" s="3"/>
      <c r="X23" s="8">
        <f t="shared" si="6"/>
        <v>4.6400000000000006</v>
      </c>
      <c r="Y23" s="3"/>
      <c r="Z23" s="7">
        <f t="shared" si="7"/>
        <v>4.5105472926995238E-2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451.45</v>
      </c>
      <c r="E24" s="3"/>
      <c r="F24" s="7">
        <f t="shared" si="0"/>
        <v>0</v>
      </c>
      <c r="G24" s="3"/>
      <c r="H24" s="8">
        <v>463.27</v>
      </c>
      <c r="I24" s="3"/>
      <c r="J24" s="7">
        <f t="shared" si="1"/>
        <v>0</v>
      </c>
      <c r="K24" s="3"/>
      <c r="L24" s="8">
        <f t="shared" si="2"/>
        <v>-11.819999999999993</v>
      </c>
      <c r="M24" s="3"/>
      <c r="N24" s="7">
        <f t="shared" si="3"/>
        <v>-2.551427893021347E-2</v>
      </c>
      <c r="O24" s="12"/>
      <c r="P24" s="8">
        <v>4408.4799999999996</v>
      </c>
      <c r="Q24" s="3"/>
      <c r="R24" s="7">
        <f t="shared" si="4"/>
        <v>0</v>
      </c>
      <c r="S24" s="3"/>
      <c r="T24" s="8">
        <v>4632.71</v>
      </c>
      <c r="U24" s="3"/>
      <c r="V24" s="7">
        <f t="shared" si="5"/>
        <v>0</v>
      </c>
      <c r="W24" s="3"/>
      <c r="X24" s="8">
        <f t="shared" si="6"/>
        <v>-224.23000000000047</v>
      </c>
      <c r="Y24" s="3"/>
      <c r="Z24" s="7">
        <f t="shared" si="7"/>
        <v>-4.8401475594198745E-2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>
        <v>403.46</v>
      </c>
      <c r="E25" s="3"/>
      <c r="F25" s="7">
        <f t="shared" si="0"/>
        <v>0</v>
      </c>
      <c r="G25" s="3"/>
      <c r="H25" s="8">
        <v>387.96</v>
      </c>
      <c r="I25" s="3"/>
      <c r="J25" s="7">
        <f t="shared" si="1"/>
        <v>0</v>
      </c>
      <c r="K25" s="3"/>
      <c r="L25" s="8">
        <f t="shared" si="2"/>
        <v>15.5</v>
      </c>
      <c r="M25" s="3"/>
      <c r="N25" s="7">
        <f t="shared" si="3"/>
        <v>3.9952572430147437E-2</v>
      </c>
      <c r="O25" s="12"/>
      <c r="P25" s="8">
        <v>3712.23</v>
      </c>
      <c r="Q25" s="3"/>
      <c r="R25" s="7">
        <f t="shared" si="4"/>
        <v>0</v>
      </c>
      <c r="S25" s="3"/>
      <c r="T25" s="8">
        <v>2585.7800000000002</v>
      </c>
      <c r="U25" s="3"/>
      <c r="V25" s="7">
        <f t="shared" si="5"/>
        <v>0</v>
      </c>
      <c r="W25" s="3"/>
      <c r="X25" s="8">
        <f t="shared" si="6"/>
        <v>1126.4499999999998</v>
      </c>
      <c r="Y25" s="3"/>
      <c r="Z25" s="7">
        <f t="shared" si="7"/>
        <v>0.43563257508372705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>
        <v>201.46</v>
      </c>
      <c r="E26" s="3"/>
      <c r="F26" s="7">
        <f t="shared" si="0"/>
        <v>0</v>
      </c>
      <c r="G26" s="3"/>
      <c r="H26" s="8">
        <v>193.72</v>
      </c>
      <c r="I26" s="3"/>
      <c r="J26" s="7">
        <f t="shared" si="1"/>
        <v>0</v>
      </c>
      <c r="K26" s="3"/>
      <c r="L26" s="8">
        <f t="shared" si="2"/>
        <v>7.7400000000000091</v>
      </c>
      <c r="M26" s="3"/>
      <c r="N26" s="7">
        <f t="shared" si="3"/>
        <v>3.9954573611397939E-2</v>
      </c>
      <c r="O26" s="12"/>
      <c r="P26" s="8">
        <v>2633.31</v>
      </c>
      <c r="Q26" s="3"/>
      <c r="R26" s="7">
        <f t="shared" si="4"/>
        <v>0</v>
      </c>
      <c r="S26" s="3"/>
      <c r="T26" s="8">
        <v>1840.34</v>
      </c>
      <c r="U26" s="3"/>
      <c r="V26" s="7">
        <f t="shared" si="5"/>
        <v>0</v>
      </c>
      <c r="W26" s="3"/>
      <c r="X26" s="8">
        <f t="shared" si="6"/>
        <v>792.97</v>
      </c>
      <c r="Y26" s="3"/>
      <c r="Z26" s="7">
        <f t="shared" si="7"/>
        <v>0.43088233695947492</v>
      </c>
    </row>
    <row r="27" spans="1:26" s="69" customFormat="1" ht="15" hidden="1" customHeight="1" outlineLevel="2" x14ac:dyDescent="0.3">
      <c r="A27" s="25"/>
      <c r="B27" s="12" t="str">
        <f>CONCATENATE("          ","6156"," - ","EMPLOYEE MEALS")</f>
        <v xml:space="preserve">          6156 - EMPLOYEE MEALS</v>
      </c>
      <c r="C27" s="12"/>
      <c r="D27" s="8">
        <v>199.18</v>
      </c>
      <c r="E27" s="3"/>
      <c r="F27" s="7">
        <f t="shared" si="0"/>
        <v>0</v>
      </c>
      <c r="G27" s="3"/>
      <c r="H27" s="8">
        <v>175</v>
      </c>
      <c r="I27" s="3"/>
      <c r="J27" s="7">
        <f t="shared" si="1"/>
        <v>0</v>
      </c>
      <c r="K27" s="3"/>
      <c r="L27" s="8">
        <f t="shared" si="2"/>
        <v>24.180000000000007</v>
      </c>
      <c r="M27" s="3"/>
      <c r="N27" s="7">
        <f t="shared" si="3"/>
        <v>0.13817142857142861</v>
      </c>
      <c r="O27" s="12"/>
      <c r="P27" s="8">
        <v>1527.7</v>
      </c>
      <c r="Q27" s="3"/>
      <c r="R27" s="7">
        <f t="shared" si="4"/>
        <v>0</v>
      </c>
      <c r="S27" s="3"/>
      <c r="T27" s="8">
        <v>1248.79</v>
      </c>
      <c r="U27" s="3"/>
      <c r="V27" s="7">
        <f t="shared" si="5"/>
        <v>0</v>
      </c>
      <c r="W27" s="3"/>
      <c r="X27" s="8">
        <f t="shared" si="6"/>
        <v>278.91000000000008</v>
      </c>
      <c r="Y27" s="3"/>
      <c r="Z27" s="7">
        <f t="shared" si="7"/>
        <v>0.2233441971828731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3951.43</v>
      </c>
      <c r="E28" s="2"/>
      <c r="F28" s="6">
        <f t="shared" si="0"/>
        <v>0</v>
      </c>
      <c r="G28" s="2"/>
      <c r="H28" s="2">
        <f>SUM(OSRRefH22_1x_0)</f>
        <v>4294.43</v>
      </c>
      <c r="I28" s="2"/>
      <c r="J28" s="6">
        <f t="shared" si="1"/>
        <v>0</v>
      </c>
      <c r="K28" s="2"/>
      <c r="L28" s="2">
        <f t="shared" si="2"/>
        <v>-343.00000000000045</v>
      </c>
      <c r="M28" s="2"/>
      <c r="N28" s="6">
        <f t="shared" si="3"/>
        <v>-7.9870902541198815E-2</v>
      </c>
      <c r="O28" s="14"/>
      <c r="P28" s="2">
        <f>SUM(OSRRefP22_1x_0)</f>
        <v>38268.559999999998</v>
      </c>
      <c r="Q28" s="2"/>
      <c r="R28" s="6">
        <f t="shared" si="4"/>
        <v>0</v>
      </c>
      <c r="S28" s="2"/>
      <c r="T28" s="2">
        <f>SUM(OSRRefT22_1x_0)</f>
        <v>38042.39</v>
      </c>
      <c r="U28" s="2"/>
      <c r="V28" s="6">
        <f t="shared" si="5"/>
        <v>0</v>
      </c>
      <c r="W28" s="2"/>
      <c r="X28" s="2">
        <f t="shared" si="6"/>
        <v>226.16999999999825</v>
      </c>
      <c r="Y28" s="2"/>
      <c r="Z28" s="6">
        <f t="shared" si="7"/>
        <v>5.9452100669804987E-3</v>
      </c>
    </row>
    <row r="29" spans="1:26" s="69" customFormat="1" ht="15" hidden="1" customHeight="1" outlineLevel="2" x14ac:dyDescent="0.3">
      <c r="A29" s="25"/>
      <c r="B29" s="12" t="str">
        <f>CONCATENATE("          ","6002"," - ","STAFF SALARIES")</f>
        <v xml:space="preserve">          6002 - STAFF SALARIES</v>
      </c>
      <c r="C29" s="12"/>
      <c r="D29" s="8">
        <v>3951.43</v>
      </c>
      <c r="E29" s="3"/>
      <c r="F29" s="7">
        <f t="shared" si="0"/>
        <v>0</v>
      </c>
      <c r="G29" s="3"/>
      <c r="H29" s="8">
        <v>4294.43</v>
      </c>
      <c r="I29" s="3"/>
      <c r="J29" s="7">
        <f t="shared" si="1"/>
        <v>0</v>
      </c>
      <c r="K29" s="3"/>
      <c r="L29" s="8">
        <f t="shared" si="2"/>
        <v>-343.00000000000045</v>
      </c>
      <c r="M29" s="3"/>
      <c r="N29" s="7">
        <f t="shared" si="3"/>
        <v>-7.9870902541198815E-2</v>
      </c>
      <c r="O29" s="12"/>
      <c r="P29" s="8">
        <v>38268.559999999998</v>
      </c>
      <c r="Q29" s="3"/>
      <c r="R29" s="7">
        <f t="shared" si="4"/>
        <v>0</v>
      </c>
      <c r="S29" s="3"/>
      <c r="T29" s="8">
        <v>38042.39</v>
      </c>
      <c r="U29" s="3"/>
      <c r="V29" s="7">
        <f t="shared" si="5"/>
        <v>0</v>
      </c>
      <c r="W29" s="3"/>
      <c r="X29" s="8">
        <f t="shared" si="6"/>
        <v>226.16999999999825</v>
      </c>
      <c r="Y29" s="3"/>
      <c r="Z29" s="7">
        <f t="shared" si="7"/>
        <v>5.9452100669804987E-3</v>
      </c>
    </row>
    <row r="30" spans="1:26" s="68" customFormat="1" ht="15" customHeight="1" outlineLevel="1" collapsed="1" x14ac:dyDescent="0.3">
      <c r="A30" s="26"/>
      <c r="B30" s="14" t="str">
        <f>CONCATENATE("     ","General                                           ")</f>
        <v xml:space="preserve">     General                                           </v>
      </c>
      <c r="C30" s="14"/>
      <c r="D30" s="2">
        <f>SUM(OSRRefD22_2x_0)</f>
        <v>-706.65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-706.65</v>
      </c>
      <c r="M30" s="2"/>
      <c r="N30" s="6">
        <f t="shared" si="3"/>
        <v>0</v>
      </c>
      <c r="O30" s="14"/>
      <c r="P30" s="2">
        <f>SUM(OSRRefP22_2x_0)</f>
        <v>-1613.22</v>
      </c>
      <c r="Q30" s="2"/>
      <c r="R30" s="6">
        <f t="shared" si="4"/>
        <v>0</v>
      </c>
      <c r="S30" s="2"/>
      <c r="T30" s="2">
        <f>SUM(OSRRefT22_2x_0)</f>
        <v>-238.8</v>
      </c>
      <c r="U30" s="2"/>
      <c r="V30" s="6">
        <f t="shared" si="5"/>
        <v>0</v>
      </c>
      <c r="W30" s="2"/>
      <c r="X30" s="2">
        <f t="shared" si="6"/>
        <v>-1374.42</v>
      </c>
      <c r="Y30" s="2"/>
      <c r="Z30" s="6">
        <f t="shared" si="7"/>
        <v>5.755527638190955</v>
      </c>
    </row>
    <row r="31" spans="1:26" s="69" customFormat="1" ht="15" hidden="1" customHeight="1" outlineLevel="2" x14ac:dyDescent="0.3">
      <c r="A31" s="25"/>
      <c r="B31" s="12" t="str">
        <f>CONCATENATE("          ","6279"," - ","GENERAL EXPENSE")</f>
        <v xml:space="preserve">          6279 - GENERAL EXPENSE</v>
      </c>
      <c r="C31" s="12"/>
      <c r="D31" s="8">
        <v>-706.65</v>
      </c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-706.65</v>
      </c>
      <c r="M31" s="3"/>
      <c r="N31" s="7">
        <f t="shared" si="3"/>
        <v>0</v>
      </c>
      <c r="O31" s="12"/>
      <c r="P31" s="8">
        <v>-1613.22</v>
      </c>
      <c r="Q31" s="3"/>
      <c r="R31" s="7">
        <f t="shared" si="4"/>
        <v>0</v>
      </c>
      <c r="S31" s="3"/>
      <c r="T31" s="8">
        <v>-238.8</v>
      </c>
      <c r="U31" s="3"/>
      <c r="V31" s="7">
        <f t="shared" si="5"/>
        <v>0</v>
      </c>
      <c r="W31" s="3"/>
      <c r="X31" s="8">
        <f t="shared" si="6"/>
        <v>-1374.42</v>
      </c>
      <c r="Y31" s="3"/>
      <c r="Z31" s="7">
        <f t="shared" si="7"/>
        <v>5.755527638190955</v>
      </c>
    </row>
    <row r="32" spans="1:26" s="68" customFormat="1" ht="15" customHeight="1" outlineLevel="1" collapsed="1" x14ac:dyDescent="0.3">
      <c r="A32" s="26"/>
      <c r="B32" s="14" t="str">
        <f>CONCATENATE("     ","Insurance                                         ")</f>
        <v xml:space="preserve">     Insurance                                         </v>
      </c>
      <c r="C32" s="14"/>
      <c r="D32" s="2">
        <f>SUM(OSRRefD22_3x_0)</f>
        <v>33.380000000000003</v>
      </c>
      <c r="E32" s="2"/>
      <c r="F32" s="6">
        <f t="shared" si="0"/>
        <v>0</v>
      </c>
      <c r="G32" s="2"/>
      <c r="H32" s="2">
        <f>SUM(OSRRefH22_3x_0)</f>
        <v>24.56</v>
      </c>
      <c r="I32" s="2"/>
      <c r="J32" s="6">
        <f t="shared" si="1"/>
        <v>0</v>
      </c>
      <c r="K32" s="2"/>
      <c r="L32" s="2">
        <f t="shared" si="2"/>
        <v>8.8200000000000038</v>
      </c>
      <c r="M32" s="2"/>
      <c r="N32" s="6">
        <f t="shared" si="3"/>
        <v>0.3591205211726386</v>
      </c>
      <c r="O32" s="14"/>
      <c r="P32" s="2">
        <f>SUM(OSRRefP22_3x_0)</f>
        <v>300.42</v>
      </c>
      <c r="Q32" s="2"/>
      <c r="R32" s="6">
        <f t="shared" si="4"/>
        <v>0</v>
      </c>
      <c r="S32" s="2"/>
      <c r="T32" s="2">
        <f>SUM(OSRRefT22_3x_0)</f>
        <v>221.04</v>
      </c>
      <c r="U32" s="2"/>
      <c r="V32" s="6">
        <f t="shared" si="5"/>
        <v>0</v>
      </c>
      <c r="W32" s="2"/>
      <c r="X32" s="2">
        <f t="shared" si="6"/>
        <v>79.380000000000024</v>
      </c>
      <c r="Y32" s="2"/>
      <c r="Z32" s="6">
        <f t="shared" si="7"/>
        <v>0.35912052117263854</v>
      </c>
    </row>
    <row r="33" spans="1:26" s="69" customFormat="1" ht="15" hidden="1" customHeight="1" outlineLevel="2" x14ac:dyDescent="0.3">
      <c r="A33" s="25"/>
      <c r="B33" s="12" t="str">
        <f>CONCATENATE("          ","6314"," - ","LIABILITY INSURANCE")</f>
        <v xml:space="preserve">          6314 - LIABILITY INSURANCE</v>
      </c>
      <c r="C33" s="12"/>
      <c r="D33" s="8">
        <v>33.380000000000003</v>
      </c>
      <c r="E33" s="3"/>
      <c r="F33" s="7">
        <f t="shared" si="0"/>
        <v>0</v>
      </c>
      <c r="G33" s="3"/>
      <c r="H33" s="8">
        <v>24.56</v>
      </c>
      <c r="I33" s="3"/>
      <c r="J33" s="7">
        <f t="shared" si="1"/>
        <v>0</v>
      </c>
      <c r="K33" s="3"/>
      <c r="L33" s="8">
        <f t="shared" si="2"/>
        <v>8.8200000000000038</v>
      </c>
      <c r="M33" s="3"/>
      <c r="N33" s="7">
        <f t="shared" si="3"/>
        <v>0.3591205211726386</v>
      </c>
      <c r="O33" s="12"/>
      <c r="P33" s="8">
        <v>300.42</v>
      </c>
      <c r="Q33" s="3"/>
      <c r="R33" s="7">
        <f t="shared" si="4"/>
        <v>0</v>
      </c>
      <c r="S33" s="3"/>
      <c r="T33" s="8">
        <v>221.04</v>
      </c>
      <c r="U33" s="3"/>
      <c r="V33" s="7">
        <f t="shared" si="5"/>
        <v>0</v>
      </c>
      <c r="W33" s="3"/>
      <c r="X33" s="8">
        <f t="shared" si="6"/>
        <v>79.380000000000024</v>
      </c>
      <c r="Y33" s="3"/>
      <c r="Z33" s="7">
        <f t="shared" si="7"/>
        <v>0.35912052117263854</v>
      </c>
    </row>
    <row r="34" spans="1:26" s="68" customFormat="1" ht="15" customHeight="1" outlineLevel="1" collapsed="1" x14ac:dyDescent="0.3">
      <c r="A34" s="26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946.3</v>
      </c>
      <c r="E34" s="2"/>
      <c r="F34" s="6">
        <f t="shared" si="0"/>
        <v>0</v>
      </c>
      <c r="G34" s="2"/>
      <c r="H34" s="2">
        <f>SUM(OSRRefH22_4x_0)</f>
        <v>891.98</v>
      </c>
      <c r="I34" s="2"/>
      <c r="J34" s="6">
        <f t="shared" si="1"/>
        <v>0</v>
      </c>
      <c r="K34" s="2"/>
      <c r="L34" s="2">
        <f t="shared" si="2"/>
        <v>54.319999999999936</v>
      </c>
      <c r="M34" s="2"/>
      <c r="N34" s="6">
        <f t="shared" si="3"/>
        <v>6.0898226417632609E-2</v>
      </c>
      <c r="O34" s="14"/>
      <c r="P34" s="2">
        <f>SUM(OSRRefP22_4x_0)</f>
        <v>11187.84</v>
      </c>
      <c r="Q34" s="2"/>
      <c r="R34" s="6">
        <f t="shared" si="4"/>
        <v>0</v>
      </c>
      <c r="S34" s="2"/>
      <c r="T34" s="2">
        <f>SUM(OSRRefT22_4x_0)</f>
        <v>9176.23</v>
      </c>
      <c r="U34" s="2"/>
      <c r="V34" s="6">
        <f t="shared" si="5"/>
        <v>0</v>
      </c>
      <c r="W34" s="2"/>
      <c r="X34" s="2">
        <f t="shared" si="6"/>
        <v>2011.6100000000006</v>
      </c>
      <c r="Y34" s="2"/>
      <c r="Z34" s="6">
        <f t="shared" si="7"/>
        <v>0.21921965774615509</v>
      </c>
    </row>
    <row r="35" spans="1:26" s="69" customFormat="1" ht="15" hidden="1" customHeight="1" outlineLevel="2" x14ac:dyDescent="0.3">
      <c r="A35" s="25"/>
      <c r="B35" s="12" t="str">
        <f>CONCATENATE("          ","6373"," - ","MAINTENANCE CONTRACTS")</f>
        <v xml:space="preserve">          6373 - MAINTENANCE CONTRACTS</v>
      </c>
      <c r="C35" s="12"/>
      <c r="D35" s="8">
        <v>946.3</v>
      </c>
      <c r="E35" s="3"/>
      <c r="F35" s="7">
        <f t="shared" si="0"/>
        <v>0</v>
      </c>
      <c r="G35" s="3"/>
      <c r="H35" s="8">
        <v>891.98</v>
      </c>
      <c r="I35" s="3"/>
      <c r="J35" s="7">
        <f t="shared" si="1"/>
        <v>0</v>
      </c>
      <c r="K35" s="3"/>
      <c r="L35" s="8">
        <f t="shared" si="2"/>
        <v>54.319999999999936</v>
      </c>
      <c r="M35" s="3"/>
      <c r="N35" s="7">
        <f t="shared" si="3"/>
        <v>6.0898226417632609E-2</v>
      </c>
      <c r="O35" s="12"/>
      <c r="P35" s="8">
        <v>11099.58</v>
      </c>
      <c r="Q35" s="3"/>
      <c r="R35" s="7">
        <f t="shared" si="4"/>
        <v>0</v>
      </c>
      <c r="S35" s="3"/>
      <c r="T35" s="8">
        <v>7005.94</v>
      </c>
      <c r="U35" s="3"/>
      <c r="V35" s="7">
        <f t="shared" si="5"/>
        <v>0</v>
      </c>
      <c r="W35" s="3"/>
      <c r="X35" s="8">
        <f t="shared" si="6"/>
        <v>4093.6400000000003</v>
      </c>
      <c r="Y35" s="3"/>
      <c r="Z35" s="7">
        <f t="shared" si="7"/>
        <v>0.58430988561135278</v>
      </c>
    </row>
    <row r="36" spans="1:26" s="69" customFormat="1" ht="15" hidden="1" customHeight="1" outlineLevel="2" x14ac:dyDescent="0.3">
      <c r="A36" s="25"/>
      <c r="B36" s="12" t="str">
        <f>CONCATENATE("          ","6375"," - ","OUTSIDE REPAIRS &amp; MAINTENANCE")</f>
        <v xml:space="preserve">          6375 - OUTSIDE REPAIRS &amp; MAINTENANCE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88.26</v>
      </c>
      <c r="Q36" s="3"/>
      <c r="R36" s="7">
        <f t="shared" si="4"/>
        <v>0</v>
      </c>
      <c r="S36" s="3"/>
      <c r="T36" s="8">
        <v>2170.29</v>
      </c>
      <c r="U36" s="3"/>
      <c r="V36" s="7">
        <f t="shared" si="5"/>
        <v>0</v>
      </c>
      <c r="W36" s="3"/>
      <c r="X36" s="8">
        <f t="shared" si="6"/>
        <v>-2082.0299999999997</v>
      </c>
      <c r="Y36" s="3"/>
      <c r="Z36" s="7">
        <f t="shared" si="7"/>
        <v>-0.95933262375074291</v>
      </c>
    </row>
    <row r="37" spans="1:26" s="68" customFormat="1" ht="15" customHeight="1" outlineLevel="1" collapsed="1" x14ac:dyDescent="0.3">
      <c r="A37" s="26"/>
      <c r="B37" s="14" t="str">
        <f>CONCATENATE("     ","Supplies                                          ")</f>
        <v xml:space="preserve">     Supplies                                          </v>
      </c>
      <c r="C37" s="14"/>
      <c r="D37" s="2">
        <f>SUM(OSRRefD22_5x_0)</f>
        <v>216.25</v>
      </c>
      <c r="E37" s="2"/>
      <c r="F37" s="6">
        <f t="shared" si="0"/>
        <v>0</v>
      </c>
      <c r="G37" s="2"/>
      <c r="H37" s="2">
        <f>SUM(OSRRefH22_5x_0)</f>
        <v>0</v>
      </c>
      <c r="I37" s="2"/>
      <c r="J37" s="6">
        <f t="shared" si="1"/>
        <v>0</v>
      </c>
      <c r="K37" s="2"/>
      <c r="L37" s="2">
        <f t="shared" si="2"/>
        <v>216.25</v>
      </c>
      <c r="M37" s="2"/>
      <c r="N37" s="6">
        <f t="shared" si="3"/>
        <v>0</v>
      </c>
      <c r="O37" s="14"/>
      <c r="P37" s="2">
        <f>SUM(OSRRefP22_5x_0)</f>
        <v>452.54999999999995</v>
      </c>
      <c r="Q37" s="2"/>
      <c r="R37" s="6">
        <f t="shared" si="4"/>
        <v>0</v>
      </c>
      <c r="S37" s="2"/>
      <c r="T37" s="2">
        <f>SUM(OSRRefT22_5x_0)</f>
        <v>84.84</v>
      </c>
      <c r="U37" s="2"/>
      <c r="V37" s="6">
        <f t="shared" si="5"/>
        <v>0</v>
      </c>
      <c r="W37" s="2"/>
      <c r="X37" s="2">
        <f t="shared" si="6"/>
        <v>367.70999999999992</v>
      </c>
      <c r="Y37" s="2"/>
      <c r="Z37" s="6">
        <f t="shared" si="7"/>
        <v>4.3341584158415829</v>
      </c>
    </row>
    <row r="38" spans="1:26" s="69" customFormat="1" ht="15" hidden="1" customHeight="1" outlineLevel="2" x14ac:dyDescent="0.3">
      <c r="A38" s="25"/>
      <c r="B38" s="12" t="str">
        <f>CONCATENATE("          ","6234"," - ","EXPENDABLE SUPPLIES &amp; EQUIPMEN")</f>
        <v xml:space="preserve">          6234 - EXPENDABLE SUPPLIES &amp; EQUIPMEN</v>
      </c>
      <c r="C38" s="12"/>
      <c r="D38" s="8">
        <v>216.25</v>
      </c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216.25</v>
      </c>
      <c r="M38" s="3"/>
      <c r="N38" s="7">
        <f t="shared" si="3"/>
        <v>0</v>
      </c>
      <c r="O38" s="12"/>
      <c r="P38" s="8">
        <v>242.35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242.35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5"/>
      <c r="B39" s="12" t="str">
        <f>CONCATENATE("          ","6235"," - ","COVID-19 EXPENSES")</f>
        <v xml:space="preserve">          6235 - COVID-19 EXPENSES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66.12</v>
      </c>
      <c r="U39" s="3"/>
      <c r="V39" s="7">
        <f t="shared" si="5"/>
        <v>0</v>
      </c>
      <c r="W39" s="3"/>
      <c r="X39" s="8">
        <f t="shared" si="6"/>
        <v>-66.12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5"/>
      <c r="B40" s="12" t="str">
        <f>CONCATENATE("          ","6241"," - ","OFFICE EXPENSE")</f>
        <v xml:space="preserve">          6241 - OFFICE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210.2</v>
      </c>
      <c r="Q40" s="3"/>
      <c r="R40" s="7">
        <f t="shared" si="4"/>
        <v>0</v>
      </c>
      <c r="S40" s="3"/>
      <c r="T40" s="8">
        <v>18.72</v>
      </c>
      <c r="U40" s="3"/>
      <c r="V40" s="7">
        <f t="shared" si="5"/>
        <v>0</v>
      </c>
      <c r="W40" s="3"/>
      <c r="X40" s="8">
        <f t="shared" si="6"/>
        <v>191.48</v>
      </c>
      <c r="Y40" s="3"/>
      <c r="Z40" s="7">
        <f t="shared" si="7"/>
        <v>10.228632478632479</v>
      </c>
    </row>
    <row r="41" spans="1:26" s="68" customFormat="1" ht="15" customHeight="1" outlineLevel="1" collapsed="1" x14ac:dyDescent="0.3">
      <c r="A41" s="26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98</v>
      </c>
      <c r="E41" s="2"/>
      <c r="F41" s="6">
        <f t="shared" si="0"/>
        <v>0</v>
      </c>
      <c r="G41" s="2"/>
      <c r="H41" s="2">
        <f>SUM(OSRRefH22_6x_0)</f>
        <v>173</v>
      </c>
      <c r="I41" s="2"/>
      <c r="J41" s="6">
        <f t="shared" si="1"/>
        <v>0</v>
      </c>
      <c r="K41" s="2"/>
      <c r="L41" s="2">
        <f t="shared" si="2"/>
        <v>-75</v>
      </c>
      <c r="M41" s="2"/>
      <c r="N41" s="6">
        <f t="shared" si="3"/>
        <v>-0.43352601156069365</v>
      </c>
      <c r="O41" s="14"/>
      <c r="P41" s="2">
        <f>SUM(OSRRefP22_6x_0)</f>
        <v>832</v>
      </c>
      <c r="Q41" s="2"/>
      <c r="R41" s="6">
        <f t="shared" si="4"/>
        <v>0</v>
      </c>
      <c r="S41" s="2"/>
      <c r="T41" s="2">
        <f>SUM(OSRRefT22_6x_0)</f>
        <v>636</v>
      </c>
      <c r="U41" s="2"/>
      <c r="V41" s="6">
        <f t="shared" si="5"/>
        <v>0</v>
      </c>
      <c r="W41" s="2"/>
      <c r="X41" s="2">
        <f t="shared" si="6"/>
        <v>196</v>
      </c>
      <c r="Y41" s="2"/>
      <c r="Z41" s="6">
        <f t="shared" si="7"/>
        <v>0.3081761006289308</v>
      </c>
    </row>
    <row r="42" spans="1:26" s="69" customFormat="1" ht="15" hidden="1" customHeight="1" outlineLevel="2" x14ac:dyDescent="0.3">
      <c r="A42" s="25"/>
      <c r="B42" s="12" t="str">
        <f>CONCATENATE("          ","6309"," - ","TELEPHONE")</f>
        <v xml:space="preserve">          6309 - TELEPHONE</v>
      </c>
      <c r="C42" s="12"/>
      <c r="D42" s="8">
        <v>98</v>
      </c>
      <c r="E42" s="3"/>
      <c r="F42" s="7">
        <f t="shared" si="0"/>
        <v>0</v>
      </c>
      <c r="G42" s="3"/>
      <c r="H42" s="8">
        <v>173</v>
      </c>
      <c r="I42" s="3"/>
      <c r="J42" s="7">
        <f t="shared" si="1"/>
        <v>0</v>
      </c>
      <c r="K42" s="3"/>
      <c r="L42" s="8">
        <f t="shared" si="2"/>
        <v>-75</v>
      </c>
      <c r="M42" s="3"/>
      <c r="N42" s="7">
        <f t="shared" si="3"/>
        <v>-0.43352601156069365</v>
      </c>
      <c r="O42" s="12"/>
      <c r="P42" s="8">
        <v>832</v>
      </c>
      <c r="Q42" s="3"/>
      <c r="R42" s="7">
        <f t="shared" si="4"/>
        <v>0</v>
      </c>
      <c r="S42" s="3"/>
      <c r="T42" s="8">
        <v>636</v>
      </c>
      <c r="U42" s="3"/>
      <c r="V42" s="7">
        <f t="shared" si="5"/>
        <v>0</v>
      </c>
      <c r="W42" s="3"/>
      <c r="X42" s="8">
        <f t="shared" si="6"/>
        <v>196</v>
      </c>
      <c r="Y42" s="3"/>
      <c r="Z42" s="7">
        <f t="shared" si="7"/>
        <v>0.3081761006289308</v>
      </c>
    </row>
    <row r="43" spans="1:26" s="64" customFormat="1" ht="15" customHeight="1" x14ac:dyDescent="0.3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3">
      <c r="A44" s="11"/>
      <c r="B44" s="28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3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11"/>
      <c r="B46" s="27" t="s">
        <v>291</v>
      </c>
      <c r="C46" s="27"/>
      <c r="D46" s="22">
        <f>+D16-D18+D44</f>
        <v>-7088.09</v>
      </c>
      <c r="E46" s="15"/>
      <c r="F46" s="21">
        <f>IF(D$12=0,0,D46/D$12)</f>
        <v>0</v>
      </c>
      <c r="G46" s="15"/>
      <c r="H46" s="22">
        <f>+H16-H18+H44</f>
        <v>-7931.51</v>
      </c>
      <c r="I46" s="15"/>
      <c r="J46" s="21">
        <f>IF(H$12=0,0,H46/H$12)</f>
        <v>0</v>
      </c>
      <c r="K46" s="17"/>
      <c r="L46" s="22">
        <f>+D46-H46</f>
        <v>843.42000000000007</v>
      </c>
      <c r="M46" s="17"/>
      <c r="N46" s="21">
        <f>IF(H46=0,0,L46/H46)</f>
        <v>-0.10633788521983835</v>
      </c>
      <c r="O46" s="28"/>
      <c r="P46" s="22">
        <f>+P16-P18+P44</f>
        <v>-73552.34</v>
      </c>
      <c r="Q46" s="15"/>
      <c r="R46" s="21">
        <f>IF(P$12=0,0,P46/P$12)</f>
        <v>0</v>
      </c>
      <c r="S46" s="15"/>
      <c r="T46" s="22">
        <f>+T16-T18+T44</f>
        <v>-70378.329999999987</v>
      </c>
      <c r="U46" s="15"/>
      <c r="V46" s="21">
        <f>IF(T$12=0,0,T46/T$12)</f>
        <v>0</v>
      </c>
      <c r="W46" s="17"/>
      <c r="X46" s="22">
        <f>+P46-T46</f>
        <v>-3174.0100000000093</v>
      </c>
      <c r="Y46" s="17"/>
      <c r="Z46" s="21">
        <f>IF(T46=0,0,X46/T46)</f>
        <v>4.5099251431513221E-2</v>
      </c>
    </row>
    <row r="47" spans="1:26" ht="15" customHeight="1" x14ac:dyDescent="0.3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7" t="s">
        <v>293</v>
      </c>
      <c r="C50" s="27"/>
      <c r="D50" s="34">
        <f>+D46-D48</f>
        <v>-7088.09</v>
      </c>
      <c r="E50" s="15"/>
      <c r="F50" s="33">
        <f>IF(D$12=0,0,D50/D$12)</f>
        <v>0</v>
      </c>
      <c r="G50" s="15"/>
      <c r="H50" s="34">
        <f>+H46-H48</f>
        <v>-7931.51</v>
      </c>
      <c r="I50" s="15"/>
      <c r="J50" s="33">
        <f>IF(H$12=0,0,H50/H$12)</f>
        <v>0</v>
      </c>
      <c r="K50" s="17"/>
      <c r="L50" s="34">
        <f>D50-H50</f>
        <v>843.42000000000007</v>
      </c>
      <c r="M50" s="17"/>
      <c r="N50" s="33">
        <f>IF(H50=0,0,L50/H50)</f>
        <v>-0.10633788521983835</v>
      </c>
      <c r="O50" s="28"/>
      <c r="P50" s="34">
        <f>+P46-P48</f>
        <v>-73552.34</v>
      </c>
      <c r="Q50" s="15"/>
      <c r="R50" s="33">
        <f>IF(P$12=0,0,P50/P$12)</f>
        <v>0</v>
      </c>
      <c r="S50" s="15"/>
      <c r="T50" s="34">
        <f>+T46-T48</f>
        <v>-70378.329999999987</v>
      </c>
      <c r="U50" s="15"/>
      <c r="V50" s="33">
        <f>IF(T$12=0,0,T50/T$12)</f>
        <v>0</v>
      </c>
      <c r="W50" s="17"/>
      <c r="X50" s="34">
        <f>P50-T50</f>
        <v>-3174.0100000000093</v>
      </c>
      <c r="Y50" s="17"/>
      <c r="Z50" s="33">
        <f>IF(T50=0,0,X50/T50)</f>
        <v>4.5099251431513221E-2</v>
      </c>
    </row>
    <row r="51" spans="1:26" ht="15" customHeight="1" x14ac:dyDescent="0.3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3">
      <c r="A53" s="11"/>
      <c r="B53" s="27" t="s">
        <v>296</v>
      </c>
      <c r="C53" s="27"/>
      <c r="D53" s="31">
        <f>SUM(D50:D52)</f>
        <v>-7088.09</v>
      </c>
      <c r="E53" s="15"/>
      <c r="F53" s="32">
        <f>IF(D$12=0,0,D53/D$12)</f>
        <v>0</v>
      </c>
      <c r="G53" s="15"/>
      <c r="H53" s="31">
        <f>SUM(H50:H52)</f>
        <v>-7931.51</v>
      </c>
      <c r="I53" s="15"/>
      <c r="J53" s="32">
        <f>IF(H$12=0,0,H53/H$12)</f>
        <v>0</v>
      </c>
      <c r="K53" s="17"/>
      <c r="L53" s="31">
        <f>+D53-H53</f>
        <v>843.42000000000007</v>
      </c>
      <c r="M53" s="17"/>
      <c r="N53" s="32">
        <f>IF(H53=0,0,L53/H53)</f>
        <v>-0.10633788521983835</v>
      </c>
      <c r="O53" s="28"/>
      <c r="P53" s="31">
        <f>SUM(P50:P52)</f>
        <v>-73552.34</v>
      </c>
      <c r="Q53" s="15"/>
      <c r="R53" s="32">
        <f>IF(P$12=0,0,P53/P$12)</f>
        <v>0</v>
      </c>
      <c r="S53" s="15"/>
      <c r="T53" s="31">
        <f>SUM(T50:T52)</f>
        <v>-70378.329999999987</v>
      </c>
      <c r="U53" s="15"/>
      <c r="V53" s="32">
        <f>IF(T$12=0,0,T53/T$12)</f>
        <v>0</v>
      </c>
      <c r="W53" s="17"/>
      <c r="X53" s="31">
        <f>+P53-T53</f>
        <v>-3174.0100000000093</v>
      </c>
      <c r="Y53" s="17"/>
      <c r="Z53" s="32">
        <f>IF(T53=0,0,X53/T53)</f>
        <v>4.5099251431513221E-2</v>
      </c>
    </row>
    <row r="54" spans="1:26" ht="15" customHeight="1" x14ac:dyDescent="0.3">
      <c r="A54" s="10"/>
      <c r="C54" s="10"/>
      <c r="D54" s="19"/>
      <c r="E54" s="19"/>
      <c r="G54" s="19"/>
      <c r="H54" s="19"/>
      <c r="I54" s="19"/>
      <c r="J54" s="40"/>
      <c r="K54" s="19"/>
      <c r="L54" s="19"/>
      <c r="M54" s="19"/>
      <c r="P54" s="19"/>
      <c r="Q54" s="19"/>
      <c r="R54" s="40"/>
      <c r="S54" s="19"/>
      <c r="T54" s="19"/>
      <c r="U54" s="19"/>
      <c r="V54" s="40"/>
      <c r="W54" s="19"/>
      <c r="X54" s="19"/>
    </row>
    <row r="55" spans="1:26" ht="15" customHeight="1" x14ac:dyDescent="0.3">
      <c r="A55" s="10"/>
      <c r="B55" s="56">
        <v>44663.03859679398</v>
      </c>
      <c r="D55" s="19"/>
      <c r="E55" s="19"/>
      <c r="G55" s="19"/>
      <c r="H55" s="19"/>
      <c r="I55" s="19"/>
      <c r="J55" s="40"/>
      <c r="K55" s="19"/>
      <c r="L55" s="19"/>
      <c r="M55" s="19"/>
      <c r="P55" s="19"/>
      <c r="Q55" s="19"/>
      <c r="R55" s="40"/>
      <c r="S55" s="19"/>
      <c r="T55" s="19"/>
      <c r="U55" s="19"/>
      <c r="V55" s="40"/>
      <c r="W55" s="19"/>
      <c r="X55" s="19"/>
    </row>
    <row r="56" spans="1:26" ht="15" customHeight="1" x14ac:dyDescent="0.3">
      <c r="A56" s="10"/>
      <c r="B56" s="57" t="s">
        <v>297</v>
      </c>
      <c r="D56" s="19"/>
      <c r="E56" s="19"/>
      <c r="G56" s="19"/>
      <c r="H56" s="19"/>
      <c r="I56" s="19"/>
      <c r="J56" s="40"/>
      <c r="K56" s="19"/>
      <c r="L56" s="19"/>
      <c r="M56" s="19"/>
      <c r="P56" s="19"/>
      <c r="Q56" s="19"/>
      <c r="R56" s="40"/>
      <c r="S56" s="19"/>
      <c r="T56" s="19"/>
      <c r="U56" s="19"/>
      <c r="V56" s="40"/>
      <c r="W56" s="19"/>
      <c r="X56" s="19"/>
    </row>
    <row r="57" spans="1:26" ht="15" customHeight="1" x14ac:dyDescent="0.3">
      <c r="A57" s="10"/>
      <c r="B57" s="58"/>
      <c r="D57" s="19"/>
      <c r="E57" s="19"/>
      <c r="G57" s="19"/>
      <c r="H57" s="19"/>
      <c r="I57" s="19"/>
      <c r="J57" s="40"/>
      <c r="K57" s="19"/>
      <c r="L57" s="19"/>
      <c r="M57" s="19"/>
      <c r="P57" s="19"/>
      <c r="Q57" s="19"/>
      <c r="R57" s="40"/>
      <c r="S57" s="19"/>
      <c r="T57" s="19"/>
      <c r="U57" s="19"/>
      <c r="V57" s="40"/>
      <c r="W57" s="19"/>
      <c r="X57" s="19"/>
    </row>
    <row r="58" spans="1:26" ht="15" customHeight="1" x14ac:dyDescent="0.3">
      <c r="D58" s="19"/>
      <c r="E58" s="19"/>
      <c r="G58" s="19"/>
      <c r="H58" s="19"/>
      <c r="I58" s="19"/>
      <c r="J58" s="40"/>
      <c r="K58" s="19"/>
      <c r="L58" s="19"/>
      <c r="M58" s="19"/>
      <c r="P58" s="19"/>
      <c r="Q58" s="19"/>
      <c r="R58" s="40"/>
      <c r="S58" s="19"/>
      <c r="T58" s="19"/>
      <c r="U58" s="19"/>
      <c r="V58" s="40"/>
      <c r="W58" s="19"/>
      <c r="X5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E0D06-C10C-D45D-4C0C-2A37CB964612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","206"," - ","Communications")</f>
        <v>Department 206 - Communications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9673.34</v>
      </c>
      <c r="E18" s="23"/>
      <c r="F18" s="35">
        <f t="shared" ref="F18:F42" si="0">IF(D$12=0,0,D18/D$12)</f>
        <v>0</v>
      </c>
      <c r="G18" s="23"/>
      <c r="H18" s="23" cm="1">
        <f t="array" ref="H18">SUM(OSRRefH22x_0)</f>
        <v>8835.7099999999991</v>
      </c>
      <c r="I18" s="23"/>
      <c r="J18" s="35">
        <f t="shared" ref="J18:J42" si="1">IF(H$12=0,0,H18/H$12)</f>
        <v>0</v>
      </c>
      <c r="K18" s="5"/>
      <c r="L18" s="23">
        <f t="shared" ref="L18:L42" si="2">+D18-H18</f>
        <v>837.63000000000102</v>
      </c>
      <c r="M18" s="5"/>
      <c r="N18" s="35">
        <f t="shared" ref="N18:N42" si="3">IF(H18=0,0,L18/H18)</f>
        <v>9.4800531026935142E-2</v>
      </c>
      <c r="O18" s="11"/>
      <c r="P18" s="23" cm="1">
        <f t="array" ref="P18">SUM(OSRRefP22x_0)</f>
        <v>78067.559999999983</v>
      </c>
      <c r="Q18" s="23"/>
      <c r="R18" s="35">
        <f t="shared" ref="R18:R42" si="4">IF(P$12=0,0,P18/P$12)</f>
        <v>0</v>
      </c>
      <c r="S18" s="23"/>
      <c r="T18" s="23" cm="1">
        <f t="array" ref="T18">SUM(OSRRefT22x_0)</f>
        <v>79663.009999999995</v>
      </c>
      <c r="U18" s="23"/>
      <c r="V18" s="35">
        <f t="shared" ref="V18:V42" si="5">IF(T$12=0,0,T18/T$12)</f>
        <v>0</v>
      </c>
      <c r="W18" s="5"/>
      <c r="X18" s="23">
        <f t="shared" ref="X18:X42" si="6">+P18-T18</f>
        <v>-1595.4500000000116</v>
      </c>
      <c r="Y18" s="5"/>
      <c r="Z18" s="35">
        <f t="shared" ref="Z18:Z42" si="7">IF(T18=0,0,X18/T18)</f>
        <v>-2.0027488290989905E-2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1507.9</v>
      </c>
      <c r="E19" s="2"/>
      <c r="F19" s="6">
        <f t="shared" si="0"/>
        <v>0</v>
      </c>
      <c r="G19" s="2"/>
      <c r="H19" s="2">
        <f>SUM(OSRRefH22_0x_0)</f>
        <v>2230.3000000000002</v>
      </c>
      <c r="I19" s="2"/>
      <c r="J19" s="6">
        <f t="shared" si="1"/>
        <v>0</v>
      </c>
      <c r="K19" s="2"/>
      <c r="L19" s="2">
        <f t="shared" si="2"/>
        <v>-722.40000000000009</v>
      </c>
      <c r="M19" s="2"/>
      <c r="N19" s="6">
        <f t="shared" si="3"/>
        <v>-0.32390261399811687</v>
      </c>
      <c r="O19" s="14"/>
      <c r="P19" s="2">
        <f>SUM(OSRRefP22_0x_0)</f>
        <v>15893.15</v>
      </c>
      <c r="Q19" s="2"/>
      <c r="R19" s="6">
        <f t="shared" si="4"/>
        <v>0</v>
      </c>
      <c r="S19" s="2"/>
      <c r="T19" s="2">
        <f>SUM(OSRRefT22_0x_0)</f>
        <v>15751.419999999998</v>
      </c>
      <c r="U19" s="2"/>
      <c r="V19" s="6">
        <f t="shared" si="5"/>
        <v>0</v>
      </c>
      <c r="W19" s="2"/>
      <c r="X19" s="2">
        <f t="shared" si="6"/>
        <v>141.73000000000138</v>
      </c>
      <c r="Y19" s="2"/>
      <c r="Z19" s="6">
        <f t="shared" si="7"/>
        <v>8.9979189177865487E-3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619.17999999999995</v>
      </c>
      <c r="E20" s="3"/>
      <c r="F20" s="7">
        <f t="shared" si="0"/>
        <v>0</v>
      </c>
      <c r="G20" s="3"/>
      <c r="H20" s="8">
        <v>374.94</v>
      </c>
      <c r="I20" s="3"/>
      <c r="J20" s="7">
        <f t="shared" si="1"/>
        <v>0</v>
      </c>
      <c r="K20" s="3"/>
      <c r="L20" s="8">
        <f t="shared" si="2"/>
        <v>244.23999999999995</v>
      </c>
      <c r="M20" s="3"/>
      <c r="N20" s="7">
        <f t="shared" si="3"/>
        <v>0.65141089240945205</v>
      </c>
      <c r="O20" s="12"/>
      <c r="P20" s="8">
        <v>3997.23</v>
      </c>
      <c r="Q20" s="3"/>
      <c r="R20" s="7">
        <f t="shared" si="4"/>
        <v>0</v>
      </c>
      <c r="S20" s="3"/>
      <c r="T20" s="8">
        <v>3578.06</v>
      </c>
      <c r="U20" s="3"/>
      <c r="V20" s="7">
        <f t="shared" si="5"/>
        <v>0</v>
      </c>
      <c r="W20" s="3"/>
      <c r="X20" s="8">
        <f t="shared" si="6"/>
        <v>419.17000000000007</v>
      </c>
      <c r="Y20" s="3"/>
      <c r="Z20" s="7">
        <f t="shared" si="7"/>
        <v>0.11715007573936717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104.27</v>
      </c>
      <c r="E21" s="3"/>
      <c r="F21" s="7">
        <f t="shared" si="0"/>
        <v>0</v>
      </c>
      <c r="G21" s="3"/>
      <c r="H21" s="8">
        <v>19.62</v>
      </c>
      <c r="I21" s="3"/>
      <c r="J21" s="7">
        <f t="shared" si="1"/>
        <v>0</v>
      </c>
      <c r="K21" s="3"/>
      <c r="L21" s="8">
        <f t="shared" si="2"/>
        <v>84.649999999999991</v>
      </c>
      <c r="M21" s="3"/>
      <c r="N21" s="7">
        <f t="shared" si="3"/>
        <v>4.3144750254841995</v>
      </c>
      <c r="O21" s="12"/>
      <c r="P21" s="8">
        <v>773.4</v>
      </c>
      <c r="Q21" s="3"/>
      <c r="R21" s="7">
        <f t="shared" si="4"/>
        <v>0</v>
      </c>
      <c r="S21" s="3"/>
      <c r="T21" s="8">
        <v>188.89</v>
      </c>
      <c r="U21" s="3"/>
      <c r="V21" s="7">
        <f t="shared" si="5"/>
        <v>0</v>
      </c>
      <c r="W21" s="3"/>
      <c r="X21" s="8">
        <f t="shared" si="6"/>
        <v>584.51</v>
      </c>
      <c r="Y21" s="3"/>
      <c r="Z21" s="7">
        <f t="shared" si="7"/>
        <v>3.0944465032558632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39.83</v>
      </c>
      <c r="E22" s="3"/>
      <c r="F22" s="7">
        <f t="shared" si="0"/>
        <v>0</v>
      </c>
      <c r="G22" s="3"/>
      <c r="H22" s="8">
        <v>704.62</v>
      </c>
      <c r="I22" s="3"/>
      <c r="J22" s="7">
        <f t="shared" si="1"/>
        <v>0</v>
      </c>
      <c r="K22" s="3"/>
      <c r="L22" s="8">
        <f t="shared" si="2"/>
        <v>-664.79</v>
      </c>
      <c r="M22" s="3"/>
      <c r="N22" s="7">
        <f t="shared" si="3"/>
        <v>-0.94347307768726396</v>
      </c>
      <c r="O22" s="12"/>
      <c r="P22" s="8">
        <v>4335.96</v>
      </c>
      <c r="Q22" s="3"/>
      <c r="R22" s="7">
        <f t="shared" si="4"/>
        <v>0</v>
      </c>
      <c r="S22" s="3"/>
      <c r="T22" s="8">
        <v>6319.08</v>
      </c>
      <c r="U22" s="3"/>
      <c r="V22" s="7">
        <f t="shared" si="5"/>
        <v>0</v>
      </c>
      <c r="W22" s="3"/>
      <c r="X22" s="8">
        <f t="shared" si="6"/>
        <v>-1983.12</v>
      </c>
      <c r="Y22" s="3"/>
      <c r="Z22" s="7">
        <f t="shared" si="7"/>
        <v>-0.31383049431246318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21.02</v>
      </c>
      <c r="E23" s="3"/>
      <c r="F23" s="7">
        <f t="shared" si="0"/>
        <v>0</v>
      </c>
      <c r="G23" s="3"/>
      <c r="H23" s="8">
        <v>15.46</v>
      </c>
      <c r="I23" s="3"/>
      <c r="J23" s="7">
        <f t="shared" si="1"/>
        <v>0</v>
      </c>
      <c r="K23" s="3"/>
      <c r="L23" s="8">
        <f t="shared" si="2"/>
        <v>5.5599999999999987</v>
      </c>
      <c r="M23" s="3"/>
      <c r="N23" s="7">
        <f t="shared" si="3"/>
        <v>0.35963777490297533</v>
      </c>
      <c r="O23" s="12"/>
      <c r="P23" s="8">
        <v>155.88999999999999</v>
      </c>
      <c r="Q23" s="3"/>
      <c r="R23" s="7">
        <f t="shared" si="4"/>
        <v>0</v>
      </c>
      <c r="S23" s="3"/>
      <c r="T23" s="8">
        <v>148.83000000000001</v>
      </c>
      <c r="U23" s="3"/>
      <c r="V23" s="7">
        <f t="shared" si="5"/>
        <v>0</v>
      </c>
      <c r="W23" s="3"/>
      <c r="X23" s="8">
        <f t="shared" si="6"/>
        <v>7.0599999999999739</v>
      </c>
      <c r="Y23" s="3"/>
      <c r="Z23" s="7">
        <f t="shared" si="7"/>
        <v>4.7436672713834394E-2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368.66</v>
      </c>
      <c r="I24" s="3"/>
      <c r="J24" s="7">
        <f t="shared" si="1"/>
        <v>0</v>
      </c>
      <c r="K24" s="3"/>
      <c r="L24" s="8">
        <f t="shared" si="2"/>
        <v>-368.66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1179.1600000000001</v>
      </c>
      <c r="U24" s="3"/>
      <c r="V24" s="7">
        <f t="shared" si="5"/>
        <v>0</v>
      </c>
      <c r="W24" s="3"/>
      <c r="X24" s="8">
        <f t="shared" si="6"/>
        <v>-1179.1600000000001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>
        <v>287.66000000000003</v>
      </c>
      <c r="E25" s="3"/>
      <c r="F25" s="7">
        <f t="shared" si="0"/>
        <v>0</v>
      </c>
      <c r="G25" s="3"/>
      <c r="H25" s="8">
        <v>414.9</v>
      </c>
      <c r="I25" s="3"/>
      <c r="J25" s="7">
        <f t="shared" si="1"/>
        <v>0</v>
      </c>
      <c r="K25" s="3"/>
      <c r="L25" s="8">
        <f t="shared" si="2"/>
        <v>-127.23999999999995</v>
      </c>
      <c r="M25" s="3"/>
      <c r="N25" s="7">
        <f t="shared" si="3"/>
        <v>-0.30667630754398639</v>
      </c>
      <c r="O25" s="12"/>
      <c r="P25" s="8">
        <v>2739.8</v>
      </c>
      <c r="Q25" s="3"/>
      <c r="R25" s="7">
        <f t="shared" si="4"/>
        <v>0</v>
      </c>
      <c r="S25" s="3"/>
      <c r="T25" s="8">
        <v>2123.4</v>
      </c>
      <c r="U25" s="3"/>
      <c r="V25" s="7">
        <f t="shared" si="5"/>
        <v>0</v>
      </c>
      <c r="W25" s="3"/>
      <c r="X25" s="8">
        <f t="shared" si="6"/>
        <v>616.40000000000009</v>
      </c>
      <c r="Y25" s="3"/>
      <c r="Z25" s="7">
        <f t="shared" si="7"/>
        <v>0.29028915889611007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>
        <v>230.26</v>
      </c>
      <c r="E26" s="3"/>
      <c r="F26" s="7">
        <f t="shared" si="0"/>
        <v>0</v>
      </c>
      <c r="G26" s="3"/>
      <c r="H26" s="8">
        <v>332.1</v>
      </c>
      <c r="I26" s="3"/>
      <c r="J26" s="7">
        <f t="shared" si="1"/>
        <v>0</v>
      </c>
      <c r="K26" s="3"/>
      <c r="L26" s="8">
        <f t="shared" si="2"/>
        <v>-101.84000000000003</v>
      </c>
      <c r="M26" s="3"/>
      <c r="N26" s="7">
        <f t="shared" si="3"/>
        <v>-0.30665462210177663</v>
      </c>
      <c r="O26" s="12"/>
      <c r="P26" s="8">
        <v>2457.0100000000002</v>
      </c>
      <c r="Q26" s="3"/>
      <c r="R26" s="7">
        <f t="shared" si="4"/>
        <v>0</v>
      </c>
      <c r="S26" s="3"/>
      <c r="T26" s="8">
        <v>2214</v>
      </c>
      <c r="U26" s="3"/>
      <c r="V26" s="7">
        <f t="shared" si="5"/>
        <v>0</v>
      </c>
      <c r="W26" s="3"/>
      <c r="X26" s="8">
        <f t="shared" si="6"/>
        <v>243.01000000000022</v>
      </c>
      <c r="Y26" s="3"/>
      <c r="Z26" s="7">
        <f t="shared" si="7"/>
        <v>0.10976061427280949</v>
      </c>
    </row>
    <row r="27" spans="1:26" s="69" customFormat="1" ht="15" hidden="1" customHeight="1" outlineLevel="2" x14ac:dyDescent="0.3">
      <c r="A27" s="25"/>
      <c r="B27" s="12" t="str">
        <f>CONCATENATE("          ","6156"," - ","EMPLOYEE MEALS")</f>
        <v xml:space="preserve">          6156 - EMPLOYEE MEALS</v>
      </c>
      <c r="C27" s="12"/>
      <c r="D27" s="8">
        <v>205.68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205.68</v>
      </c>
      <c r="M27" s="3"/>
      <c r="N27" s="7">
        <f t="shared" si="3"/>
        <v>0</v>
      </c>
      <c r="O27" s="12"/>
      <c r="P27" s="8">
        <v>1433.86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1433.86</v>
      </c>
      <c r="Y27" s="3"/>
      <c r="Z27" s="7">
        <f t="shared" si="7"/>
        <v>0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7892.89</v>
      </c>
      <c r="E28" s="2"/>
      <c r="F28" s="6">
        <f t="shared" si="0"/>
        <v>0</v>
      </c>
      <c r="G28" s="2"/>
      <c r="H28" s="2">
        <f>SUM(OSRRefH22_1x_0)</f>
        <v>6396.2</v>
      </c>
      <c r="I28" s="2"/>
      <c r="J28" s="6">
        <f t="shared" si="1"/>
        <v>0</v>
      </c>
      <c r="K28" s="2"/>
      <c r="L28" s="2">
        <f t="shared" si="2"/>
        <v>1496.6900000000005</v>
      </c>
      <c r="M28" s="2"/>
      <c r="N28" s="6">
        <f t="shared" si="3"/>
        <v>0.23399674806916615</v>
      </c>
      <c r="O28" s="14"/>
      <c r="P28" s="2">
        <f>SUM(OSRRefP22_1x_0)</f>
        <v>60025.489999999991</v>
      </c>
      <c r="Q28" s="2"/>
      <c r="R28" s="6">
        <f t="shared" si="4"/>
        <v>0</v>
      </c>
      <c r="S28" s="2"/>
      <c r="T28" s="2">
        <f>SUM(OSRRefT22_1x_0)</f>
        <v>60165.61</v>
      </c>
      <c r="U28" s="2"/>
      <c r="V28" s="6">
        <f t="shared" si="5"/>
        <v>0</v>
      </c>
      <c r="W28" s="2"/>
      <c r="X28" s="2">
        <f t="shared" si="6"/>
        <v>-140.1200000000099</v>
      </c>
      <c r="Y28" s="2"/>
      <c r="Z28" s="6">
        <f t="shared" si="7"/>
        <v>-2.3289051669219325E-3</v>
      </c>
    </row>
    <row r="29" spans="1:26" s="69" customFormat="1" ht="15" hidden="1" customHeight="1" outlineLevel="2" x14ac:dyDescent="0.3">
      <c r="A29" s="25"/>
      <c r="B29" s="12" t="str">
        <f>CONCATENATE("          ","6004"," - ","STAFF HOURLY")</f>
        <v xml:space="preserve">          6004 - STAFF HOURLY</v>
      </c>
      <c r="C29" s="12"/>
      <c r="D29" s="8">
        <v>3514.34</v>
      </c>
      <c r="E29" s="3"/>
      <c r="F29" s="7">
        <f t="shared" si="0"/>
        <v>0</v>
      </c>
      <c r="G29" s="3"/>
      <c r="H29" s="8">
        <v>4680</v>
      </c>
      <c r="I29" s="3"/>
      <c r="J29" s="7">
        <f t="shared" si="1"/>
        <v>0</v>
      </c>
      <c r="K29" s="3"/>
      <c r="L29" s="8">
        <f t="shared" si="2"/>
        <v>-1165.6599999999999</v>
      </c>
      <c r="M29" s="3"/>
      <c r="N29" s="7">
        <f t="shared" si="3"/>
        <v>-0.24907264957264955</v>
      </c>
      <c r="O29" s="12"/>
      <c r="P29" s="8">
        <v>43486.879999999997</v>
      </c>
      <c r="Q29" s="3"/>
      <c r="R29" s="7">
        <f t="shared" si="4"/>
        <v>0</v>
      </c>
      <c r="S29" s="3"/>
      <c r="T29" s="8">
        <v>46760.1</v>
      </c>
      <c r="U29" s="3"/>
      <c r="V29" s="7">
        <f t="shared" si="5"/>
        <v>0</v>
      </c>
      <c r="W29" s="3"/>
      <c r="X29" s="8">
        <f t="shared" si="6"/>
        <v>-3273.2200000000012</v>
      </c>
      <c r="Y29" s="3"/>
      <c r="Z29" s="7">
        <f t="shared" si="7"/>
        <v>-7.0000278014803241E-2</v>
      </c>
    </row>
    <row r="30" spans="1:26" s="69" customFormat="1" ht="15" hidden="1" customHeight="1" outlineLevel="2" x14ac:dyDescent="0.3">
      <c r="A30" s="25"/>
      <c r="B30" s="12" t="str">
        <f>CONCATENATE("          ","6005"," - ","TEMPORARY WAGES-HOURLY")</f>
        <v xml:space="preserve">          6005 - TEMPORARY WAGES-HOURLY</v>
      </c>
      <c r="C30" s="12"/>
      <c r="D30" s="8">
        <v>2354.5500000000002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2354.5500000000002</v>
      </c>
      <c r="M30" s="3"/>
      <c r="N30" s="7">
        <f t="shared" si="3"/>
        <v>0</v>
      </c>
      <c r="O30" s="12"/>
      <c r="P30" s="8">
        <v>3039.41</v>
      </c>
      <c r="Q30" s="3"/>
      <c r="R30" s="7">
        <f t="shared" si="4"/>
        <v>0</v>
      </c>
      <c r="S30" s="3"/>
      <c r="T30" s="8"/>
      <c r="U30" s="3"/>
      <c r="V30" s="7">
        <f t="shared" si="5"/>
        <v>0</v>
      </c>
      <c r="W30" s="3"/>
      <c r="X30" s="8">
        <f t="shared" si="6"/>
        <v>3039.41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5"/>
      <c r="B31" s="12" t="str">
        <f>CONCATENATE("          ","6007"," - ","STUDENT HOURLY")</f>
        <v xml:space="preserve">          6007 - STUDENT HOURLY</v>
      </c>
      <c r="C31" s="12"/>
      <c r="D31" s="8">
        <v>2024</v>
      </c>
      <c r="E31" s="3"/>
      <c r="F31" s="7">
        <f t="shared" si="0"/>
        <v>0</v>
      </c>
      <c r="G31" s="3"/>
      <c r="H31" s="8">
        <v>553</v>
      </c>
      <c r="I31" s="3"/>
      <c r="J31" s="7">
        <f t="shared" si="1"/>
        <v>0</v>
      </c>
      <c r="K31" s="3"/>
      <c r="L31" s="8">
        <f t="shared" si="2"/>
        <v>1471</v>
      </c>
      <c r="M31" s="3"/>
      <c r="N31" s="7">
        <f t="shared" si="3"/>
        <v>2.6600361663652805</v>
      </c>
      <c r="O31" s="12"/>
      <c r="P31" s="8">
        <v>2024</v>
      </c>
      <c r="Q31" s="3"/>
      <c r="R31" s="7">
        <f t="shared" si="4"/>
        <v>0</v>
      </c>
      <c r="S31" s="3"/>
      <c r="T31" s="8">
        <v>1491</v>
      </c>
      <c r="U31" s="3"/>
      <c r="V31" s="7">
        <f t="shared" si="5"/>
        <v>0</v>
      </c>
      <c r="W31" s="3"/>
      <c r="X31" s="8">
        <f t="shared" si="6"/>
        <v>533</v>
      </c>
      <c r="Y31" s="3"/>
      <c r="Z31" s="7">
        <f t="shared" si="7"/>
        <v>0.35747820254862506</v>
      </c>
    </row>
    <row r="32" spans="1:26" s="69" customFormat="1" ht="15" hidden="1" customHeight="1" outlineLevel="2" x14ac:dyDescent="0.3">
      <c r="A32" s="25"/>
      <c r="B32" s="12" t="str">
        <f>CONCATENATE("          ","6008"," - ","STUDENT HOURLY-FICA EXEMPT")</f>
        <v xml:space="preserve">          6008 - STUDENT HOURLY-FICA EXEMPT</v>
      </c>
      <c r="C32" s="12"/>
      <c r="D32" s="8"/>
      <c r="E32" s="3"/>
      <c r="F32" s="7">
        <f t="shared" si="0"/>
        <v>0</v>
      </c>
      <c r="G32" s="3"/>
      <c r="H32" s="8">
        <v>1163.2</v>
      </c>
      <c r="I32" s="3"/>
      <c r="J32" s="7">
        <f t="shared" si="1"/>
        <v>0</v>
      </c>
      <c r="K32" s="3"/>
      <c r="L32" s="8">
        <f t="shared" si="2"/>
        <v>-1163.2</v>
      </c>
      <c r="M32" s="3"/>
      <c r="N32" s="7">
        <f t="shared" si="3"/>
        <v>-1</v>
      </c>
      <c r="O32" s="12"/>
      <c r="P32" s="8">
        <v>11475.2</v>
      </c>
      <c r="Q32" s="3"/>
      <c r="R32" s="7">
        <f t="shared" si="4"/>
        <v>0</v>
      </c>
      <c r="S32" s="3"/>
      <c r="T32" s="8">
        <v>11914.51</v>
      </c>
      <c r="U32" s="3"/>
      <c r="V32" s="7">
        <f t="shared" si="5"/>
        <v>0</v>
      </c>
      <c r="W32" s="3"/>
      <c r="X32" s="8">
        <f t="shared" si="6"/>
        <v>-439.30999999999949</v>
      </c>
      <c r="Y32" s="3"/>
      <c r="Z32" s="7">
        <f t="shared" si="7"/>
        <v>-3.6871847856101467E-2</v>
      </c>
    </row>
    <row r="33" spans="1:26" s="68" customFormat="1" ht="15" customHeight="1" outlineLevel="1" collapsed="1" x14ac:dyDescent="0.3">
      <c r="A33" s="26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179.84</v>
      </c>
      <c r="E33" s="2"/>
      <c r="F33" s="6">
        <f t="shared" si="0"/>
        <v>0</v>
      </c>
      <c r="G33" s="2"/>
      <c r="H33" s="2">
        <f>SUM(OSRRefH22_2x_0)</f>
        <v>173.21</v>
      </c>
      <c r="I33" s="2"/>
      <c r="J33" s="6">
        <f t="shared" si="1"/>
        <v>0</v>
      </c>
      <c r="K33" s="2"/>
      <c r="L33" s="2">
        <f t="shared" si="2"/>
        <v>6.6299999999999955</v>
      </c>
      <c r="M33" s="2"/>
      <c r="N33" s="6">
        <f t="shared" si="3"/>
        <v>3.8277235725419981E-2</v>
      </c>
      <c r="O33" s="14"/>
      <c r="P33" s="2">
        <f>SUM(OSRRefP22_2x_0)</f>
        <v>1619.12</v>
      </c>
      <c r="Q33" s="2"/>
      <c r="R33" s="6">
        <f t="shared" si="4"/>
        <v>0</v>
      </c>
      <c r="S33" s="2"/>
      <c r="T33" s="2">
        <f>SUM(OSRRefT22_2x_0)</f>
        <v>1558.89</v>
      </c>
      <c r="U33" s="2"/>
      <c r="V33" s="6">
        <f t="shared" si="5"/>
        <v>0</v>
      </c>
      <c r="W33" s="2"/>
      <c r="X33" s="2">
        <f t="shared" si="6"/>
        <v>60.229999999999791</v>
      </c>
      <c r="Y33" s="2"/>
      <c r="Z33" s="6">
        <f t="shared" si="7"/>
        <v>3.8636465690330801E-2</v>
      </c>
    </row>
    <row r="34" spans="1:26" s="69" customFormat="1" ht="15" hidden="1" customHeight="1" outlineLevel="2" x14ac:dyDescent="0.3">
      <c r="A34" s="25"/>
      <c r="B34" s="12" t="str">
        <f>CONCATENATE("          ","6362"," - ","ADVERTISING EXPENSE")</f>
        <v xml:space="preserve">          6362 - ADVERTISING EXPENSE</v>
      </c>
      <c r="C34" s="12"/>
      <c r="D34" s="8">
        <v>179.84</v>
      </c>
      <c r="E34" s="3"/>
      <c r="F34" s="7">
        <f t="shared" si="0"/>
        <v>0</v>
      </c>
      <c r="G34" s="3"/>
      <c r="H34" s="8">
        <v>173.21</v>
      </c>
      <c r="I34" s="3"/>
      <c r="J34" s="7">
        <f t="shared" si="1"/>
        <v>0</v>
      </c>
      <c r="K34" s="3"/>
      <c r="L34" s="8">
        <f t="shared" si="2"/>
        <v>6.6299999999999955</v>
      </c>
      <c r="M34" s="3"/>
      <c r="N34" s="7">
        <f t="shared" si="3"/>
        <v>3.8277235725419981E-2</v>
      </c>
      <c r="O34" s="12"/>
      <c r="P34" s="8">
        <v>1619.12</v>
      </c>
      <c r="Q34" s="3"/>
      <c r="R34" s="7">
        <f t="shared" si="4"/>
        <v>0</v>
      </c>
      <c r="S34" s="3"/>
      <c r="T34" s="8">
        <v>1558.89</v>
      </c>
      <c r="U34" s="3"/>
      <c r="V34" s="7">
        <f t="shared" si="5"/>
        <v>0</v>
      </c>
      <c r="W34" s="3"/>
      <c r="X34" s="8">
        <f t="shared" si="6"/>
        <v>60.229999999999791</v>
      </c>
      <c r="Y34" s="3"/>
      <c r="Z34" s="7">
        <f t="shared" si="7"/>
        <v>3.8636465690330801E-2</v>
      </c>
    </row>
    <row r="35" spans="1:26" s="68" customFormat="1" ht="15" customHeight="1" outlineLevel="1" collapsed="1" x14ac:dyDescent="0.3">
      <c r="A35" s="26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1898.94</v>
      </c>
      <c r="U35" s="2"/>
      <c r="V35" s="6">
        <f t="shared" si="5"/>
        <v>0</v>
      </c>
      <c r="W35" s="2"/>
      <c r="X35" s="2">
        <f t="shared" si="6"/>
        <v>-1898.94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5"/>
      <c r="B36" s="12" t="str">
        <f>CONCATENATE("          ","6322"," - ","EQUIPMENT DEPRECIATION EXPENSE")</f>
        <v xml:space="preserve">          6322 - EQUIPMENT DEPRECIATION EXPENSE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1898.94</v>
      </c>
      <c r="U36" s="3"/>
      <c r="V36" s="7">
        <f t="shared" si="5"/>
        <v>0</v>
      </c>
      <c r="W36" s="3"/>
      <c r="X36" s="8">
        <f t="shared" si="6"/>
        <v>-1898.94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6"/>
      <c r="B37" s="14" t="str">
        <f>CONCATENATE("     ","Repair and Maintenance                            ")</f>
        <v xml:space="preserve">     Repair and Maintenance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63.36</v>
      </c>
      <c r="Q37" s="2"/>
      <c r="R37" s="6">
        <f t="shared" si="4"/>
        <v>0</v>
      </c>
      <c r="S37" s="2"/>
      <c r="T37" s="2">
        <f>SUM(OSRRefT22_4x_0)</f>
        <v>0</v>
      </c>
      <c r="U37" s="2"/>
      <c r="V37" s="6">
        <f t="shared" si="5"/>
        <v>0</v>
      </c>
      <c r="W37" s="2"/>
      <c r="X37" s="2">
        <f t="shared" si="6"/>
        <v>63.36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5"/>
      <c r="B38" s="12" t="str">
        <f>CONCATENATE("          ","6375"," - ","OUTSIDE REPAIRS &amp; MAINTENANCE")</f>
        <v xml:space="preserve">          6375 - OUTSIDE REPAIRS &amp; MAINTENANCE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63.36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63.36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","Supplies                                          ")</f>
        <v xml:space="preserve">     Supplies                                          </v>
      </c>
      <c r="C39" s="14"/>
      <c r="D39" s="2">
        <f>SUM(OSRRefD22_5x_0)</f>
        <v>56.71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56.71</v>
      </c>
      <c r="M39" s="2"/>
      <c r="N39" s="6">
        <f t="shared" si="3"/>
        <v>0</v>
      </c>
      <c r="O39" s="14"/>
      <c r="P39" s="2">
        <f>SUM(OSRRefP22_5x_0)</f>
        <v>70.040000000000006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70.040000000000006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5"/>
      <c r="B40" s="12" t="str">
        <f>CONCATENATE("          ","6241"," - ","OFFICE EXPENSE")</f>
        <v xml:space="preserve">          6241 - OFFICE EXPENSE</v>
      </c>
      <c r="C40" s="12"/>
      <c r="D40" s="8">
        <v>56.71</v>
      </c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56.71</v>
      </c>
      <c r="M40" s="3"/>
      <c r="N40" s="7">
        <f t="shared" si="3"/>
        <v>0</v>
      </c>
      <c r="O40" s="12"/>
      <c r="P40" s="8">
        <v>70.040000000000006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70.040000000000006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6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36</v>
      </c>
      <c r="E41" s="2"/>
      <c r="F41" s="6">
        <f t="shared" si="0"/>
        <v>0</v>
      </c>
      <c r="G41" s="2"/>
      <c r="H41" s="2">
        <f>SUM(OSRRefH22_6x_0)</f>
        <v>36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396.4</v>
      </c>
      <c r="Q41" s="2"/>
      <c r="R41" s="6">
        <f t="shared" si="4"/>
        <v>0</v>
      </c>
      <c r="S41" s="2"/>
      <c r="T41" s="2">
        <f>SUM(OSRRefT22_6x_0)</f>
        <v>288.14999999999998</v>
      </c>
      <c r="U41" s="2"/>
      <c r="V41" s="6">
        <f t="shared" si="5"/>
        <v>0</v>
      </c>
      <c r="W41" s="2"/>
      <c r="X41" s="2">
        <f t="shared" si="6"/>
        <v>108.25</v>
      </c>
      <c r="Y41" s="2"/>
      <c r="Z41" s="6">
        <f t="shared" si="7"/>
        <v>0.37567239285094572</v>
      </c>
    </row>
    <row r="42" spans="1:26" s="69" customFormat="1" ht="15" hidden="1" customHeight="1" outlineLevel="2" x14ac:dyDescent="0.3">
      <c r="A42" s="25"/>
      <c r="B42" s="12" t="str">
        <f>CONCATENATE("          ","6309"," - ","TELEPHONE")</f>
        <v xml:space="preserve">          6309 - TELEPHONE</v>
      </c>
      <c r="C42" s="12"/>
      <c r="D42" s="8">
        <v>36</v>
      </c>
      <c r="E42" s="3"/>
      <c r="F42" s="7">
        <f t="shared" si="0"/>
        <v>0</v>
      </c>
      <c r="G42" s="3"/>
      <c r="H42" s="8">
        <v>36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396.4</v>
      </c>
      <c r="Q42" s="3"/>
      <c r="R42" s="7">
        <f t="shared" si="4"/>
        <v>0</v>
      </c>
      <c r="S42" s="3"/>
      <c r="T42" s="8">
        <v>288.14999999999998</v>
      </c>
      <c r="U42" s="3"/>
      <c r="V42" s="7">
        <f t="shared" si="5"/>
        <v>0</v>
      </c>
      <c r="W42" s="3"/>
      <c r="X42" s="8">
        <f t="shared" si="6"/>
        <v>108.25</v>
      </c>
      <c r="Y42" s="3"/>
      <c r="Z42" s="7">
        <f t="shared" si="7"/>
        <v>0.37567239285094572</v>
      </c>
    </row>
    <row r="43" spans="1:26" s="64" customFormat="1" ht="15" customHeight="1" x14ac:dyDescent="0.3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3">
      <c r="A44" s="11"/>
      <c r="B44" s="28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3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11"/>
      <c r="B46" s="27" t="s">
        <v>291</v>
      </c>
      <c r="C46" s="27"/>
      <c r="D46" s="22">
        <f>+D16-D18+D44</f>
        <v>-9673.34</v>
      </c>
      <c r="E46" s="15"/>
      <c r="F46" s="21">
        <f>IF(D$12=0,0,D46/D$12)</f>
        <v>0</v>
      </c>
      <c r="G46" s="15"/>
      <c r="H46" s="22">
        <f>+H16-H18+H44</f>
        <v>-8835.7099999999991</v>
      </c>
      <c r="I46" s="15"/>
      <c r="J46" s="21">
        <f>IF(H$12=0,0,H46/H$12)</f>
        <v>0</v>
      </c>
      <c r="K46" s="17"/>
      <c r="L46" s="22">
        <f>+D46-H46</f>
        <v>-837.63000000000102</v>
      </c>
      <c r="M46" s="17"/>
      <c r="N46" s="21">
        <f>IF(H46=0,0,L46/H46)</f>
        <v>9.4800531026935142E-2</v>
      </c>
      <c r="O46" s="28"/>
      <c r="P46" s="22">
        <f>+P16-P18+P44</f>
        <v>-78067.559999999983</v>
      </c>
      <c r="Q46" s="15"/>
      <c r="R46" s="21">
        <f>IF(P$12=0,0,P46/P$12)</f>
        <v>0</v>
      </c>
      <c r="S46" s="15"/>
      <c r="T46" s="22">
        <f>+T16-T18+T44</f>
        <v>-79663.009999999995</v>
      </c>
      <c r="U46" s="15"/>
      <c r="V46" s="21">
        <f>IF(T$12=0,0,T46/T$12)</f>
        <v>0</v>
      </c>
      <c r="W46" s="17"/>
      <c r="X46" s="22">
        <f>+P46-T46</f>
        <v>1595.4500000000116</v>
      </c>
      <c r="Y46" s="17"/>
      <c r="Z46" s="21">
        <f>IF(T46=0,0,X46/T46)</f>
        <v>-2.0027488290989905E-2</v>
      </c>
    </row>
    <row r="47" spans="1:26" ht="15" customHeight="1" x14ac:dyDescent="0.3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7" t="s">
        <v>293</v>
      </c>
      <c r="C50" s="27"/>
      <c r="D50" s="34">
        <f>+D46-D48</f>
        <v>-9673.34</v>
      </c>
      <c r="E50" s="15"/>
      <c r="F50" s="33">
        <f>IF(D$12=0,0,D50/D$12)</f>
        <v>0</v>
      </c>
      <c r="G50" s="15"/>
      <c r="H50" s="34">
        <f>+H46-H48</f>
        <v>-8835.7099999999991</v>
      </c>
      <c r="I50" s="15"/>
      <c r="J50" s="33">
        <f>IF(H$12=0,0,H50/H$12)</f>
        <v>0</v>
      </c>
      <c r="K50" s="17"/>
      <c r="L50" s="34">
        <f>D50-H50</f>
        <v>-837.63000000000102</v>
      </c>
      <c r="M50" s="17"/>
      <c r="N50" s="33">
        <f>IF(H50=0,0,L50/H50)</f>
        <v>9.4800531026935142E-2</v>
      </c>
      <c r="O50" s="28"/>
      <c r="P50" s="34">
        <f>+P46-P48</f>
        <v>-78067.559999999983</v>
      </c>
      <c r="Q50" s="15"/>
      <c r="R50" s="33">
        <f>IF(P$12=0,0,P50/P$12)</f>
        <v>0</v>
      </c>
      <c r="S50" s="15"/>
      <c r="T50" s="34">
        <f>+T46-T48</f>
        <v>-79663.009999999995</v>
      </c>
      <c r="U50" s="15"/>
      <c r="V50" s="33">
        <f>IF(T$12=0,0,T50/T$12)</f>
        <v>0</v>
      </c>
      <c r="W50" s="17"/>
      <c r="X50" s="34">
        <f>P50-T50</f>
        <v>1595.4500000000116</v>
      </c>
      <c r="Y50" s="17"/>
      <c r="Z50" s="33">
        <f>IF(T50=0,0,X50/T50)</f>
        <v>-2.0027488290989905E-2</v>
      </c>
    </row>
    <row r="51" spans="1:26" ht="15" customHeight="1" x14ac:dyDescent="0.3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3">
      <c r="A53" s="11"/>
      <c r="B53" s="27" t="s">
        <v>296</v>
      </c>
      <c r="C53" s="27"/>
      <c r="D53" s="31">
        <f>SUM(D50:D52)</f>
        <v>-9673.34</v>
      </c>
      <c r="E53" s="15"/>
      <c r="F53" s="32">
        <f>IF(D$12=0,0,D53/D$12)</f>
        <v>0</v>
      </c>
      <c r="G53" s="15"/>
      <c r="H53" s="31">
        <f>SUM(H50:H52)</f>
        <v>-8835.7099999999991</v>
      </c>
      <c r="I53" s="15"/>
      <c r="J53" s="32">
        <f>IF(H$12=0,0,H53/H$12)</f>
        <v>0</v>
      </c>
      <c r="K53" s="17"/>
      <c r="L53" s="31">
        <f>+D53-H53</f>
        <v>-837.63000000000102</v>
      </c>
      <c r="M53" s="17"/>
      <c r="N53" s="32">
        <f>IF(H53=0,0,L53/H53)</f>
        <v>9.4800531026935142E-2</v>
      </c>
      <c r="O53" s="28"/>
      <c r="P53" s="31">
        <f>SUM(P50:P52)</f>
        <v>-78067.559999999983</v>
      </c>
      <c r="Q53" s="15"/>
      <c r="R53" s="32">
        <f>IF(P$12=0,0,P53/P$12)</f>
        <v>0</v>
      </c>
      <c r="S53" s="15"/>
      <c r="T53" s="31">
        <f>SUM(T50:T52)</f>
        <v>-79663.009999999995</v>
      </c>
      <c r="U53" s="15"/>
      <c r="V53" s="32">
        <f>IF(T$12=0,0,T53/T$12)</f>
        <v>0</v>
      </c>
      <c r="W53" s="17"/>
      <c r="X53" s="31">
        <f>+P53-T53</f>
        <v>1595.4500000000116</v>
      </c>
      <c r="Y53" s="17"/>
      <c r="Z53" s="32">
        <f>IF(T53=0,0,X53/T53)</f>
        <v>-2.0027488290989905E-2</v>
      </c>
    </row>
    <row r="54" spans="1:26" ht="15" customHeight="1" x14ac:dyDescent="0.3">
      <c r="A54" s="10"/>
      <c r="C54" s="10"/>
      <c r="D54" s="19"/>
      <c r="E54" s="19"/>
      <c r="G54" s="19"/>
      <c r="H54" s="19"/>
      <c r="I54" s="19"/>
      <c r="J54" s="40"/>
      <c r="K54" s="19"/>
      <c r="L54" s="19"/>
      <c r="M54" s="19"/>
      <c r="P54" s="19"/>
      <c r="Q54" s="19"/>
      <c r="R54" s="40"/>
      <c r="S54" s="19"/>
      <c r="T54" s="19"/>
      <c r="U54" s="19"/>
      <c r="V54" s="40"/>
      <c r="W54" s="19"/>
      <c r="X54" s="19"/>
    </row>
    <row r="55" spans="1:26" ht="15" customHeight="1" x14ac:dyDescent="0.3">
      <c r="A55" s="10"/>
      <c r="B55" s="56">
        <v>44663.03859679398</v>
      </c>
      <c r="D55" s="19"/>
      <c r="E55" s="19"/>
      <c r="G55" s="19"/>
      <c r="H55" s="19"/>
      <c r="I55" s="19"/>
      <c r="J55" s="40"/>
      <c r="K55" s="19"/>
      <c r="L55" s="19"/>
      <c r="M55" s="19"/>
      <c r="P55" s="19"/>
      <c r="Q55" s="19"/>
      <c r="R55" s="40"/>
      <c r="S55" s="19"/>
      <c r="T55" s="19"/>
      <c r="U55" s="19"/>
      <c r="V55" s="40"/>
      <c r="W55" s="19"/>
      <c r="X55" s="19"/>
    </row>
    <row r="56" spans="1:26" ht="15" customHeight="1" x14ac:dyDescent="0.3">
      <c r="A56" s="10"/>
      <c r="B56" s="57" t="s">
        <v>297</v>
      </c>
      <c r="D56" s="19"/>
      <c r="E56" s="19"/>
      <c r="G56" s="19"/>
      <c r="H56" s="19"/>
      <c r="I56" s="19"/>
      <c r="J56" s="40"/>
      <c r="K56" s="19"/>
      <c r="L56" s="19"/>
      <c r="M56" s="19"/>
      <c r="P56" s="19"/>
      <c r="Q56" s="19"/>
      <c r="R56" s="40"/>
      <c r="S56" s="19"/>
      <c r="T56" s="19"/>
      <c r="U56" s="19"/>
      <c r="V56" s="40"/>
      <c r="W56" s="19"/>
      <c r="X56" s="19"/>
    </row>
    <row r="57" spans="1:26" ht="15" customHeight="1" x14ac:dyDescent="0.3">
      <c r="A57" s="10"/>
      <c r="B57" s="58"/>
      <c r="D57" s="19"/>
      <c r="E57" s="19"/>
      <c r="G57" s="19"/>
      <c r="H57" s="19"/>
      <c r="I57" s="19"/>
      <c r="J57" s="40"/>
      <c r="K57" s="19"/>
      <c r="L57" s="19"/>
      <c r="M57" s="19"/>
      <c r="P57" s="19"/>
      <c r="Q57" s="19"/>
      <c r="R57" s="40"/>
      <c r="S57" s="19"/>
      <c r="T57" s="19"/>
      <c r="U57" s="19"/>
      <c r="V57" s="40"/>
      <c r="W57" s="19"/>
      <c r="X57" s="19"/>
    </row>
    <row r="58" spans="1:26" ht="15" customHeight="1" x14ac:dyDescent="0.3">
      <c r="D58" s="19"/>
      <c r="E58" s="19"/>
      <c r="G58" s="19"/>
      <c r="H58" s="19"/>
      <c r="I58" s="19"/>
      <c r="J58" s="40"/>
      <c r="K58" s="19"/>
      <c r="L58" s="19"/>
      <c r="M58" s="19"/>
      <c r="P58" s="19"/>
      <c r="Q58" s="19"/>
      <c r="R58" s="40"/>
      <c r="S58" s="19"/>
      <c r="T58" s="19"/>
      <c r="U58" s="19"/>
      <c r="V58" s="40"/>
      <c r="W58" s="19"/>
      <c r="X5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189B7-168E-6664-913E-2219C6F6CC97}">
  <sheetPr>
    <tabColor rgb="FFFFC000"/>
    <outlinePr summaryBelow="0" summaryRight="0"/>
  </sheetPr>
  <dimension ref="A2:Z24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300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725815.73999999987</v>
      </c>
      <c r="E12" s="5"/>
      <c r="F12" s="13"/>
      <c r="G12" s="5"/>
      <c r="H12" s="5">
        <f>SUM(OSRRefH13x_0)</f>
        <v>183995.22000000006</v>
      </c>
      <c r="I12" s="5"/>
      <c r="J12" s="13"/>
      <c r="K12" s="5"/>
      <c r="L12" s="5">
        <f t="shared" ref="L12:L43" si="0">+D12-H12</f>
        <v>541820.51999999979</v>
      </c>
      <c r="M12" s="5"/>
      <c r="N12" s="13">
        <f t="shared" ref="N12:N43" si="1">IF(H12=0,0,L12/H12)</f>
        <v>2.9447532386982642</v>
      </c>
      <c r="O12" s="11"/>
      <c r="P12" s="5">
        <f>SUM(OSRRefP13x_0)</f>
        <v>6096273.1000000006</v>
      </c>
      <c r="Q12" s="5"/>
      <c r="R12" s="13"/>
      <c r="S12" s="5"/>
      <c r="T12" s="5">
        <f>SUM(OSRRefT13x_0)</f>
        <v>4266994.2300000023</v>
      </c>
      <c r="U12" s="5"/>
      <c r="V12" s="13"/>
      <c r="W12" s="5"/>
      <c r="X12" s="5">
        <f t="shared" ref="X12:X43" si="2">+P12-T12</f>
        <v>1829278.8699999982</v>
      </c>
      <c r="Y12" s="5"/>
      <c r="Z12" s="13">
        <f t="shared" ref="Z12:Z43" si="3">IF(T12=0,0,X12/T12)</f>
        <v>0.42870432238667389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--544669.65</f>
        <v>544669.65</v>
      </c>
      <c r="E13" s="3"/>
      <c r="F13" s="20"/>
      <c r="G13" s="3"/>
      <c r="H13" s="3">
        <f>-11562.13</f>
        <v>-11562.13</v>
      </c>
      <c r="I13" s="3"/>
      <c r="J13" s="20"/>
      <c r="K13" s="3"/>
      <c r="L13" s="3">
        <f t="shared" si="0"/>
        <v>556231.78</v>
      </c>
      <c r="M13" s="3"/>
      <c r="N13" s="20">
        <f t="shared" si="1"/>
        <v>-48.108071782621373</v>
      </c>
      <c r="O13" s="12"/>
      <c r="P13" s="3">
        <f>--5009646.26</f>
        <v>5009646.26</v>
      </c>
      <c r="Q13" s="3"/>
      <c r="R13" s="20"/>
      <c r="S13" s="3"/>
      <c r="T13" s="3">
        <f>-119923.26</f>
        <v>-119923.26</v>
      </c>
      <c r="U13" s="3"/>
      <c r="V13" s="20"/>
      <c r="W13" s="3"/>
      <c r="X13" s="3">
        <f t="shared" si="2"/>
        <v>5129569.5199999996</v>
      </c>
      <c r="Y13" s="3"/>
      <c r="Z13" s="20">
        <f t="shared" si="3"/>
        <v>-42.773766490337238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--7739.23</f>
        <v>7739.23</v>
      </c>
      <c r="I14" s="3"/>
      <c r="J14" s="20"/>
      <c r="K14" s="3"/>
      <c r="L14" s="3">
        <f t="shared" si="0"/>
        <v>-7739.23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--1232463.24</f>
        <v>1232463.24</v>
      </c>
      <c r="U14" s="3"/>
      <c r="V14" s="20"/>
      <c r="W14" s="3"/>
      <c r="X14" s="3">
        <f t="shared" si="2"/>
        <v>-1232463.24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--1662.85</f>
        <v>1662.85</v>
      </c>
      <c r="I15" s="3"/>
      <c r="J15" s="20"/>
      <c r="K15" s="3"/>
      <c r="L15" s="3">
        <f t="shared" si="0"/>
        <v>-1662.85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--576797.33</f>
        <v>576797.32999999996</v>
      </c>
      <c r="U15" s="3"/>
      <c r="V15" s="20"/>
      <c r="W15" s="3"/>
      <c r="X15" s="3">
        <f t="shared" si="2"/>
        <v>-576797.32999999996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--49.99</f>
        <v>49.99</v>
      </c>
      <c r="I16" s="3"/>
      <c r="J16" s="20"/>
      <c r="K16" s="3"/>
      <c r="L16" s="3">
        <f t="shared" si="0"/>
        <v>-49.99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--17977.88</f>
        <v>17977.88</v>
      </c>
      <c r="U16" s="3"/>
      <c r="V16" s="20"/>
      <c r="W16" s="3"/>
      <c r="X16" s="3">
        <f t="shared" si="2"/>
        <v>-17977.88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--29.21</f>
        <v>29.21</v>
      </c>
      <c r="I18" s="3"/>
      <c r="J18" s="20"/>
      <c r="K18" s="3"/>
      <c r="L18" s="3">
        <f t="shared" si="0"/>
        <v>-29.21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--1202.02</f>
        <v>1202.02</v>
      </c>
      <c r="U18" s="3"/>
      <c r="V18" s="20"/>
      <c r="W18" s="3"/>
      <c r="X18" s="3">
        <f t="shared" si="2"/>
        <v>-1202.02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--35.82</f>
        <v>35.82</v>
      </c>
      <c r="I19" s="3"/>
      <c r="J19" s="20"/>
      <c r="K19" s="3"/>
      <c r="L19" s="3">
        <f t="shared" si="0"/>
        <v>-35.82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--447.7</f>
        <v>447.7</v>
      </c>
      <c r="U19" s="3"/>
      <c r="V19" s="20"/>
      <c r="W19" s="3"/>
      <c r="X19" s="3">
        <f t="shared" si="2"/>
        <v>-447.7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--67.3</f>
        <v>67.3</v>
      </c>
      <c r="I20" s="3"/>
      <c r="J20" s="20"/>
      <c r="K20" s="3"/>
      <c r="L20" s="3">
        <f t="shared" si="0"/>
        <v>-67.3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--400.14</f>
        <v>400.14</v>
      </c>
      <c r="U20" s="3"/>
      <c r="V20" s="20"/>
      <c r="W20" s="3"/>
      <c r="X20" s="3">
        <f t="shared" si="2"/>
        <v>-400.14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--16.37</f>
        <v>16.37</v>
      </c>
      <c r="I21" s="3"/>
      <c r="J21" s="20"/>
      <c r="K21" s="3"/>
      <c r="L21" s="3">
        <f t="shared" si="0"/>
        <v>-16.37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--464.75</f>
        <v>464.75</v>
      </c>
      <c r="U21" s="3"/>
      <c r="V21" s="20"/>
      <c r="W21" s="3"/>
      <c r="X21" s="3">
        <f t="shared" si="2"/>
        <v>-464.75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--3028</f>
        <v>3028</v>
      </c>
      <c r="I22" s="3"/>
      <c r="J22" s="20"/>
      <c r="K22" s="3"/>
      <c r="L22" s="3">
        <f t="shared" si="0"/>
        <v>-3028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--57512.32</f>
        <v>57512.32</v>
      </c>
      <c r="U22" s="3"/>
      <c r="V22" s="20"/>
      <c r="W22" s="3"/>
      <c r="X22" s="3">
        <f t="shared" si="2"/>
        <v>-57512.32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--3372.76</f>
        <v>3372.76</v>
      </c>
      <c r="I23" s="3"/>
      <c r="J23" s="20"/>
      <c r="K23" s="3"/>
      <c r="L23" s="3">
        <f t="shared" si="0"/>
        <v>-3372.76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--44249.38</f>
        <v>44249.38</v>
      </c>
      <c r="U23" s="3"/>
      <c r="V23" s="20"/>
      <c r="W23" s="3"/>
      <c r="X23" s="3">
        <f t="shared" si="2"/>
        <v>-44249.38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--434.03</f>
        <v>434.03</v>
      </c>
      <c r="I24" s="3"/>
      <c r="J24" s="20"/>
      <c r="K24" s="3"/>
      <c r="L24" s="3">
        <f t="shared" si="0"/>
        <v>-434.03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--3614.87</f>
        <v>3614.87</v>
      </c>
      <c r="U24" s="3"/>
      <c r="V24" s="20"/>
      <c r="W24" s="3"/>
      <c r="X24" s="3">
        <f t="shared" si="2"/>
        <v>-3614.87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--82653.17</f>
        <v>82653.17</v>
      </c>
      <c r="I27" s="3"/>
      <c r="J27" s="20"/>
      <c r="K27" s="3"/>
      <c r="L27" s="3">
        <f t="shared" si="0"/>
        <v>-82653.17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--754001.15</f>
        <v>754001.15</v>
      </c>
      <c r="U27" s="3"/>
      <c r="V27" s="20"/>
      <c r="W27" s="3"/>
      <c r="X27" s="3">
        <f t="shared" si="2"/>
        <v>-754001.15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--47817.47</f>
        <v>47817.47</v>
      </c>
      <c r="I28" s="3"/>
      <c r="J28" s="20"/>
      <c r="K28" s="3"/>
      <c r="L28" s="3">
        <f t="shared" si="0"/>
        <v>-47817.47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--324016.78</f>
        <v>324016.78000000003</v>
      </c>
      <c r="U28" s="3"/>
      <c r="V28" s="20"/>
      <c r="W28" s="3"/>
      <c r="X28" s="3">
        <f t="shared" si="2"/>
        <v>-324016.78000000003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--11053.28</f>
        <v>11053.28</v>
      </c>
      <c r="I29" s="3"/>
      <c r="J29" s="20"/>
      <c r="K29" s="3"/>
      <c r="L29" s="3">
        <f t="shared" si="0"/>
        <v>-11053.28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--90048.2</f>
        <v>90048.2</v>
      </c>
      <c r="U29" s="3"/>
      <c r="V29" s="20"/>
      <c r="W29" s="3"/>
      <c r="X29" s="3">
        <f t="shared" si="2"/>
        <v>-90048.2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--8285.51</f>
        <v>8285.51</v>
      </c>
      <c r="I30" s="3"/>
      <c r="J30" s="20"/>
      <c r="K30" s="3"/>
      <c r="L30" s="3">
        <f t="shared" si="0"/>
        <v>-8285.51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--132436.17</f>
        <v>132436.17000000001</v>
      </c>
      <c r="U30" s="3"/>
      <c r="V30" s="20"/>
      <c r="W30" s="3"/>
      <c r="X30" s="3">
        <f t="shared" si="2"/>
        <v>-132436.17000000001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--1774.45</f>
        <v>1774.45</v>
      </c>
      <c r="I31" s="3"/>
      <c r="J31" s="20"/>
      <c r="K31" s="3"/>
      <c r="L31" s="3">
        <f t="shared" si="0"/>
        <v>-1774.45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--31346.85</f>
        <v>31346.85</v>
      </c>
      <c r="U31" s="3"/>
      <c r="V31" s="20"/>
      <c r="W31" s="3"/>
      <c r="X31" s="3">
        <f t="shared" si="2"/>
        <v>-31346.85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--8707.87</f>
        <v>8707.8700000000008</v>
      </c>
      <c r="I32" s="3"/>
      <c r="J32" s="20"/>
      <c r="K32" s="3"/>
      <c r="L32" s="3">
        <f t="shared" si="0"/>
        <v>-8707.8700000000008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--144197.44</f>
        <v>144197.44</v>
      </c>
      <c r="U32" s="3"/>
      <c r="V32" s="20"/>
      <c r="W32" s="3"/>
      <c r="X32" s="3">
        <f t="shared" si="2"/>
        <v>-144197.44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--25.17</f>
        <v>25.17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25.17</v>
      </c>
      <c r="Y33" s="3"/>
      <c r="Z33" s="20">
        <f t="shared" si="3"/>
        <v>0</v>
      </c>
    </row>
    <row r="34" spans="1:26" s="69" customFormat="1" ht="15" hidden="1" customHeight="1" outlineLevel="1" x14ac:dyDescent="0.3">
      <c r="A34" s="42"/>
      <c r="B34" s="12" t="str">
        <f>CONCATENATE("          ","4053"," - ","TAXABLE SALES-FOOD")</f>
        <v xml:space="preserve">          4053 - TAXABLE SALES-FOOD</v>
      </c>
      <c r="C34" s="12"/>
      <c r="D34" s="3">
        <f>--412.69</f>
        <v>412.69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412.69</v>
      </c>
      <c r="M34" s="3"/>
      <c r="N34" s="20">
        <f t="shared" si="1"/>
        <v>0</v>
      </c>
      <c r="O34" s="12"/>
      <c r="P34" s="3">
        <f>--1111.41</f>
        <v>1111.4100000000001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1111.4100000000001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","4081"," - ","TAXABLE SALES-ELECTRONICS")</f>
        <v xml:space="preserve">          4081 - TAXABLE SALES-ELECTRONICS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--71.95</f>
        <v>71.95</v>
      </c>
      <c r="U35" s="3"/>
      <c r="V35" s="20"/>
      <c r="W35" s="3"/>
      <c r="X35" s="3">
        <f t="shared" si="2"/>
        <v>-71.95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","4083"," - ","TAXABLE SALES-COMPUTER EQUIPME")</f>
        <v xml:space="preserve">          4083 - TAXABLE SALES-COMPUTER EQUIPME</v>
      </c>
      <c r="C36" s="12"/>
      <c r="D36" s="3">
        <f>0</f>
        <v>0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0</v>
      </c>
      <c r="M36" s="3"/>
      <c r="N36" s="20">
        <f t="shared" si="1"/>
        <v>0</v>
      </c>
      <c r="O36" s="12"/>
      <c r="P36" s="3">
        <f>0</f>
        <v>0</v>
      </c>
      <c r="Q36" s="3"/>
      <c r="R36" s="20"/>
      <c r="S36" s="3"/>
      <c r="T36" s="3">
        <f>--9.99</f>
        <v>9.99</v>
      </c>
      <c r="U36" s="3"/>
      <c r="V36" s="20"/>
      <c r="W36" s="3"/>
      <c r="X36" s="3">
        <f t="shared" si="2"/>
        <v>-9.99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--775.28</f>
        <v>775.28</v>
      </c>
      <c r="I37" s="3"/>
      <c r="J37" s="20"/>
      <c r="K37" s="3"/>
      <c r="L37" s="3">
        <f t="shared" si="0"/>
        <v>-775.28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--915.13</f>
        <v>915.13</v>
      </c>
      <c r="U37" s="3"/>
      <c r="V37" s="20"/>
      <c r="W37" s="3"/>
      <c r="X37" s="3">
        <f t="shared" si="2"/>
        <v>-915.13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--209988.12</f>
        <v>209988.12</v>
      </c>
      <c r="E38" s="3"/>
      <c r="F38" s="20"/>
      <c r="G38" s="3"/>
      <c r="H38" s="3">
        <f>--2050.54</f>
        <v>2050.54</v>
      </c>
      <c r="I38" s="3"/>
      <c r="J38" s="20"/>
      <c r="K38" s="3"/>
      <c r="L38" s="3">
        <f t="shared" si="0"/>
        <v>207937.58</v>
      </c>
      <c r="M38" s="3"/>
      <c r="N38" s="20">
        <f t="shared" si="1"/>
        <v>101.40625396237088</v>
      </c>
      <c r="O38" s="12"/>
      <c r="P38" s="3">
        <f>--1359846.29</f>
        <v>1359846.29</v>
      </c>
      <c r="Q38" s="3"/>
      <c r="R38" s="20"/>
      <c r="S38" s="3"/>
      <c r="T38" s="3">
        <f>--286224.1</f>
        <v>286224.09999999998</v>
      </c>
      <c r="U38" s="3"/>
      <c r="V38" s="20"/>
      <c r="W38" s="3"/>
      <c r="X38" s="3">
        <f t="shared" si="2"/>
        <v>1073622.19</v>
      </c>
      <c r="Y38" s="3"/>
      <c r="Z38" s="20">
        <f t="shared" si="3"/>
        <v>3.7509845956367758</v>
      </c>
    </row>
    <row r="39" spans="1:26" s="69" customFormat="1" ht="15" hidden="1" customHeight="1" outlineLevel="1" x14ac:dyDescent="0.3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--1044.17</f>
        <v>1044.17</v>
      </c>
      <c r="I39" s="3"/>
      <c r="J39" s="20"/>
      <c r="K39" s="3"/>
      <c r="L39" s="3">
        <f t="shared" si="0"/>
        <v>-1044.17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--112055.71</f>
        <v>112055.71</v>
      </c>
      <c r="U39" s="3"/>
      <c r="V39" s="20"/>
      <c r="W39" s="3"/>
      <c r="X39" s="3">
        <f t="shared" si="2"/>
        <v>-112055.71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--1572.06</f>
        <v>1572.06</v>
      </c>
      <c r="I40" s="3"/>
      <c r="J40" s="20"/>
      <c r="K40" s="3"/>
      <c r="L40" s="3">
        <f t="shared" si="0"/>
        <v>-1572.06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--47959.43</f>
        <v>47959.43</v>
      </c>
      <c r="U40" s="3"/>
      <c r="V40" s="20"/>
      <c r="W40" s="3"/>
      <c r="X40" s="3">
        <f t="shared" si="2"/>
        <v>-47959.43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--1097.13</f>
        <v>1097.1300000000001</v>
      </c>
      <c r="I42" s="3"/>
      <c r="J42" s="20"/>
      <c r="K42" s="3"/>
      <c r="L42" s="3">
        <f t="shared" si="0"/>
        <v>-1097.1300000000001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--476971.18</f>
        <v>476971.18</v>
      </c>
      <c r="U42" s="3"/>
      <c r="V42" s="20"/>
      <c r="W42" s="3"/>
      <c r="X42" s="3">
        <f t="shared" si="2"/>
        <v>-476971.18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--1250</f>
        <v>1250</v>
      </c>
      <c r="I43" s="3"/>
      <c r="J43" s="20"/>
      <c r="K43" s="3"/>
      <c r="L43" s="3">
        <f t="shared" si="0"/>
        <v>-1250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--11389.25</f>
        <v>11389.25</v>
      </c>
      <c r="U43" s="3"/>
      <c r="V43" s="20"/>
      <c r="W43" s="3"/>
      <c r="X43" s="3">
        <f t="shared" si="2"/>
        <v>-11389.25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--389.95</f>
        <v>389.95</v>
      </c>
      <c r="I46" s="3"/>
      <c r="J46" s="20"/>
      <c r="K46" s="3"/>
      <c r="L46" s="3">
        <f t="shared" si="4"/>
        <v>-389.95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--6607.31</f>
        <v>6607.31</v>
      </c>
      <c r="U46" s="3"/>
      <c r="V46" s="20"/>
      <c r="W46" s="3"/>
      <c r="X46" s="3">
        <f t="shared" si="6"/>
        <v>-6607.31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--38.58</f>
        <v>38.58</v>
      </c>
      <c r="U47" s="3"/>
      <c r="V47" s="20"/>
      <c r="W47" s="3"/>
      <c r="X47" s="3">
        <f t="shared" si="6"/>
        <v>-38.58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--829.28</f>
        <v>829.28</v>
      </c>
      <c r="I48" s="3"/>
      <c r="J48" s="20"/>
      <c r="K48" s="3"/>
      <c r="L48" s="3">
        <f t="shared" si="4"/>
        <v>-829.28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--10404.43</f>
        <v>10404.43</v>
      </c>
      <c r="U48" s="3"/>
      <c r="V48" s="20"/>
      <c r="W48" s="3"/>
      <c r="X48" s="3">
        <f t="shared" si="6"/>
        <v>-10404.43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--2054.37</f>
        <v>2054.37</v>
      </c>
      <c r="U49" s="3"/>
      <c r="V49" s="20"/>
      <c r="W49" s="3"/>
      <c r="X49" s="3">
        <f t="shared" si="6"/>
        <v>-2054.37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--16626.41</f>
        <v>16626.41</v>
      </c>
      <c r="I53" s="3"/>
      <c r="J53" s="20"/>
      <c r="K53" s="3"/>
      <c r="L53" s="3">
        <f t="shared" si="4"/>
        <v>-16626.41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--131751.69</f>
        <v>131751.69</v>
      </c>
      <c r="U53" s="3"/>
      <c r="V53" s="20"/>
      <c r="W53" s="3"/>
      <c r="X53" s="3">
        <f t="shared" si="6"/>
        <v>-131751.69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--1055.22</f>
        <v>1055.22</v>
      </c>
      <c r="I54" s="3"/>
      <c r="J54" s="20"/>
      <c r="K54" s="3"/>
      <c r="L54" s="3">
        <f t="shared" si="4"/>
        <v>-1055.22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--9568.24</f>
        <v>9568.24</v>
      </c>
      <c r="U54" s="3"/>
      <c r="V54" s="20"/>
      <c r="W54" s="3"/>
      <c r="X54" s="3">
        <f t="shared" si="6"/>
        <v>-9568.24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--16.9</f>
        <v>16.899999999999999</v>
      </c>
      <c r="I55" s="3"/>
      <c r="J55" s="20"/>
      <c r="K55" s="3"/>
      <c r="L55" s="3">
        <f t="shared" si="4"/>
        <v>-16.899999999999999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--2281.37</f>
        <v>2281.37</v>
      </c>
      <c r="U55" s="3"/>
      <c r="V55" s="20"/>
      <c r="W55" s="3"/>
      <c r="X55" s="3">
        <f t="shared" si="6"/>
        <v>-2281.37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--261.82</f>
        <v>261.82</v>
      </c>
      <c r="I56" s="3"/>
      <c r="J56" s="20"/>
      <c r="K56" s="3"/>
      <c r="L56" s="3">
        <f t="shared" si="4"/>
        <v>-261.82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--2381.48</f>
        <v>2381.48</v>
      </c>
      <c r="U56" s="3"/>
      <c r="V56" s="20"/>
      <c r="W56" s="3"/>
      <c r="X56" s="3">
        <f t="shared" si="6"/>
        <v>-2381.48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--29.9</f>
        <v>29.9</v>
      </c>
      <c r="I57" s="3"/>
      <c r="J57" s="20"/>
      <c r="K57" s="3"/>
      <c r="L57" s="3">
        <f t="shared" si="4"/>
        <v>-29.9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--679.25</f>
        <v>679.25</v>
      </c>
      <c r="U57" s="3"/>
      <c r="V57" s="20"/>
      <c r="W57" s="3"/>
      <c r="X57" s="3">
        <f t="shared" si="6"/>
        <v>-679.25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--53716.09</f>
        <v>53716.09</v>
      </c>
      <c r="U58" s="3"/>
      <c r="V58" s="20"/>
      <c r="W58" s="3"/>
      <c r="X58" s="3">
        <f t="shared" si="6"/>
        <v>-53716.09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--90.7</f>
        <v>90.7</v>
      </c>
      <c r="I59" s="3"/>
      <c r="J59" s="20"/>
      <c r="K59" s="3"/>
      <c r="L59" s="3">
        <f t="shared" si="4"/>
        <v>-90.7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--299.1</f>
        <v>299.10000000000002</v>
      </c>
      <c r="U59" s="3"/>
      <c r="V59" s="20"/>
      <c r="W59" s="3"/>
      <c r="X59" s="3">
        <f t="shared" si="6"/>
        <v>-299.10000000000002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--11</f>
        <v>11</v>
      </c>
      <c r="I60" s="3"/>
      <c r="J60" s="20"/>
      <c r="K60" s="3"/>
      <c r="L60" s="3">
        <f t="shared" si="4"/>
        <v>-11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--143.5</f>
        <v>143.5</v>
      </c>
      <c r="U60" s="3"/>
      <c r="V60" s="20"/>
      <c r="W60" s="3"/>
      <c r="X60" s="3">
        <f t="shared" si="6"/>
        <v>-143.5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","4151"," - ","NON-TAXABLE SALES-FOOD")</f>
        <v xml:space="preserve">          4151 - NON-TAXABLE SALES-FOOD</v>
      </c>
      <c r="C61" s="12"/>
      <c r="D61" s="3">
        <f>0</f>
        <v>0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0</v>
      </c>
      <c r="M61" s="3"/>
      <c r="N61" s="20">
        <f t="shared" si="5"/>
        <v>0</v>
      </c>
      <c r="O61" s="12"/>
      <c r="P61" s="3">
        <f>--206.32</f>
        <v>206.32</v>
      </c>
      <c r="Q61" s="3"/>
      <c r="R61" s="20"/>
      <c r="S61" s="3"/>
      <c r="T61" s="3">
        <f>0</f>
        <v>0</v>
      </c>
      <c r="U61" s="3"/>
      <c r="V61" s="20"/>
      <c r="W61" s="3"/>
      <c r="X61" s="3">
        <f t="shared" si="6"/>
        <v>206.32</v>
      </c>
      <c r="Y61" s="3"/>
      <c r="Z61" s="20">
        <f t="shared" si="7"/>
        <v>0</v>
      </c>
    </row>
    <row r="62" spans="1:26" s="69" customFormat="1" ht="15" hidden="1" customHeight="1" outlineLevel="1" x14ac:dyDescent="0.3">
      <c r="A62" s="42"/>
      <c r="B62" s="12" t="str">
        <f>CONCATENATE("          ","4153"," - ","NON-TAXABLE SALES-FOOD")</f>
        <v xml:space="preserve">          4153 - NON-TAXABLE SALES-FOOD</v>
      </c>
      <c r="C62" s="12"/>
      <c r="D62" s="3">
        <f>0</f>
        <v>0</v>
      </c>
      <c r="E62" s="3"/>
      <c r="F62" s="20"/>
      <c r="G62" s="3"/>
      <c r="H62" s="3">
        <f>--100.55</f>
        <v>100.55</v>
      </c>
      <c r="I62" s="3"/>
      <c r="J62" s="20"/>
      <c r="K62" s="3"/>
      <c r="L62" s="3">
        <f t="shared" si="4"/>
        <v>-100.55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--344.55</f>
        <v>344.55</v>
      </c>
      <c r="U62" s="3"/>
      <c r="V62" s="20"/>
      <c r="W62" s="3"/>
      <c r="X62" s="3">
        <f t="shared" si="6"/>
        <v>-344.55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","4200"," - ","TAXABLE RETURNS")</f>
        <v xml:space="preserve">          4200 - TAXABLE RETURNS</v>
      </c>
      <c r="C63" s="12"/>
      <c r="D63" s="3">
        <f>-19894.68</f>
        <v>-19894.68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-19894.68</v>
      </c>
      <c r="M63" s="3"/>
      <c r="N63" s="20">
        <f t="shared" si="5"/>
        <v>0</v>
      </c>
      <c r="O63" s="12"/>
      <c r="P63" s="3">
        <f>-151408.01</f>
        <v>-151408.01</v>
      </c>
      <c r="Q63" s="3"/>
      <c r="R63" s="20"/>
      <c r="S63" s="3"/>
      <c r="T63" s="3">
        <f>0</f>
        <v>0</v>
      </c>
      <c r="U63" s="3"/>
      <c r="V63" s="20"/>
      <c r="W63" s="3"/>
      <c r="X63" s="3">
        <f t="shared" si="6"/>
        <v>-151408.01</v>
      </c>
      <c r="Y63" s="3"/>
      <c r="Z63" s="20">
        <f t="shared" si="7"/>
        <v>0</v>
      </c>
    </row>
    <row r="64" spans="1:26" s="69" customFormat="1" ht="15" hidden="1" customHeight="1" outlineLevel="1" x14ac:dyDescent="0.3">
      <c r="A64" s="42"/>
      <c r="B64" s="12" t="str">
        <f>CONCATENATE("          ","4201"," - ","SALES RETURN TAXABLE-NEW TEXT")</f>
        <v xml:space="preserve">          4201 - SALES RETURN TAXABLE-NEW TEXT</v>
      </c>
      <c r="C64" s="12"/>
      <c r="D64" s="3">
        <f>0</f>
        <v>0</v>
      </c>
      <c r="E64" s="3"/>
      <c r="F64" s="20"/>
      <c r="G64" s="3"/>
      <c r="H64" s="3">
        <f>-596.94</f>
        <v>-596.94000000000005</v>
      </c>
      <c r="I64" s="3"/>
      <c r="J64" s="20"/>
      <c r="K64" s="3"/>
      <c r="L64" s="3">
        <f t="shared" si="4"/>
        <v>596.94000000000005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-51261.17</f>
        <v>-51261.17</v>
      </c>
      <c r="U64" s="3"/>
      <c r="V64" s="20"/>
      <c r="W64" s="3"/>
      <c r="X64" s="3">
        <f t="shared" si="6"/>
        <v>51261.17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","4202"," - ","SALES RETURN TAXABLE-USED TEXT")</f>
        <v xml:space="preserve">          4202 - SALES RETURN TAXABLE-USED TEXT</v>
      </c>
      <c r="C65" s="12"/>
      <c r="D65" s="3">
        <f>0</f>
        <v>0</v>
      </c>
      <c r="E65" s="3"/>
      <c r="F65" s="20"/>
      <c r="G65" s="3"/>
      <c r="H65" s="3">
        <f>-153.8</f>
        <v>-153.80000000000001</v>
      </c>
      <c r="I65" s="3"/>
      <c r="J65" s="20"/>
      <c r="K65" s="3"/>
      <c r="L65" s="3">
        <f t="shared" si="4"/>
        <v>153.80000000000001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-19889.31</f>
        <v>-19889.310000000001</v>
      </c>
      <c r="U65" s="3"/>
      <c r="V65" s="20"/>
      <c r="W65" s="3"/>
      <c r="X65" s="3">
        <f t="shared" si="6"/>
        <v>19889.310000000001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","4204"," - ","SALES RETURN TAXABLE-DIGITAL T")</f>
        <v xml:space="preserve">          4204 - SALES RETURN TAXABLE-DIGITAL T</v>
      </c>
      <c r="C66" s="12"/>
      <c r="D66" s="3">
        <f>0</f>
        <v>0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0</v>
      </c>
      <c r="M66" s="3"/>
      <c r="N66" s="20">
        <f t="shared" si="5"/>
        <v>0</v>
      </c>
      <c r="O66" s="12"/>
      <c r="P66" s="3">
        <f>0</f>
        <v>0</v>
      </c>
      <c r="Q66" s="3"/>
      <c r="R66" s="20"/>
      <c r="S66" s="3"/>
      <c r="T66" s="3">
        <f>-1763.1</f>
        <v>-1763.1</v>
      </c>
      <c r="U66" s="3"/>
      <c r="V66" s="20"/>
      <c r="W66" s="3"/>
      <c r="X66" s="3">
        <f t="shared" si="6"/>
        <v>1763.1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","4213"," - ","NON-TAXABLE SALES-TRADE BOOKS")</f>
        <v xml:space="preserve">          4213 - NON-TAXABLE SALES-TRADE BOOKS</v>
      </c>
      <c r="C67" s="12"/>
      <c r="D67" s="3">
        <f>0</f>
        <v>0</v>
      </c>
      <c r="E67" s="3"/>
      <c r="F67" s="20"/>
      <c r="G67" s="3"/>
      <c r="H67" s="3">
        <f>0</f>
        <v>0</v>
      </c>
      <c r="I67" s="3"/>
      <c r="J67" s="20"/>
      <c r="K67" s="3"/>
      <c r="L67" s="3">
        <f t="shared" si="4"/>
        <v>0</v>
      </c>
      <c r="M67" s="3"/>
      <c r="N67" s="20">
        <f t="shared" si="5"/>
        <v>0</v>
      </c>
      <c r="O67" s="12"/>
      <c r="P67" s="3">
        <f>0</f>
        <v>0</v>
      </c>
      <c r="Q67" s="3"/>
      <c r="R67" s="20"/>
      <c r="S67" s="3"/>
      <c r="T67" s="3">
        <f>-69.93</f>
        <v>-69.930000000000007</v>
      </c>
      <c r="U67" s="3"/>
      <c r="V67" s="20"/>
      <c r="W67" s="3"/>
      <c r="X67" s="3">
        <f t="shared" si="6"/>
        <v>69.930000000000007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","4218"," - ","SALES RETURN TAXABLE-STUDY GUI")</f>
        <v xml:space="preserve">          4218 - SALES RETURN TAXABLE-STUDY GUI</v>
      </c>
      <c r="C68" s="12"/>
      <c r="D68" s="3">
        <f>0</f>
        <v>0</v>
      </c>
      <c r="E68" s="3"/>
      <c r="F68" s="20"/>
      <c r="G68" s="3"/>
      <c r="H68" s="3">
        <f>-5.21</f>
        <v>-5.21</v>
      </c>
      <c r="I68" s="3"/>
      <c r="J68" s="20"/>
      <c r="K68" s="3"/>
      <c r="L68" s="3">
        <f t="shared" si="4"/>
        <v>5.21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-5.21</f>
        <v>-5.21</v>
      </c>
      <c r="U68" s="3"/>
      <c r="V68" s="20"/>
      <c r="W68" s="3"/>
      <c r="X68" s="3">
        <f t="shared" si="6"/>
        <v>5.21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","4226"," - ","SALES RETURN TAXABLE-WRITING I")</f>
        <v xml:space="preserve">          4226 - SALES RETURN TAXABLE-WRITING I</v>
      </c>
      <c r="C69" s="12"/>
      <c r="D69" s="3">
        <f>0</f>
        <v>0</v>
      </c>
      <c r="E69" s="3"/>
      <c r="F69" s="20"/>
      <c r="G69" s="3"/>
      <c r="H69" s="3">
        <f>0</f>
        <v>0</v>
      </c>
      <c r="I69" s="3"/>
      <c r="J69" s="20"/>
      <c r="K69" s="3"/>
      <c r="L69" s="3">
        <f t="shared" si="4"/>
        <v>0</v>
      </c>
      <c r="M69" s="3"/>
      <c r="N69" s="20">
        <f t="shared" si="5"/>
        <v>0</v>
      </c>
      <c r="O69" s="12"/>
      <c r="P69" s="3">
        <f>0</f>
        <v>0</v>
      </c>
      <c r="Q69" s="3"/>
      <c r="R69" s="20"/>
      <c r="S69" s="3"/>
      <c r="T69" s="3">
        <f>-34.23</f>
        <v>-34.229999999999997</v>
      </c>
      <c r="U69" s="3"/>
      <c r="V69" s="20"/>
      <c r="W69" s="3"/>
      <c r="X69" s="3">
        <f t="shared" si="6"/>
        <v>34.229999999999997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","4227"," - ","SALES RETURN TAXABLE-SCHOOL SU")</f>
        <v xml:space="preserve">          4227 - SALES RETURN TAXABLE-SCHOOL SU</v>
      </c>
      <c r="C70" s="12"/>
      <c r="D70" s="3">
        <f>0</f>
        <v>0</v>
      </c>
      <c r="E70" s="3"/>
      <c r="F70" s="20"/>
      <c r="G70" s="3"/>
      <c r="H70" s="3">
        <f>-64.39</f>
        <v>-64.39</v>
      </c>
      <c r="I70" s="3"/>
      <c r="J70" s="20"/>
      <c r="K70" s="3"/>
      <c r="L70" s="3">
        <f t="shared" si="4"/>
        <v>64.39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-846.12</f>
        <v>-846.12</v>
      </c>
      <c r="U70" s="3"/>
      <c r="V70" s="20"/>
      <c r="W70" s="3"/>
      <c r="X70" s="3">
        <f t="shared" si="6"/>
        <v>846.12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","4228"," - ","SALES RETURN TAXABLE-ART/TECH")</f>
        <v xml:space="preserve">          4228 - SALES RETURN TAXABLE-ART/TECH</v>
      </c>
      <c r="C71" s="12"/>
      <c r="D71" s="3">
        <f>0</f>
        <v>0</v>
      </c>
      <c r="E71" s="3"/>
      <c r="F71" s="20"/>
      <c r="G71" s="3"/>
      <c r="H71" s="3">
        <f>-98.38</f>
        <v>-98.38</v>
      </c>
      <c r="I71" s="3"/>
      <c r="J71" s="20"/>
      <c r="K71" s="3"/>
      <c r="L71" s="3">
        <f t="shared" si="4"/>
        <v>98.38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-12837.62</f>
        <v>-12837.62</v>
      </c>
      <c r="U71" s="3"/>
      <c r="V71" s="20"/>
      <c r="W71" s="3"/>
      <c r="X71" s="3">
        <f t="shared" si="6"/>
        <v>12837.62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","4240"," - ","SALES RETURN TAXABLE-LOGO CLOT")</f>
        <v xml:space="preserve">          4240 - SALES RETURN TAXABLE-LOGO CLOT</v>
      </c>
      <c r="C72" s="12"/>
      <c r="D72" s="3">
        <f>0</f>
        <v>0</v>
      </c>
      <c r="E72" s="3"/>
      <c r="F72" s="20"/>
      <c r="G72" s="3"/>
      <c r="H72" s="3">
        <f>-3924.84</f>
        <v>-3924.84</v>
      </c>
      <c r="I72" s="3"/>
      <c r="J72" s="20"/>
      <c r="K72" s="3"/>
      <c r="L72" s="3">
        <f t="shared" si="4"/>
        <v>3924.84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-35054.35</f>
        <v>-35054.35</v>
      </c>
      <c r="U72" s="3"/>
      <c r="V72" s="20"/>
      <c r="W72" s="3"/>
      <c r="X72" s="3">
        <f t="shared" si="6"/>
        <v>35054.35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","4241"," - ","SALES RETURN TAXABLE-LOGO GIFT")</f>
        <v xml:space="preserve">          4241 - SALES RETURN TAXABLE-LOGO GIFT</v>
      </c>
      <c r="C73" s="12"/>
      <c r="D73" s="3">
        <f>0</f>
        <v>0</v>
      </c>
      <c r="E73" s="3"/>
      <c r="F73" s="20"/>
      <c r="G73" s="3"/>
      <c r="H73" s="3">
        <f>-1222.82</f>
        <v>-1222.82</v>
      </c>
      <c r="I73" s="3"/>
      <c r="J73" s="20"/>
      <c r="K73" s="3"/>
      <c r="L73" s="3">
        <f t="shared" si="4"/>
        <v>1222.82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-6518.34</f>
        <v>-6518.34</v>
      </c>
      <c r="U73" s="3"/>
      <c r="V73" s="20"/>
      <c r="W73" s="3"/>
      <c r="X73" s="3">
        <f t="shared" si="6"/>
        <v>6518.34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","4242"," - ","SALES RETURN TAXABLE-EVERYDAY")</f>
        <v xml:space="preserve">          4242 - SALES RETURN TAXABLE-EVERYDAY</v>
      </c>
      <c r="C74" s="12"/>
      <c r="D74" s="3">
        <f>0</f>
        <v>0</v>
      </c>
      <c r="E74" s="3"/>
      <c r="F74" s="20"/>
      <c r="G74" s="3"/>
      <c r="H74" s="3">
        <f>-565.08</f>
        <v>-565.08000000000004</v>
      </c>
      <c r="I74" s="3"/>
      <c r="J74" s="20"/>
      <c r="K74" s="3"/>
      <c r="L74" s="3">
        <f t="shared" si="4"/>
        <v>565.08000000000004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-2303.82</f>
        <v>-2303.8200000000002</v>
      </c>
      <c r="U74" s="3"/>
      <c r="V74" s="20"/>
      <c r="W74" s="3"/>
      <c r="X74" s="3">
        <f t="shared" si="6"/>
        <v>2303.8200000000002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","4243"," - ","SALES RETURN TAXABLE-CARDS")</f>
        <v xml:space="preserve">          4243 - SALES RETURN TAXABLE-CARDS</v>
      </c>
      <c r="C75" s="12"/>
      <c r="D75" s="3">
        <f>0</f>
        <v>0</v>
      </c>
      <c r="E75" s="3"/>
      <c r="F75" s="20"/>
      <c r="G75" s="3"/>
      <c r="H75" s="3">
        <f>-572.63</f>
        <v>-572.63</v>
      </c>
      <c r="I75" s="3"/>
      <c r="J75" s="20"/>
      <c r="K75" s="3"/>
      <c r="L75" s="3">
        <f t="shared" si="4"/>
        <v>572.63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-5942.23</f>
        <v>-5942.23</v>
      </c>
      <c r="U75" s="3"/>
      <c r="V75" s="20"/>
      <c r="W75" s="3"/>
      <c r="X75" s="3">
        <f t="shared" si="6"/>
        <v>5942.23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","4244"," - ","SALES RETURN TAXABLE-ACCESSORI")</f>
        <v xml:space="preserve">          4244 - SALES RETURN TAXABLE-ACCESSORI</v>
      </c>
      <c r="C76" s="12"/>
      <c r="D76" s="3">
        <f>0</f>
        <v>0</v>
      </c>
      <c r="E76" s="3"/>
      <c r="F76" s="20"/>
      <c r="G76" s="3"/>
      <c r="H76" s="3">
        <f>-240.42</f>
        <v>-240.42</v>
      </c>
      <c r="I76" s="3"/>
      <c r="J76" s="20"/>
      <c r="K76" s="3"/>
      <c r="L76" s="3">
        <f t="shared" ref="L76:L85" si="8">+D76-H76</f>
        <v>240.42</v>
      </c>
      <c r="M76" s="3"/>
      <c r="N76" s="20">
        <f t="shared" ref="N76:N85" si="9">IF(H76=0,0,L76/H76)</f>
        <v>-1</v>
      </c>
      <c r="O76" s="12"/>
      <c r="P76" s="3">
        <f>0</f>
        <v>0</v>
      </c>
      <c r="Q76" s="3"/>
      <c r="R76" s="20"/>
      <c r="S76" s="3"/>
      <c r="T76" s="3">
        <f>-1235.26</f>
        <v>-1235.26</v>
      </c>
      <c r="U76" s="3"/>
      <c r="V76" s="20"/>
      <c r="W76" s="3"/>
      <c r="X76" s="3">
        <f t="shared" ref="X76:X85" si="10">+P76-T76</f>
        <v>1235.26</v>
      </c>
      <c r="Y76" s="3"/>
      <c r="Z76" s="20">
        <f t="shared" ref="Z76:Z85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","4245"," - ","SALES RETURN TAXABLE-SPECIAL O")</f>
        <v xml:space="preserve">          4245 - SALES RETURN TAXABLE-SPECIAL O</v>
      </c>
      <c r="C77" s="12"/>
      <c r="D77" s="3">
        <f>0</f>
        <v>0</v>
      </c>
      <c r="E77" s="3"/>
      <c r="F77" s="20"/>
      <c r="G77" s="3"/>
      <c r="H77" s="3">
        <f>0</f>
        <v>0</v>
      </c>
      <c r="I77" s="3"/>
      <c r="J77" s="20"/>
      <c r="K77" s="3"/>
      <c r="L77" s="3">
        <f t="shared" si="8"/>
        <v>0</v>
      </c>
      <c r="M77" s="3"/>
      <c r="N77" s="20">
        <f t="shared" si="9"/>
        <v>0</v>
      </c>
      <c r="O77" s="12"/>
      <c r="P77" s="3">
        <f>0</f>
        <v>0</v>
      </c>
      <c r="Q77" s="3"/>
      <c r="R77" s="20"/>
      <c r="S77" s="3"/>
      <c r="T77" s="3">
        <f>-11353.59</f>
        <v>-11353.59</v>
      </c>
      <c r="U77" s="3"/>
      <c r="V77" s="20"/>
      <c r="W77" s="3"/>
      <c r="X77" s="3">
        <f t="shared" si="10"/>
        <v>11353.59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","4300"," - ","NON-TAX RETURNS")</f>
        <v xml:space="preserve">          4300 - NON-TAX RETURNS</v>
      </c>
      <c r="C78" s="12"/>
      <c r="D78" s="3">
        <f>0</f>
        <v>0</v>
      </c>
      <c r="E78" s="3"/>
      <c r="F78" s="20"/>
      <c r="G78" s="3"/>
      <c r="H78" s="3">
        <f>0</f>
        <v>0</v>
      </c>
      <c r="I78" s="3"/>
      <c r="J78" s="20"/>
      <c r="K78" s="3"/>
      <c r="L78" s="3">
        <f t="shared" si="8"/>
        <v>0</v>
      </c>
      <c r="M78" s="3"/>
      <c r="N78" s="20">
        <f t="shared" si="9"/>
        <v>0</v>
      </c>
      <c r="O78" s="12"/>
      <c r="P78" s="3">
        <f>-31247.2</f>
        <v>-31247.200000000001</v>
      </c>
      <c r="Q78" s="3"/>
      <c r="R78" s="20"/>
      <c r="S78" s="3"/>
      <c r="T78" s="3">
        <f>0</f>
        <v>0</v>
      </c>
      <c r="U78" s="3"/>
      <c r="V78" s="20"/>
      <c r="W78" s="3"/>
      <c r="X78" s="3">
        <f t="shared" si="10"/>
        <v>-31247.200000000001</v>
      </c>
      <c r="Y78" s="3"/>
      <c r="Z78" s="20">
        <f t="shared" si="11"/>
        <v>0</v>
      </c>
    </row>
    <row r="79" spans="1:26" s="69" customFormat="1" ht="15" hidden="1" customHeight="1" outlineLevel="1" x14ac:dyDescent="0.3">
      <c r="A79" s="42"/>
      <c r="B79" s="12" t="str">
        <f>CONCATENATE("          ","4301"," - ","SALES RETURN NON TAXABLE-NEW T")</f>
        <v xml:space="preserve">          4301 - SALES RETURN NON TAXABLE-NEW T</v>
      </c>
      <c r="C79" s="12"/>
      <c r="D79" s="3">
        <f>0</f>
        <v>0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8"/>
        <v>0</v>
      </c>
      <c r="M79" s="3"/>
      <c r="N79" s="20">
        <f t="shared" si="9"/>
        <v>0</v>
      </c>
      <c r="O79" s="12"/>
      <c r="P79" s="3">
        <f>0</f>
        <v>0</v>
      </c>
      <c r="Q79" s="3"/>
      <c r="R79" s="20"/>
      <c r="S79" s="3"/>
      <c r="T79" s="3">
        <f>-3237.29</f>
        <v>-3237.29</v>
      </c>
      <c r="U79" s="3"/>
      <c r="V79" s="20"/>
      <c r="W79" s="3"/>
      <c r="X79" s="3">
        <f t="shared" si="10"/>
        <v>3237.29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","4302"," - ","SALES RETURN NON TAXABLE-TEXT")</f>
        <v xml:space="preserve">          4302 - SALES RETURN NON TAXABLE-TEXT</v>
      </c>
      <c r="C80" s="12"/>
      <c r="D80" s="3">
        <f>0</f>
        <v>0</v>
      </c>
      <c r="E80" s="3"/>
      <c r="F80" s="20"/>
      <c r="G80" s="3"/>
      <c r="H80" s="3">
        <f>-270.87</f>
        <v>-270.87</v>
      </c>
      <c r="I80" s="3"/>
      <c r="J80" s="20"/>
      <c r="K80" s="3"/>
      <c r="L80" s="3">
        <f t="shared" si="8"/>
        <v>270.87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-2344.35</f>
        <v>-2344.35</v>
      </c>
      <c r="U80" s="3"/>
      <c r="V80" s="20"/>
      <c r="W80" s="3"/>
      <c r="X80" s="3">
        <f t="shared" si="10"/>
        <v>2344.35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","4304"," - ","SALES RETURN NON TAXABLE-DIGIT")</f>
        <v xml:space="preserve">          4304 - SALES RETURN NON TAXABLE-DIGIT</v>
      </c>
      <c r="C81" s="12"/>
      <c r="D81" s="3">
        <f>0</f>
        <v>0</v>
      </c>
      <c r="E81" s="3"/>
      <c r="F81" s="20"/>
      <c r="G81" s="3"/>
      <c r="H81" s="3">
        <f>-275.04</f>
        <v>-275.04000000000002</v>
      </c>
      <c r="I81" s="3"/>
      <c r="J81" s="20"/>
      <c r="K81" s="3"/>
      <c r="L81" s="3">
        <f t="shared" si="8"/>
        <v>275.04000000000002</v>
      </c>
      <c r="M81" s="3"/>
      <c r="N81" s="20">
        <f t="shared" si="9"/>
        <v>-1</v>
      </c>
      <c r="O81" s="12"/>
      <c r="P81" s="3">
        <f>0</f>
        <v>0</v>
      </c>
      <c r="Q81" s="3"/>
      <c r="R81" s="20"/>
      <c r="S81" s="3"/>
      <c r="T81" s="3">
        <f>-27543.76</f>
        <v>-27543.759999999998</v>
      </c>
      <c r="U81" s="3"/>
      <c r="V81" s="20"/>
      <c r="W81" s="3"/>
      <c r="X81" s="3">
        <f t="shared" si="10"/>
        <v>27543.759999999998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","4340"," - ","SALES RETURN NON TAXABLE-LOGO")</f>
        <v xml:space="preserve">          4340 - SALES RETURN NON TAXABLE-LOGO</v>
      </c>
      <c r="C82" s="12"/>
      <c r="D82" s="3">
        <f>0</f>
        <v>0</v>
      </c>
      <c r="E82" s="3"/>
      <c r="F82" s="20"/>
      <c r="G82" s="3"/>
      <c r="H82" s="3">
        <f>-350.55</f>
        <v>-350.55</v>
      </c>
      <c r="I82" s="3"/>
      <c r="J82" s="20"/>
      <c r="K82" s="3"/>
      <c r="L82" s="3">
        <f t="shared" si="8"/>
        <v>350.55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-2643.39</f>
        <v>-2643.39</v>
      </c>
      <c r="U82" s="3"/>
      <c r="V82" s="20"/>
      <c r="W82" s="3"/>
      <c r="X82" s="3">
        <f t="shared" si="10"/>
        <v>2643.39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","4341"," - ","SALES RETURN NON TAXABLE-LOGO")</f>
        <v xml:space="preserve">          4341 - SALES RETURN NON TAXABLE-LOGO</v>
      </c>
      <c r="C83" s="12"/>
      <c r="D83" s="3">
        <f>0</f>
        <v>0</v>
      </c>
      <c r="E83" s="3"/>
      <c r="F83" s="20"/>
      <c r="G83" s="3"/>
      <c r="H83" s="3">
        <f>-29.9</f>
        <v>-29.9</v>
      </c>
      <c r="I83" s="3"/>
      <c r="J83" s="20"/>
      <c r="K83" s="3"/>
      <c r="L83" s="3">
        <f t="shared" si="8"/>
        <v>29.9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-392.54</f>
        <v>-392.54</v>
      </c>
      <c r="U83" s="3"/>
      <c r="V83" s="20"/>
      <c r="W83" s="3"/>
      <c r="X83" s="3">
        <f t="shared" si="10"/>
        <v>392.54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","4342"," - ","SALES RETURN NON TAXABLE-EVERY")</f>
        <v xml:space="preserve">          4342 - SALES RETURN NON TAXABLE-EVERY</v>
      </c>
      <c r="C84" s="12"/>
      <c r="D84" s="3">
        <f>0</f>
        <v>0</v>
      </c>
      <c r="E84" s="3"/>
      <c r="F84" s="20"/>
      <c r="G84" s="3"/>
      <c r="H84" s="3">
        <f>0</f>
        <v>0</v>
      </c>
      <c r="I84" s="3"/>
      <c r="J84" s="20"/>
      <c r="K84" s="3"/>
      <c r="L84" s="3">
        <f t="shared" si="8"/>
        <v>0</v>
      </c>
      <c r="M84" s="3"/>
      <c r="N84" s="20">
        <f t="shared" si="9"/>
        <v>0</v>
      </c>
      <c r="O84" s="12"/>
      <c r="P84" s="3">
        <f>0</f>
        <v>0</v>
      </c>
      <c r="Q84" s="3"/>
      <c r="R84" s="20"/>
      <c r="S84" s="3"/>
      <c r="T84" s="3">
        <f>-118.7</f>
        <v>-118.7</v>
      </c>
      <c r="U84" s="3"/>
      <c r="V84" s="20"/>
      <c r="W84" s="3"/>
      <c r="X84" s="3">
        <f t="shared" si="10"/>
        <v>118.7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","4500"," - ","SALES DISCOUNT")</f>
        <v xml:space="preserve">          4500 - SALES DISCOUNT</v>
      </c>
      <c r="C85" s="12"/>
      <c r="D85" s="3">
        <f>-9360.04</f>
        <v>-9360.0400000000009</v>
      </c>
      <c r="E85" s="3"/>
      <c r="F85" s="20"/>
      <c r="G85" s="3"/>
      <c r="H85" s="3">
        <f>0</f>
        <v>0</v>
      </c>
      <c r="I85" s="3"/>
      <c r="J85" s="20"/>
      <c r="K85" s="3"/>
      <c r="L85" s="3">
        <f t="shared" si="8"/>
        <v>-9360.0400000000009</v>
      </c>
      <c r="M85" s="3"/>
      <c r="N85" s="20">
        <f t="shared" si="9"/>
        <v>0</v>
      </c>
      <c r="O85" s="12"/>
      <c r="P85" s="3">
        <f>-91907.14</f>
        <v>-91907.14</v>
      </c>
      <c r="Q85" s="3"/>
      <c r="R85" s="20"/>
      <c r="S85" s="3"/>
      <c r="T85" s="3">
        <f>0</f>
        <v>0</v>
      </c>
      <c r="U85" s="3"/>
      <c r="V85" s="20"/>
      <c r="W85" s="3"/>
      <c r="X85" s="3">
        <f t="shared" si="10"/>
        <v>-91907.14</v>
      </c>
      <c r="Y85" s="3"/>
      <c r="Z85" s="20">
        <f t="shared" si="11"/>
        <v>0</v>
      </c>
    </row>
    <row r="86" spans="1:26" ht="15" customHeight="1" x14ac:dyDescent="0.3">
      <c r="A86" s="10"/>
      <c r="B86" s="11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collapsed="1" x14ac:dyDescent="0.3">
      <c r="A87" s="11"/>
      <c r="B87" s="28" t="s">
        <v>287</v>
      </c>
      <c r="C87" s="11"/>
      <c r="D87" s="5">
        <f>SUM(OSRRefD16x_0)</f>
        <v>301569.03999999998</v>
      </c>
      <c r="E87" s="5"/>
      <c r="F87" s="13">
        <f t="shared" ref="F87:F130" si="12">IF(D$12=0,0,D87/D$12)</f>
        <v>0.41548980461625157</v>
      </c>
      <c r="G87" s="5"/>
      <c r="H87" s="5">
        <f>SUM(OSRRefH16x_0)</f>
        <v>98644.250000000044</v>
      </c>
      <c r="I87" s="5"/>
      <c r="J87" s="13">
        <f t="shared" ref="J87:J130" si="13">IF(H$12=0,0,H87/H$12)</f>
        <v>0.5361239819164868</v>
      </c>
      <c r="K87" s="5"/>
      <c r="L87" s="5">
        <f t="shared" ref="L87:L130" si="14">+D87-H87</f>
        <v>202924.78999999992</v>
      </c>
      <c r="M87" s="5"/>
      <c r="N87" s="13">
        <f t="shared" ref="N87:N130" si="15">IF(H87=0,0,L87/H87)</f>
        <v>2.057137542228765</v>
      </c>
      <c r="O87" s="11"/>
      <c r="P87" s="5">
        <f>SUM(OSRRefP16x_0)</f>
        <v>3459926.47</v>
      </c>
      <c r="Q87" s="5"/>
      <c r="R87" s="13">
        <f t="shared" ref="R87:R130" si="16">IF(P$12=0,0,P87/P$12)</f>
        <v>0.56754781376182106</v>
      </c>
      <c r="S87" s="5"/>
      <c r="T87" s="5">
        <f>SUM(OSRRefT16x_0)</f>
        <v>2749195.1200000006</v>
      </c>
      <c r="U87" s="5"/>
      <c r="V87" s="13">
        <f t="shared" ref="V87:V130" si="17">IF(T$12=0,0,T87/T$12)</f>
        <v>0.64429314215407296</v>
      </c>
      <c r="W87" s="5"/>
      <c r="X87" s="5">
        <f t="shared" ref="X87:X130" si="18">+P87-T87</f>
        <v>710731.34999999963</v>
      </c>
      <c r="Y87" s="5"/>
      <c r="Z87" s="13">
        <f t="shared" ref="Z87:Z130" si="19">IF(T87=0,0,X87/T87)</f>
        <v>0.25852342921371091</v>
      </c>
    </row>
    <row r="88" spans="1:26" s="69" customFormat="1" ht="15" hidden="1" customHeight="1" outlineLevel="1" x14ac:dyDescent="0.3">
      <c r="A88" s="42"/>
      <c r="B88" s="12" t="str">
        <f>CONCATENATE("          ","5000"," - ","PURCHASES @ COST")</f>
        <v xml:space="preserve">          5000 - PURCHASES @ COST</v>
      </c>
      <c r="C88" s="12"/>
      <c r="D88" s="3">
        <v>120420.52</v>
      </c>
      <c r="E88" s="3"/>
      <c r="F88" s="20">
        <f t="shared" si="12"/>
        <v>0.16591059323127938</v>
      </c>
      <c r="G88" s="3"/>
      <c r="H88" s="3">
        <v>0</v>
      </c>
      <c r="I88" s="3"/>
      <c r="J88" s="20">
        <f t="shared" si="13"/>
        <v>0</v>
      </c>
      <c r="K88" s="3"/>
      <c r="L88" s="3">
        <f t="shared" si="14"/>
        <v>120420.52</v>
      </c>
      <c r="M88" s="3"/>
      <c r="N88" s="20">
        <f t="shared" si="15"/>
        <v>0</v>
      </c>
      <c r="O88" s="12"/>
      <c r="P88" s="3">
        <v>3521577.49</v>
      </c>
      <c r="Q88" s="3"/>
      <c r="R88" s="20">
        <f t="shared" si="16"/>
        <v>0.57766071700429555</v>
      </c>
      <c r="S88" s="3"/>
      <c r="T88" s="3">
        <v>0</v>
      </c>
      <c r="U88" s="3"/>
      <c r="V88" s="20">
        <f t="shared" si="17"/>
        <v>0</v>
      </c>
      <c r="W88" s="3"/>
      <c r="X88" s="3">
        <f t="shared" si="18"/>
        <v>3521577.49</v>
      </c>
      <c r="Y88" s="3"/>
      <c r="Z88" s="20">
        <f t="shared" si="19"/>
        <v>0</v>
      </c>
    </row>
    <row r="89" spans="1:26" s="69" customFormat="1" ht="15" hidden="1" customHeight="1" outlineLevel="1" x14ac:dyDescent="0.3">
      <c r="A89" s="42"/>
      <c r="B89" s="12" t="str">
        <f>CONCATENATE("          ","5001"," - ","PURCHASES @ COST-NEW TEXT")</f>
        <v xml:space="preserve">          5001 - PURCHASES @ COST-NEW TEXT</v>
      </c>
      <c r="C89" s="12"/>
      <c r="D89" s="3"/>
      <c r="E89" s="3"/>
      <c r="F89" s="20">
        <f t="shared" si="12"/>
        <v>0</v>
      </c>
      <c r="G89" s="3"/>
      <c r="H89" s="3">
        <v>-290899.24</v>
      </c>
      <c r="I89" s="3"/>
      <c r="J89" s="20">
        <f t="shared" si="13"/>
        <v>-1.5810152024601503</v>
      </c>
      <c r="K89" s="3"/>
      <c r="L89" s="3">
        <f t="shared" si="14"/>
        <v>290899.24</v>
      </c>
      <c r="M89" s="3"/>
      <c r="N89" s="20">
        <f t="shared" si="15"/>
        <v>-1</v>
      </c>
      <c r="O89" s="12"/>
      <c r="P89" s="3">
        <v>0</v>
      </c>
      <c r="Q89" s="3"/>
      <c r="R89" s="20">
        <f t="shared" si="16"/>
        <v>0</v>
      </c>
      <c r="S89" s="3"/>
      <c r="T89" s="3">
        <v>1035516.4</v>
      </c>
      <c r="U89" s="3"/>
      <c r="V89" s="20">
        <f t="shared" si="17"/>
        <v>0.24268052502147383</v>
      </c>
      <c r="W89" s="3"/>
      <c r="X89" s="3">
        <f t="shared" si="18"/>
        <v>-1035516.4</v>
      </c>
      <c r="Y89" s="3"/>
      <c r="Z89" s="20">
        <f t="shared" si="19"/>
        <v>-1</v>
      </c>
    </row>
    <row r="90" spans="1:26" s="69" customFormat="1" ht="15" hidden="1" customHeight="1" outlineLevel="1" x14ac:dyDescent="0.3">
      <c r="A90" s="42"/>
      <c r="B90" s="12" t="str">
        <f>CONCATENATE("          ","5002"," - ","PURCHASES @ COST-USED TEXT")</f>
        <v xml:space="preserve">          5002 - PURCHASES @ COST-USED TEXT</v>
      </c>
      <c r="C90" s="12"/>
      <c r="D90" s="3"/>
      <c r="E90" s="3"/>
      <c r="F90" s="20">
        <f t="shared" si="12"/>
        <v>0</v>
      </c>
      <c r="G90" s="3"/>
      <c r="H90" s="3">
        <v>14728.45</v>
      </c>
      <c r="I90" s="3"/>
      <c r="J90" s="20">
        <f t="shared" si="13"/>
        <v>8.0048003420958413E-2</v>
      </c>
      <c r="K90" s="3"/>
      <c r="L90" s="3">
        <f t="shared" si="14"/>
        <v>-14728.45</v>
      </c>
      <c r="M90" s="3"/>
      <c r="N90" s="20">
        <f t="shared" si="15"/>
        <v>-1</v>
      </c>
      <c r="O90" s="12"/>
      <c r="P90" s="3">
        <v>0</v>
      </c>
      <c r="Q90" s="3"/>
      <c r="R90" s="20">
        <f t="shared" si="16"/>
        <v>0</v>
      </c>
      <c r="S90" s="3"/>
      <c r="T90" s="3">
        <v>397052.67</v>
      </c>
      <c r="U90" s="3"/>
      <c r="V90" s="20">
        <f t="shared" si="17"/>
        <v>9.3052075676230708E-2</v>
      </c>
      <c r="W90" s="3"/>
      <c r="X90" s="3">
        <f t="shared" si="18"/>
        <v>-397052.67</v>
      </c>
      <c r="Y90" s="3"/>
      <c r="Z90" s="20">
        <f t="shared" si="19"/>
        <v>-1</v>
      </c>
    </row>
    <row r="91" spans="1:26" s="69" customFormat="1" ht="15" hidden="1" customHeight="1" outlineLevel="1" x14ac:dyDescent="0.3">
      <c r="A91" s="42"/>
      <c r="B91" s="12" t="str">
        <f>CONCATENATE("          ","5003"," - ","PURCHASES @ COST-RENTAL TEXT")</f>
        <v xml:space="preserve">          5003 - PURCHASES @ COST-RENTAL TEXT</v>
      </c>
      <c r="C91" s="12"/>
      <c r="D91" s="3"/>
      <c r="E91" s="3"/>
      <c r="F91" s="20">
        <f t="shared" si="12"/>
        <v>0</v>
      </c>
      <c r="G91" s="3"/>
      <c r="H91" s="3"/>
      <c r="I91" s="3"/>
      <c r="J91" s="20">
        <f t="shared" si="13"/>
        <v>0</v>
      </c>
      <c r="K91" s="3"/>
      <c r="L91" s="3">
        <f t="shared" si="14"/>
        <v>0</v>
      </c>
      <c r="M91" s="3"/>
      <c r="N91" s="20">
        <f t="shared" si="15"/>
        <v>0</v>
      </c>
      <c r="O91" s="12"/>
      <c r="P91" s="3"/>
      <c r="Q91" s="3"/>
      <c r="R91" s="20">
        <f t="shared" si="16"/>
        <v>0</v>
      </c>
      <c r="S91" s="3"/>
      <c r="T91" s="3">
        <v>32.520000000000003</v>
      </c>
      <c r="U91" s="3"/>
      <c r="V91" s="20">
        <f t="shared" si="17"/>
        <v>7.621289893330834E-6</v>
      </c>
      <c r="W91" s="3"/>
      <c r="X91" s="3">
        <f t="shared" si="18"/>
        <v>-32.520000000000003</v>
      </c>
      <c r="Y91" s="3"/>
      <c r="Z91" s="20">
        <f t="shared" si="19"/>
        <v>-1</v>
      </c>
    </row>
    <row r="92" spans="1:26" s="69" customFormat="1" ht="15" hidden="1" customHeight="1" outlineLevel="1" x14ac:dyDescent="0.3">
      <c r="A92" s="42"/>
      <c r="B92" s="12" t="str">
        <f>CONCATENATE("          ","5004"," - ","PURCHASES @ COST-DIGITAL TEXT")</f>
        <v xml:space="preserve">          5004 - PURCHASES @ COST-DIGITAL TEXT</v>
      </c>
      <c r="C92" s="12"/>
      <c r="D92" s="3"/>
      <c r="E92" s="3"/>
      <c r="F92" s="20">
        <f t="shared" si="12"/>
        <v>0</v>
      </c>
      <c r="G92" s="3"/>
      <c r="H92" s="3">
        <v>-13446.08</v>
      </c>
      <c r="I92" s="3"/>
      <c r="J92" s="20">
        <f t="shared" si="13"/>
        <v>-7.3078420189394033E-2</v>
      </c>
      <c r="K92" s="3"/>
      <c r="L92" s="3">
        <f t="shared" si="14"/>
        <v>13446.08</v>
      </c>
      <c r="M92" s="3"/>
      <c r="N92" s="20">
        <f t="shared" si="15"/>
        <v>-1</v>
      </c>
      <c r="O92" s="12"/>
      <c r="P92" s="3">
        <v>0</v>
      </c>
      <c r="Q92" s="3"/>
      <c r="R92" s="20">
        <f t="shared" si="16"/>
        <v>0</v>
      </c>
      <c r="S92" s="3"/>
      <c r="T92" s="3">
        <v>206562.5</v>
      </c>
      <c r="U92" s="3"/>
      <c r="V92" s="20">
        <f t="shared" si="17"/>
        <v>4.8409369421622085E-2</v>
      </c>
      <c r="W92" s="3"/>
      <c r="X92" s="3">
        <f t="shared" si="18"/>
        <v>-206562.5</v>
      </c>
      <c r="Y92" s="3"/>
      <c r="Z92" s="20">
        <f t="shared" si="19"/>
        <v>-1</v>
      </c>
    </row>
    <row r="93" spans="1:26" s="69" customFormat="1" ht="15" hidden="1" customHeight="1" outlineLevel="1" x14ac:dyDescent="0.3">
      <c r="A93" s="42"/>
      <c r="B93" s="12" t="str">
        <f>CONCATENATE("          ","5011"," - ","PURCHASES @ COST-NO VALUE TEXT")</f>
        <v xml:space="preserve">          5011 - PURCHASES @ COST-NO VALUE TEXT</v>
      </c>
      <c r="C93" s="12"/>
      <c r="D93" s="3"/>
      <c r="E93" s="3"/>
      <c r="F93" s="20">
        <f t="shared" si="12"/>
        <v>0</v>
      </c>
      <c r="G93" s="3"/>
      <c r="H93" s="3"/>
      <c r="I93" s="3"/>
      <c r="J93" s="20">
        <f t="shared" si="13"/>
        <v>0</v>
      </c>
      <c r="K93" s="3"/>
      <c r="L93" s="3">
        <f t="shared" si="14"/>
        <v>0</v>
      </c>
      <c r="M93" s="3"/>
      <c r="N93" s="20">
        <f t="shared" si="15"/>
        <v>0</v>
      </c>
      <c r="O93" s="12"/>
      <c r="P93" s="3"/>
      <c r="Q93" s="3"/>
      <c r="R93" s="20">
        <f t="shared" si="16"/>
        <v>0</v>
      </c>
      <c r="S93" s="3"/>
      <c r="T93" s="3">
        <v>67.17</v>
      </c>
      <c r="U93" s="3"/>
      <c r="V93" s="20">
        <f t="shared" si="17"/>
        <v>1.5741760213254371E-5</v>
      </c>
      <c r="W93" s="3"/>
      <c r="X93" s="3">
        <f t="shared" si="18"/>
        <v>-67.17</v>
      </c>
      <c r="Y93" s="3"/>
      <c r="Z93" s="20">
        <f t="shared" si="19"/>
        <v>-1</v>
      </c>
    </row>
    <row r="94" spans="1:26" s="69" customFormat="1" ht="15" hidden="1" customHeight="1" outlineLevel="1" x14ac:dyDescent="0.3">
      <c r="A94" s="42"/>
      <c r="B94" s="12" t="str">
        <f>CONCATENATE("          ","5013"," - ","PURCHASES @ COST-TRADE BOOKS")</f>
        <v xml:space="preserve">          5013 - PURCHASES @ COST-TRADE BOOKS</v>
      </c>
      <c r="C94" s="12"/>
      <c r="D94" s="3"/>
      <c r="E94" s="3"/>
      <c r="F94" s="20">
        <f t="shared" si="12"/>
        <v>0</v>
      </c>
      <c r="G94" s="3"/>
      <c r="H94" s="3">
        <v>2907.93</v>
      </c>
      <c r="I94" s="3"/>
      <c r="J94" s="20">
        <f t="shared" si="13"/>
        <v>1.5804377961557908E-2</v>
      </c>
      <c r="K94" s="3"/>
      <c r="L94" s="3">
        <f t="shared" si="14"/>
        <v>-2907.93</v>
      </c>
      <c r="M94" s="3"/>
      <c r="N94" s="20">
        <f t="shared" si="15"/>
        <v>-1</v>
      </c>
      <c r="O94" s="12"/>
      <c r="P94" s="3"/>
      <c r="Q94" s="3"/>
      <c r="R94" s="20">
        <f t="shared" si="16"/>
        <v>0</v>
      </c>
      <c r="S94" s="3"/>
      <c r="T94" s="3">
        <v>8870.02</v>
      </c>
      <c r="U94" s="3"/>
      <c r="V94" s="20">
        <f t="shared" si="17"/>
        <v>2.0787513462374651E-3</v>
      </c>
      <c r="W94" s="3"/>
      <c r="X94" s="3">
        <f t="shared" si="18"/>
        <v>-8870.02</v>
      </c>
      <c r="Y94" s="3"/>
      <c r="Z94" s="20">
        <f t="shared" si="19"/>
        <v>-1</v>
      </c>
    </row>
    <row r="95" spans="1:26" s="69" customFormat="1" ht="15" hidden="1" customHeight="1" outlineLevel="1" x14ac:dyDescent="0.3">
      <c r="A95" s="42"/>
      <c r="B95" s="12" t="str">
        <f>CONCATENATE("          ","5014"," - ","PURCHASES @ COST-REMAINDERS")</f>
        <v xml:space="preserve">          5014 - PURCHASES @ COST-REMAINDERS</v>
      </c>
      <c r="C95" s="12"/>
      <c r="D95" s="3"/>
      <c r="E95" s="3"/>
      <c r="F95" s="20">
        <f t="shared" si="12"/>
        <v>0</v>
      </c>
      <c r="G95" s="3"/>
      <c r="H95" s="3"/>
      <c r="I95" s="3"/>
      <c r="J95" s="20">
        <f t="shared" si="13"/>
        <v>0</v>
      </c>
      <c r="K95" s="3"/>
      <c r="L95" s="3">
        <f t="shared" si="14"/>
        <v>0</v>
      </c>
      <c r="M95" s="3"/>
      <c r="N95" s="20">
        <f t="shared" si="15"/>
        <v>0</v>
      </c>
      <c r="O95" s="12"/>
      <c r="P95" s="3"/>
      <c r="Q95" s="3"/>
      <c r="R95" s="20">
        <f t="shared" si="16"/>
        <v>0</v>
      </c>
      <c r="S95" s="3"/>
      <c r="T95" s="3">
        <v>111.57</v>
      </c>
      <c r="U95" s="3"/>
      <c r="V95" s="20">
        <f t="shared" si="17"/>
        <v>2.6147211359130412E-5</v>
      </c>
      <c r="W95" s="3"/>
      <c r="X95" s="3">
        <f t="shared" si="18"/>
        <v>-111.57</v>
      </c>
      <c r="Y95" s="3"/>
      <c r="Z95" s="20">
        <f t="shared" si="19"/>
        <v>-1</v>
      </c>
    </row>
    <row r="96" spans="1:26" s="69" customFormat="1" ht="15" hidden="1" customHeight="1" outlineLevel="1" x14ac:dyDescent="0.3">
      <c r="A96" s="42"/>
      <c r="B96" s="12" t="str">
        <f>CONCATENATE("          ","5018"," - ","PURCHASES @ COST-STUDY GUIDES")</f>
        <v xml:space="preserve">          5018 - PURCHASES @ COST-STUDY GUIDES</v>
      </c>
      <c r="C96" s="12"/>
      <c r="D96" s="3"/>
      <c r="E96" s="3"/>
      <c r="F96" s="20">
        <f t="shared" si="12"/>
        <v>0</v>
      </c>
      <c r="G96" s="3"/>
      <c r="H96" s="3">
        <v>444.87</v>
      </c>
      <c r="I96" s="3"/>
      <c r="J96" s="20">
        <f t="shared" si="13"/>
        <v>2.4178345502671203E-3</v>
      </c>
      <c r="K96" s="3"/>
      <c r="L96" s="3">
        <f t="shared" si="14"/>
        <v>-444.87</v>
      </c>
      <c r="M96" s="3"/>
      <c r="N96" s="20">
        <f t="shared" si="15"/>
        <v>-1</v>
      </c>
      <c r="O96" s="12"/>
      <c r="P96" s="3"/>
      <c r="Q96" s="3"/>
      <c r="R96" s="20">
        <f t="shared" si="16"/>
        <v>0</v>
      </c>
      <c r="S96" s="3"/>
      <c r="T96" s="3">
        <v>967.21</v>
      </c>
      <c r="U96" s="3"/>
      <c r="V96" s="20">
        <f t="shared" si="17"/>
        <v>2.266724415045669E-4</v>
      </c>
      <c r="W96" s="3"/>
      <c r="X96" s="3">
        <f t="shared" si="18"/>
        <v>-967.21</v>
      </c>
      <c r="Y96" s="3"/>
      <c r="Z96" s="20">
        <f t="shared" si="19"/>
        <v>-1</v>
      </c>
    </row>
    <row r="97" spans="1:26" s="69" customFormat="1" ht="15" hidden="1" customHeight="1" outlineLevel="1" x14ac:dyDescent="0.3">
      <c r="A97" s="42"/>
      <c r="B97" s="12" t="str">
        <f>CONCATENATE("          ","5025"," - ","PURCHASES @ COST-TEST FORMS")</f>
        <v xml:space="preserve">          5025 - PURCHASES @ COST-TEST FORMS</v>
      </c>
      <c r="C97" s="12"/>
      <c r="D97" s="3"/>
      <c r="E97" s="3"/>
      <c r="F97" s="20">
        <f t="shared" si="12"/>
        <v>0</v>
      </c>
      <c r="G97" s="3"/>
      <c r="H97" s="3"/>
      <c r="I97" s="3"/>
      <c r="J97" s="20">
        <f t="shared" si="13"/>
        <v>0</v>
      </c>
      <c r="K97" s="3"/>
      <c r="L97" s="3">
        <f t="shared" si="14"/>
        <v>0</v>
      </c>
      <c r="M97" s="3"/>
      <c r="N97" s="20">
        <f t="shared" si="15"/>
        <v>0</v>
      </c>
      <c r="O97" s="12"/>
      <c r="P97" s="3"/>
      <c r="Q97" s="3"/>
      <c r="R97" s="20">
        <f t="shared" si="16"/>
        <v>0</v>
      </c>
      <c r="S97" s="3"/>
      <c r="T97" s="3">
        <v>599.29</v>
      </c>
      <c r="U97" s="3"/>
      <c r="V97" s="20">
        <f t="shared" si="17"/>
        <v>1.404478111984697E-4</v>
      </c>
      <c r="W97" s="3"/>
      <c r="X97" s="3">
        <f t="shared" si="18"/>
        <v>-599.29</v>
      </c>
      <c r="Y97" s="3"/>
      <c r="Z97" s="20">
        <f t="shared" si="19"/>
        <v>-1</v>
      </c>
    </row>
    <row r="98" spans="1:26" s="69" customFormat="1" ht="15" hidden="1" customHeight="1" outlineLevel="1" x14ac:dyDescent="0.3">
      <c r="A98" s="42"/>
      <c r="B98" s="12" t="str">
        <f>CONCATENATE("          ","5026"," - ","PURCHASES @ COST-WRITING INSTR")</f>
        <v xml:space="preserve">          5026 - PURCHASES @ COST-WRITING INSTR</v>
      </c>
      <c r="C98" s="12"/>
      <c r="D98" s="3"/>
      <c r="E98" s="3"/>
      <c r="F98" s="20">
        <f t="shared" si="12"/>
        <v>0</v>
      </c>
      <c r="G98" s="3"/>
      <c r="H98" s="3">
        <v>209.64</v>
      </c>
      <c r="I98" s="3"/>
      <c r="J98" s="20">
        <f t="shared" si="13"/>
        <v>1.139377425130935E-3</v>
      </c>
      <c r="K98" s="3"/>
      <c r="L98" s="3">
        <f t="shared" si="14"/>
        <v>-209.64</v>
      </c>
      <c r="M98" s="3"/>
      <c r="N98" s="20">
        <f t="shared" si="15"/>
        <v>-1</v>
      </c>
      <c r="O98" s="12"/>
      <c r="P98" s="3">
        <v>0</v>
      </c>
      <c r="Q98" s="3"/>
      <c r="R98" s="20">
        <f t="shared" si="16"/>
        <v>0</v>
      </c>
      <c r="S98" s="3"/>
      <c r="T98" s="3">
        <v>584.54999999999995</v>
      </c>
      <c r="U98" s="3"/>
      <c r="V98" s="20">
        <f t="shared" si="17"/>
        <v>1.3699338890364509E-4</v>
      </c>
      <c r="W98" s="3"/>
      <c r="X98" s="3">
        <f t="shared" si="18"/>
        <v>-584.54999999999995</v>
      </c>
      <c r="Y98" s="3"/>
      <c r="Z98" s="20">
        <f t="shared" si="19"/>
        <v>-1</v>
      </c>
    </row>
    <row r="99" spans="1:26" s="69" customFormat="1" ht="15" hidden="1" customHeight="1" outlineLevel="1" x14ac:dyDescent="0.3">
      <c r="A99" s="42"/>
      <c r="B99" s="12" t="str">
        <f>CONCATENATE("          ","5027"," - ","PURCHASES @ COST-SCHOOL SUPPLI")</f>
        <v xml:space="preserve">          5027 - PURCHASES @ COST-SCHOOL SUPPLI</v>
      </c>
      <c r="C99" s="12"/>
      <c r="D99" s="3"/>
      <c r="E99" s="3"/>
      <c r="F99" s="20">
        <f t="shared" si="12"/>
        <v>0</v>
      </c>
      <c r="G99" s="3"/>
      <c r="H99" s="3">
        <v>2824.53</v>
      </c>
      <c r="I99" s="3"/>
      <c r="J99" s="20">
        <f t="shared" si="13"/>
        <v>1.5351105316757681E-2</v>
      </c>
      <c r="K99" s="3"/>
      <c r="L99" s="3">
        <f t="shared" si="14"/>
        <v>-2824.53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21895.88</v>
      </c>
      <c r="U99" s="3"/>
      <c r="V99" s="20">
        <f t="shared" si="17"/>
        <v>5.1314529197289283E-3</v>
      </c>
      <c r="W99" s="3"/>
      <c r="X99" s="3">
        <f t="shared" si="18"/>
        <v>-21895.88</v>
      </c>
      <c r="Y99" s="3"/>
      <c r="Z99" s="20">
        <f t="shared" si="19"/>
        <v>-1</v>
      </c>
    </row>
    <row r="100" spans="1:26" s="69" customFormat="1" ht="15" hidden="1" customHeight="1" outlineLevel="1" x14ac:dyDescent="0.3">
      <c r="A100" s="42"/>
      <c r="B100" s="12" t="str">
        <f>CONCATENATE("          ","5028"," - ","PURCHASES @ COST-ART/TECH")</f>
        <v xml:space="preserve">          5028 - PURCHASES @ COST-ART/TECH</v>
      </c>
      <c r="C100" s="12"/>
      <c r="D100" s="3"/>
      <c r="E100" s="3"/>
      <c r="F100" s="20">
        <f t="shared" si="12"/>
        <v>0</v>
      </c>
      <c r="G100" s="3"/>
      <c r="H100" s="3">
        <v>3443.78</v>
      </c>
      <c r="I100" s="3"/>
      <c r="J100" s="20">
        <f t="shared" si="13"/>
        <v>1.8716681879018374E-2</v>
      </c>
      <c r="K100" s="3"/>
      <c r="L100" s="3">
        <f t="shared" si="14"/>
        <v>-3443.78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45635.360000000001</v>
      </c>
      <c r="U100" s="3"/>
      <c r="V100" s="20">
        <f t="shared" si="17"/>
        <v>1.0694966419019502E-2</v>
      </c>
      <c r="W100" s="3"/>
      <c r="X100" s="3">
        <f t="shared" si="18"/>
        <v>-45635.360000000001</v>
      </c>
      <c r="Y100" s="3"/>
      <c r="Z100" s="20">
        <f t="shared" si="19"/>
        <v>-1</v>
      </c>
    </row>
    <row r="101" spans="1:26" s="69" customFormat="1" ht="15" hidden="1" customHeight="1" outlineLevel="1" x14ac:dyDescent="0.3">
      <c r="A101" s="42"/>
      <c r="B101" s="12" t="str">
        <f>CONCATENATE("          ","5031"," - ","PURCHASES @ COST-FOOD")</f>
        <v xml:space="preserve">          5031 - PURCHASES @ COST-FOOD</v>
      </c>
      <c r="C101" s="12"/>
      <c r="D101" s="3"/>
      <c r="E101" s="3"/>
      <c r="F101" s="20">
        <f t="shared" si="12"/>
        <v>0</v>
      </c>
      <c r="G101" s="3"/>
      <c r="H101" s="3"/>
      <c r="I101" s="3"/>
      <c r="J101" s="20">
        <f t="shared" si="13"/>
        <v>0</v>
      </c>
      <c r="K101" s="3"/>
      <c r="L101" s="3">
        <f t="shared" si="14"/>
        <v>0</v>
      </c>
      <c r="M101" s="3"/>
      <c r="N101" s="20">
        <f t="shared" si="15"/>
        <v>0</v>
      </c>
      <c r="O101" s="12"/>
      <c r="P101" s="3">
        <v>0</v>
      </c>
      <c r="Q101" s="3"/>
      <c r="R101" s="20">
        <f t="shared" si="16"/>
        <v>0</v>
      </c>
      <c r="S101" s="3"/>
      <c r="T101" s="3">
        <v>7785.72</v>
      </c>
      <c r="U101" s="3"/>
      <c r="V101" s="20">
        <f t="shared" si="17"/>
        <v>1.8246380426907669E-3</v>
      </c>
      <c r="W101" s="3"/>
      <c r="X101" s="3">
        <f t="shared" si="18"/>
        <v>-7785.72</v>
      </c>
      <c r="Y101" s="3"/>
      <c r="Z101" s="20">
        <f t="shared" si="19"/>
        <v>-1</v>
      </c>
    </row>
    <row r="102" spans="1:26" s="69" customFormat="1" ht="15" hidden="1" customHeight="1" outlineLevel="1" x14ac:dyDescent="0.3">
      <c r="A102" s="42"/>
      <c r="B102" s="12" t="str">
        <f>CONCATENATE("          ","5040"," - ","PURCHASES @ COST-LOGO CLOTHING")</f>
        <v xml:space="preserve">          5040 - PURCHASES @ COST-LOGO CLOTHING</v>
      </c>
      <c r="C102" s="12"/>
      <c r="D102" s="3"/>
      <c r="E102" s="3"/>
      <c r="F102" s="20">
        <f t="shared" si="12"/>
        <v>0</v>
      </c>
      <c r="G102" s="3"/>
      <c r="H102" s="3">
        <v>45900.51</v>
      </c>
      <c r="I102" s="3"/>
      <c r="J102" s="20">
        <f t="shared" si="13"/>
        <v>0.24946577416522009</v>
      </c>
      <c r="K102" s="3"/>
      <c r="L102" s="3">
        <f t="shared" si="14"/>
        <v>-45900.51</v>
      </c>
      <c r="M102" s="3"/>
      <c r="N102" s="20">
        <f t="shared" si="15"/>
        <v>-1</v>
      </c>
      <c r="O102" s="12"/>
      <c r="P102" s="3">
        <v>0</v>
      </c>
      <c r="Q102" s="3"/>
      <c r="R102" s="20">
        <f t="shared" si="16"/>
        <v>0</v>
      </c>
      <c r="S102" s="3"/>
      <c r="T102" s="3">
        <v>239871.6</v>
      </c>
      <c r="U102" s="3"/>
      <c r="V102" s="20">
        <f t="shared" si="17"/>
        <v>5.6215590429800011E-2</v>
      </c>
      <c r="W102" s="3"/>
      <c r="X102" s="3">
        <f t="shared" si="18"/>
        <v>-239871.6</v>
      </c>
      <c r="Y102" s="3"/>
      <c r="Z102" s="20">
        <f t="shared" si="19"/>
        <v>-1</v>
      </c>
    </row>
    <row r="103" spans="1:26" s="69" customFormat="1" ht="15" hidden="1" customHeight="1" outlineLevel="1" x14ac:dyDescent="0.3">
      <c r="A103" s="42"/>
      <c r="B103" s="12" t="str">
        <f>CONCATENATE("          ","5041"," - ","PURCHASES @ COST-LOGO GIFTS")</f>
        <v xml:space="preserve">          5041 - PURCHASES @ COST-LOGO GIFTS</v>
      </c>
      <c r="C103" s="12"/>
      <c r="D103" s="3"/>
      <c r="E103" s="3"/>
      <c r="F103" s="20">
        <f t="shared" si="12"/>
        <v>0</v>
      </c>
      <c r="G103" s="3"/>
      <c r="H103" s="3">
        <v>899.63</v>
      </c>
      <c r="I103" s="3"/>
      <c r="J103" s="20">
        <f t="shared" si="13"/>
        <v>4.8894204969020371E-3</v>
      </c>
      <c r="K103" s="3"/>
      <c r="L103" s="3">
        <f t="shared" si="14"/>
        <v>-899.63</v>
      </c>
      <c r="M103" s="3"/>
      <c r="N103" s="20">
        <f t="shared" si="15"/>
        <v>-1</v>
      </c>
      <c r="O103" s="12"/>
      <c r="P103" s="3">
        <v>0</v>
      </c>
      <c r="Q103" s="3"/>
      <c r="R103" s="20">
        <f t="shared" si="16"/>
        <v>0</v>
      </c>
      <c r="S103" s="3"/>
      <c r="T103" s="3">
        <v>68463.44</v>
      </c>
      <c r="U103" s="3"/>
      <c r="V103" s="20">
        <f t="shared" si="17"/>
        <v>1.604488694141027E-2</v>
      </c>
      <c r="W103" s="3"/>
      <c r="X103" s="3">
        <f t="shared" si="18"/>
        <v>-68463.44</v>
      </c>
      <c r="Y103" s="3"/>
      <c r="Z103" s="20">
        <f t="shared" si="19"/>
        <v>-1</v>
      </c>
    </row>
    <row r="104" spans="1:26" s="69" customFormat="1" ht="15" hidden="1" customHeight="1" outlineLevel="1" x14ac:dyDescent="0.3">
      <c r="A104" s="42"/>
      <c r="B104" s="12" t="str">
        <f>CONCATENATE("          ","5042"," - ","PURCHASES @ COST-EVERYDAY GIFT")</f>
        <v xml:space="preserve">          5042 - PURCHASES @ COST-EVERYDAY GIFT</v>
      </c>
      <c r="C104" s="12"/>
      <c r="D104" s="3"/>
      <c r="E104" s="3"/>
      <c r="F104" s="20">
        <f t="shared" si="12"/>
        <v>0</v>
      </c>
      <c r="G104" s="3"/>
      <c r="H104" s="3">
        <v>-270</v>
      </c>
      <c r="I104" s="3"/>
      <c r="J104" s="20">
        <f t="shared" si="13"/>
        <v>-1.467429425612252E-3</v>
      </c>
      <c r="K104" s="3"/>
      <c r="L104" s="3">
        <f t="shared" si="14"/>
        <v>270</v>
      </c>
      <c r="M104" s="3"/>
      <c r="N104" s="20">
        <f t="shared" si="15"/>
        <v>-1</v>
      </c>
      <c r="O104" s="12"/>
      <c r="P104" s="3">
        <v>0</v>
      </c>
      <c r="Q104" s="3"/>
      <c r="R104" s="20">
        <f t="shared" si="16"/>
        <v>0</v>
      </c>
      <c r="S104" s="3"/>
      <c r="T104" s="3">
        <v>18748.18</v>
      </c>
      <c r="U104" s="3"/>
      <c r="V104" s="20">
        <f t="shared" si="17"/>
        <v>4.393767366308342E-3</v>
      </c>
      <c r="W104" s="3"/>
      <c r="X104" s="3">
        <f t="shared" si="18"/>
        <v>-18748.18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","5043"," - ","PURCHASES @ COST-CARDS")</f>
        <v xml:space="preserve">          5043 - PURCHASES @ COST-CARDS</v>
      </c>
      <c r="C105" s="12"/>
      <c r="D105" s="3"/>
      <c r="E105" s="3"/>
      <c r="F105" s="20">
        <f t="shared" si="12"/>
        <v>0</v>
      </c>
      <c r="G105" s="3"/>
      <c r="H105" s="3"/>
      <c r="I105" s="3"/>
      <c r="J105" s="20">
        <f t="shared" si="13"/>
        <v>0</v>
      </c>
      <c r="K105" s="3"/>
      <c r="L105" s="3">
        <f t="shared" si="14"/>
        <v>0</v>
      </c>
      <c r="M105" s="3"/>
      <c r="N105" s="20">
        <f t="shared" si="15"/>
        <v>0</v>
      </c>
      <c r="O105" s="12"/>
      <c r="P105" s="3">
        <v>0</v>
      </c>
      <c r="Q105" s="3"/>
      <c r="R105" s="20">
        <f t="shared" si="16"/>
        <v>0</v>
      </c>
      <c r="S105" s="3"/>
      <c r="T105" s="3">
        <v>55364.33</v>
      </c>
      <c r="U105" s="3"/>
      <c r="V105" s="20">
        <f t="shared" si="17"/>
        <v>1.2975018717098188E-2</v>
      </c>
      <c r="W105" s="3"/>
      <c r="X105" s="3">
        <f t="shared" si="18"/>
        <v>-55364.33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","5044"," - ","PURCHASES @ COST-ACCESSORIES")</f>
        <v xml:space="preserve">          5044 - PURCHASES @ COST-ACCESSORIES</v>
      </c>
      <c r="C106" s="12"/>
      <c r="D106" s="3"/>
      <c r="E106" s="3"/>
      <c r="F106" s="20">
        <f t="shared" si="12"/>
        <v>0</v>
      </c>
      <c r="G106" s="3"/>
      <c r="H106" s="3"/>
      <c r="I106" s="3"/>
      <c r="J106" s="20">
        <f t="shared" si="13"/>
        <v>0</v>
      </c>
      <c r="K106" s="3"/>
      <c r="L106" s="3">
        <f t="shared" si="14"/>
        <v>0</v>
      </c>
      <c r="M106" s="3"/>
      <c r="N106" s="20">
        <f t="shared" si="15"/>
        <v>0</v>
      </c>
      <c r="O106" s="12"/>
      <c r="P106" s="3">
        <v>0</v>
      </c>
      <c r="Q106" s="3"/>
      <c r="R106" s="20">
        <f t="shared" si="16"/>
        <v>0</v>
      </c>
      <c r="S106" s="3"/>
      <c r="T106" s="3">
        <v>1064.83</v>
      </c>
      <c r="U106" s="3"/>
      <c r="V106" s="20">
        <f t="shared" si="17"/>
        <v>2.4955037260502677E-4</v>
      </c>
      <c r="W106" s="3"/>
      <c r="X106" s="3">
        <f t="shared" si="18"/>
        <v>-1064.83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","5045"," - ","PURCHASES @ COST-SPECIAL ORDER")</f>
        <v xml:space="preserve">          5045 - PURCHASES @ COST-SPECIAL ORDER</v>
      </c>
      <c r="C107" s="12"/>
      <c r="D107" s="3"/>
      <c r="E107" s="3"/>
      <c r="F107" s="20">
        <f t="shared" si="12"/>
        <v>0</v>
      </c>
      <c r="G107" s="3"/>
      <c r="H107" s="3">
        <v>13853.18</v>
      </c>
      <c r="I107" s="3"/>
      <c r="J107" s="20">
        <f t="shared" si="13"/>
        <v>7.5290977667789388E-2</v>
      </c>
      <c r="K107" s="3"/>
      <c r="L107" s="3">
        <f t="shared" si="14"/>
        <v>-13853.18</v>
      </c>
      <c r="M107" s="3"/>
      <c r="N107" s="20">
        <f t="shared" si="15"/>
        <v>-1</v>
      </c>
      <c r="O107" s="12"/>
      <c r="P107" s="3">
        <v>0</v>
      </c>
      <c r="Q107" s="3"/>
      <c r="R107" s="20">
        <f t="shared" si="16"/>
        <v>0</v>
      </c>
      <c r="S107" s="3"/>
      <c r="T107" s="3">
        <v>109226.69</v>
      </c>
      <c r="U107" s="3"/>
      <c r="V107" s="20">
        <f t="shared" si="17"/>
        <v>2.5598040239206029E-2</v>
      </c>
      <c r="W107" s="3"/>
      <c r="X107" s="3">
        <f t="shared" si="18"/>
        <v>-109226.69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","5053"," - ","PURCHASES @ COST-FOOD")</f>
        <v xml:space="preserve">          5053 - PURCHASES @ COST-FOOD</v>
      </c>
      <c r="C108" s="12"/>
      <c r="D108" s="3">
        <v>-14878.27</v>
      </c>
      <c r="E108" s="3"/>
      <c r="F108" s="20">
        <f t="shared" si="12"/>
        <v>-2.0498687449241597E-2</v>
      </c>
      <c r="G108" s="3"/>
      <c r="H108" s="3">
        <v>176.4</v>
      </c>
      <c r="I108" s="3"/>
      <c r="J108" s="20">
        <f t="shared" si="13"/>
        <v>9.5872055806667125E-4</v>
      </c>
      <c r="K108" s="3"/>
      <c r="L108" s="3">
        <f t="shared" si="14"/>
        <v>-15054.67</v>
      </c>
      <c r="M108" s="3"/>
      <c r="N108" s="20">
        <f t="shared" si="15"/>
        <v>-85.343934240362813</v>
      </c>
      <c r="O108" s="12"/>
      <c r="P108" s="3">
        <v>27059.34</v>
      </c>
      <c r="Q108" s="3"/>
      <c r="R108" s="20">
        <f t="shared" si="16"/>
        <v>4.4386692584359446E-3</v>
      </c>
      <c r="S108" s="3"/>
      <c r="T108" s="3">
        <v>-2646.55</v>
      </c>
      <c r="U108" s="3"/>
      <c r="V108" s="20">
        <f t="shared" si="17"/>
        <v>-6.2023753896662723E-4</v>
      </c>
      <c r="W108" s="3"/>
      <c r="X108" s="3">
        <f t="shared" si="18"/>
        <v>29705.89</v>
      </c>
      <c r="Y108" s="3"/>
      <c r="Z108" s="20">
        <f t="shared" si="19"/>
        <v>-11.224382686894257</v>
      </c>
    </row>
    <row r="109" spans="1:26" s="69" customFormat="1" ht="15" hidden="1" customHeight="1" outlineLevel="1" x14ac:dyDescent="0.3">
      <c r="A109" s="42"/>
      <c r="B109" s="12" t="str">
        <f>CONCATENATE("          ","5059"," - ","PURCHASES @ COST-FOOD")</f>
        <v xml:space="preserve">          5059 - PURCHASES @ COST-FOOD</v>
      </c>
      <c r="C109" s="12"/>
      <c r="D109" s="3">
        <v>52537.61</v>
      </c>
      <c r="E109" s="3"/>
      <c r="F109" s="20">
        <f t="shared" si="12"/>
        <v>7.2384225230497215E-2</v>
      </c>
      <c r="G109" s="3"/>
      <c r="H109" s="3">
        <v>19</v>
      </c>
      <c r="I109" s="3"/>
      <c r="J109" s="20">
        <f t="shared" si="13"/>
        <v>1.0326355217271402E-4</v>
      </c>
      <c r="K109" s="3"/>
      <c r="L109" s="3">
        <f t="shared" si="14"/>
        <v>52518.61</v>
      </c>
      <c r="M109" s="3"/>
      <c r="N109" s="20">
        <f t="shared" si="15"/>
        <v>2764.1373684210525</v>
      </c>
      <c r="O109" s="12"/>
      <c r="P109" s="3">
        <v>118897.79</v>
      </c>
      <c r="Q109" s="3"/>
      <c r="R109" s="20">
        <f t="shared" si="16"/>
        <v>1.9503356895215207E-2</v>
      </c>
      <c r="S109" s="3"/>
      <c r="T109" s="3">
        <v>30865.91</v>
      </c>
      <c r="U109" s="3"/>
      <c r="V109" s="20">
        <f t="shared" si="17"/>
        <v>7.2336423103154706E-3</v>
      </c>
      <c r="W109" s="3"/>
      <c r="X109" s="3">
        <f t="shared" si="18"/>
        <v>88031.87999999999</v>
      </c>
      <c r="Y109" s="3"/>
      <c r="Z109" s="20">
        <f t="shared" si="19"/>
        <v>2.8520746674891488</v>
      </c>
    </row>
    <row r="110" spans="1:26" s="69" customFormat="1" ht="15" hidden="1" customHeight="1" outlineLevel="1" x14ac:dyDescent="0.3">
      <c r="A110" s="42"/>
      <c r="B110" s="12" t="str">
        <f>CONCATENATE("          ","5086"," - ","PURCHASES @ COST-COMPUTER SUPP")</f>
        <v xml:space="preserve">          5086 - PURCHASES @ COST-COMPUTER SUPP</v>
      </c>
      <c r="C110" s="12"/>
      <c r="D110" s="3"/>
      <c r="E110" s="3"/>
      <c r="F110" s="20">
        <f t="shared" si="12"/>
        <v>0</v>
      </c>
      <c r="G110" s="3"/>
      <c r="H110" s="3"/>
      <c r="I110" s="3"/>
      <c r="J110" s="20">
        <f t="shared" si="13"/>
        <v>0</v>
      </c>
      <c r="K110" s="3"/>
      <c r="L110" s="3">
        <f t="shared" si="14"/>
        <v>0</v>
      </c>
      <c r="M110" s="3"/>
      <c r="N110" s="20">
        <f t="shared" si="15"/>
        <v>0</v>
      </c>
      <c r="O110" s="12"/>
      <c r="P110" s="3"/>
      <c r="Q110" s="3"/>
      <c r="R110" s="20">
        <f t="shared" si="16"/>
        <v>0</v>
      </c>
      <c r="S110" s="3"/>
      <c r="T110" s="3">
        <v>13.21</v>
      </c>
      <c r="U110" s="3"/>
      <c r="V110" s="20">
        <f t="shared" si="17"/>
        <v>3.0958560729059138E-6</v>
      </c>
      <c r="W110" s="3"/>
      <c r="X110" s="3">
        <f t="shared" si="18"/>
        <v>-13.21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","5092"," - ","PURCHASES @ COST-GRAD MERCH")</f>
        <v xml:space="preserve">          5092 - PURCHASES @ COST-GRAD MERCH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0</v>
      </c>
      <c r="U111" s="3"/>
      <c r="V111" s="20">
        <f t="shared" si="17"/>
        <v>0</v>
      </c>
      <c r="W111" s="3"/>
      <c r="X111" s="3">
        <f t="shared" si="18"/>
        <v>0</v>
      </c>
      <c r="Y111" s="3"/>
      <c r="Z111" s="20">
        <f t="shared" si="19"/>
        <v>0</v>
      </c>
    </row>
    <row r="112" spans="1:26" s="69" customFormat="1" ht="15" hidden="1" customHeight="1" outlineLevel="1" x14ac:dyDescent="0.3">
      <c r="A112" s="42"/>
      <c r="B112" s="12" t="str">
        <f>CONCATENATE("          ","5200"," - ","PURCHASES OFFSET")</f>
        <v xml:space="preserve">          5200 - PURCHASES OFFSET</v>
      </c>
      <c r="C112" s="12"/>
      <c r="D112" s="3">
        <v>-141093.01</v>
      </c>
      <c r="E112" s="3"/>
      <c r="F112" s="20">
        <f t="shared" si="12"/>
        <v>-0.19439232607438361</v>
      </c>
      <c r="G112" s="3"/>
      <c r="H112" s="3">
        <v>217068.52</v>
      </c>
      <c r="I112" s="3"/>
      <c r="J112" s="20">
        <f t="shared" si="13"/>
        <v>1.179750865267043</v>
      </c>
      <c r="K112" s="3"/>
      <c r="L112" s="3">
        <f t="shared" si="14"/>
        <v>-358161.53</v>
      </c>
      <c r="M112" s="3"/>
      <c r="N112" s="20">
        <f t="shared" si="15"/>
        <v>-1.6499929607480626</v>
      </c>
      <c r="O112" s="12"/>
      <c r="P112" s="3">
        <v>-3353138.65</v>
      </c>
      <c r="Q112" s="3"/>
      <c r="R112" s="20">
        <f t="shared" si="16"/>
        <v>-0.55003091150886918</v>
      </c>
      <c r="S112" s="3"/>
      <c r="T112" s="3">
        <v>-1763948.92</v>
      </c>
      <c r="U112" s="3"/>
      <c r="V112" s="20">
        <f t="shared" si="17"/>
        <v>-0.4133937907856039</v>
      </c>
      <c r="W112" s="3"/>
      <c r="X112" s="3">
        <f t="shared" si="18"/>
        <v>-1589189.73</v>
      </c>
      <c r="Y112" s="3"/>
      <c r="Z112" s="20">
        <f t="shared" si="19"/>
        <v>0.90092729555910267</v>
      </c>
    </row>
    <row r="113" spans="1:26" s="69" customFormat="1" ht="15" hidden="1" customHeight="1" outlineLevel="1" x14ac:dyDescent="0.3">
      <c r="A113" s="42"/>
      <c r="B113" s="12" t="str">
        <f>CONCATENATE("          ","5300"," - ","COG$ OFFSET")</f>
        <v xml:space="preserve">          5300 - COG$ OFFSET</v>
      </c>
      <c r="C113" s="12"/>
      <c r="D113" s="3">
        <v>260255.56</v>
      </c>
      <c r="E113" s="3"/>
      <c r="F113" s="20">
        <f t="shared" si="12"/>
        <v>0.35856973837464595</v>
      </c>
      <c r="G113" s="3"/>
      <c r="H113" s="3">
        <v>97595</v>
      </c>
      <c r="I113" s="3"/>
      <c r="J113" s="20">
        <f t="shared" si="13"/>
        <v>0.53042138812084338</v>
      </c>
      <c r="K113" s="3"/>
      <c r="L113" s="3">
        <f t="shared" si="14"/>
        <v>162660.56</v>
      </c>
      <c r="M113" s="3"/>
      <c r="N113" s="20">
        <f t="shared" si="15"/>
        <v>1.6666894820431375</v>
      </c>
      <c r="O113" s="12"/>
      <c r="P113" s="3">
        <v>2997414.09</v>
      </c>
      <c r="Q113" s="3"/>
      <c r="R113" s="20">
        <f t="shared" si="16"/>
        <v>0.49167975922863422</v>
      </c>
      <c r="S113" s="3"/>
      <c r="T113" s="3">
        <v>2177508</v>
      </c>
      <c r="U113" s="3"/>
      <c r="V113" s="20">
        <f t="shared" si="17"/>
        <v>0.5103142593187896</v>
      </c>
      <c r="W113" s="3"/>
      <c r="X113" s="3">
        <f t="shared" si="18"/>
        <v>819906.08999999985</v>
      </c>
      <c r="Y113" s="3"/>
      <c r="Z113" s="20">
        <f t="shared" si="19"/>
        <v>0.3765341344325715</v>
      </c>
    </row>
    <row r="114" spans="1:26" s="69" customFormat="1" ht="15" hidden="1" customHeight="1" outlineLevel="1" x14ac:dyDescent="0.3">
      <c r="A114" s="42"/>
      <c r="B114" s="12" t="str">
        <f>CONCATENATE("          ","5500"," - ","FREIGHT-IN")</f>
        <v xml:space="preserve">          5500 - FREIGHT-IN</v>
      </c>
      <c r="C114" s="12"/>
      <c r="D114" s="3">
        <v>24326.63</v>
      </c>
      <c r="E114" s="3"/>
      <c r="F114" s="20">
        <f t="shared" si="12"/>
        <v>3.3516261303454239E-2</v>
      </c>
      <c r="G114" s="3"/>
      <c r="H114" s="3"/>
      <c r="I114" s="3"/>
      <c r="J114" s="20">
        <f t="shared" si="13"/>
        <v>0</v>
      </c>
      <c r="K114" s="3"/>
      <c r="L114" s="3">
        <f t="shared" si="14"/>
        <v>24326.63</v>
      </c>
      <c r="M114" s="3"/>
      <c r="N114" s="20">
        <f t="shared" si="15"/>
        <v>0</v>
      </c>
      <c r="O114" s="12"/>
      <c r="P114" s="3">
        <v>148116.41</v>
      </c>
      <c r="Q114" s="3"/>
      <c r="R114" s="20">
        <f t="shared" si="16"/>
        <v>2.4296222884109309E-2</v>
      </c>
      <c r="S114" s="3"/>
      <c r="T114" s="3">
        <v>0</v>
      </c>
      <c r="U114" s="3"/>
      <c r="V114" s="20">
        <f t="shared" si="17"/>
        <v>0</v>
      </c>
      <c r="W114" s="3"/>
      <c r="X114" s="3">
        <f t="shared" si="18"/>
        <v>148116.41</v>
      </c>
      <c r="Y114" s="3"/>
      <c r="Z114" s="20">
        <f t="shared" si="19"/>
        <v>0</v>
      </c>
    </row>
    <row r="115" spans="1:26" s="69" customFormat="1" ht="15" hidden="1" customHeight="1" outlineLevel="1" x14ac:dyDescent="0.3">
      <c r="A115" s="42"/>
      <c r="B115" s="12" t="str">
        <f>CONCATENATE("          ","5501"," - ","FREIGHT-IN-NEW TEXT")</f>
        <v xml:space="preserve">          5501 - FREIGHT-IN-NEW TEXT</v>
      </c>
      <c r="C115" s="12"/>
      <c r="D115" s="3"/>
      <c r="E115" s="3"/>
      <c r="F115" s="20">
        <f t="shared" si="12"/>
        <v>0</v>
      </c>
      <c r="G115" s="3"/>
      <c r="H115" s="3">
        <v>785.54</v>
      </c>
      <c r="I115" s="3"/>
      <c r="J115" s="20">
        <f t="shared" si="13"/>
        <v>4.2693500407238825E-3</v>
      </c>
      <c r="K115" s="3"/>
      <c r="L115" s="3">
        <f t="shared" si="14"/>
        <v>-785.54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50042.46</v>
      </c>
      <c r="U115" s="3"/>
      <c r="V115" s="20">
        <f t="shared" si="17"/>
        <v>1.1727801188050816E-2</v>
      </c>
      <c r="W115" s="3"/>
      <c r="X115" s="3">
        <f t="shared" si="18"/>
        <v>-50042.46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","5502"," - ","FREIGHT-IN-USED TEXT")</f>
        <v xml:space="preserve">          5502 - FREIGHT-IN-USED TEXT</v>
      </c>
      <c r="C116" s="12"/>
      <c r="D116" s="3"/>
      <c r="E116" s="3"/>
      <c r="F116" s="20">
        <f t="shared" si="12"/>
        <v>0</v>
      </c>
      <c r="G116" s="3"/>
      <c r="H116" s="3">
        <v>663.37</v>
      </c>
      <c r="I116" s="3"/>
      <c r="J116" s="20">
        <f t="shared" si="13"/>
        <v>3.6053654002533315E-3</v>
      </c>
      <c r="K116" s="3"/>
      <c r="L116" s="3">
        <f t="shared" si="14"/>
        <v>-663.37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17800.13</v>
      </c>
      <c r="U116" s="3"/>
      <c r="V116" s="20">
        <f t="shared" si="17"/>
        <v>4.1715852050730317E-3</v>
      </c>
      <c r="W116" s="3"/>
      <c r="X116" s="3">
        <f t="shared" si="18"/>
        <v>-17800.13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","5504"," - ","FREIGHT-IN-DIGITAL TEXT")</f>
        <v xml:space="preserve">          5504 - FREIGHT-IN-DIGITAL TEXT</v>
      </c>
      <c r="C117" s="12"/>
      <c r="D117" s="3"/>
      <c r="E117" s="3"/>
      <c r="F117" s="20">
        <f t="shared" si="12"/>
        <v>0</v>
      </c>
      <c r="G117" s="3"/>
      <c r="H117" s="3"/>
      <c r="I117" s="3"/>
      <c r="J117" s="20">
        <f t="shared" si="13"/>
        <v>0</v>
      </c>
      <c r="K117" s="3"/>
      <c r="L117" s="3">
        <f t="shared" si="14"/>
        <v>0</v>
      </c>
      <c r="M117" s="3"/>
      <c r="N117" s="20">
        <f t="shared" si="15"/>
        <v>0</v>
      </c>
      <c r="O117" s="12"/>
      <c r="P117" s="3"/>
      <c r="Q117" s="3"/>
      <c r="R117" s="20">
        <f t="shared" si="16"/>
        <v>0</v>
      </c>
      <c r="S117" s="3"/>
      <c r="T117" s="3">
        <v>28.92</v>
      </c>
      <c r="U117" s="3"/>
      <c r="V117" s="20">
        <f t="shared" si="17"/>
        <v>6.7776046652868303E-6</v>
      </c>
      <c r="W117" s="3"/>
      <c r="X117" s="3">
        <f t="shared" si="18"/>
        <v>-28.92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","5513"," - ","FREIGHT-IN-TRADE BOOKS")</f>
        <v xml:space="preserve">          5513 - FREIGHT-IN-TRADE BOOKS</v>
      </c>
      <c r="C118" s="12"/>
      <c r="D118" s="3"/>
      <c r="E118" s="3"/>
      <c r="F118" s="20">
        <f t="shared" si="12"/>
        <v>0</v>
      </c>
      <c r="G118" s="3"/>
      <c r="H118" s="3">
        <v>51.76</v>
      </c>
      <c r="I118" s="3"/>
      <c r="J118" s="20">
        <f t="shared" si="13"/>
        <v>2.8131165581366722E-4</v>
      </c>
      <c r="K118" s="3"/>
      <c r="L118" s="3">
        <f t="shared" si="14"/>
        <v>-51.76</v>
      </c>
      <c r="M118" s="3"/>
      <c r="N118" s="20">
        <f t="shared" si="15"/>
        <v>-1</v>
      </c>
      <c r="O118" s="12"/>
      <c r="P118" s="3"/>
      <c r="Q118" s="3"/>
      <c r="R118" s="20">
        <f t="shared" si="16"/>
        <v>0</v>
      </c>
      <c r="S118" s="3"/>
      <c r="T118" s="3">
        <v>85.28</v>
      </c>
      <c r="U118" s="3"/>
      <c r="V118" s="20">
        <f t="shared" si="17"/>
        <v>1.9985965624331288E-5</v>
      </c>
      <c r="W118" s="3"/>
      <c r="X118" s="3">
        <f t="shared" si="18"/>
        <v>-85.28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","5518"," - ","FREIGHT-IN-STUDY GUIDES")</f>
        <v xml:space="preserve">          5518 - FREIGHT-IN-STUDY GUIDES</v>
      </c>
      <c r="C119" s="12"/>
      <c r="D119" s="3"/>
      <c r="E119" s="3"/>
      <c r="F119" s="20">
        <f t="shared" si="12"/>
        <v>0</v>
      </c>
      <c r="G119" s="3"/>
      <c r="H119" s="3"/>
      <c r="I119" s="3"/>
      <c r="J119" s="20">
        <f t="shared" si="13"/>
        <v>0</v>
      </c>
      <c r="K119" s="3"/>
      <c r="L119" s="3">
        <f t="shared" si="14"/>
        <v>0</v>
      </c>
      <c r="M119" s="3"/>
      <c r="N119" s="20">
        <f t="shared" si="15"/>
        <v>0</v>
      </c>
      <c r="O119" s="12"/>
      <c r="P119" s="3">
        <v>0</v>
      </c>
      <c r="Q119" s="3"/>
      <c r="R119" s="20">
        <f t="shared" si="16"/>
        <v>0</v>
      </c>
      <c r="S119" s="3"/>
      <c r="T119" s="3"/>
      <c r="U119" s="3"/>
      <c r="V119" s="20">
        <f t="shared" si="17"/>
        <v>0</v>
      </c>
      <c r="W119" s="3"/>
      <c r="X119" s="3">
        <f t="shared" si="18"/>
        <v>0</v>
      </c>
      <c r="Y119" s="3"/>
      <c r="Z119" s="20">
        <f t="shared" si="19"/>
        <v>0</v>
      </c>
    </row>
    <row r="120" spans="1:26" s="69" customFormat="1" ht="15" hidden="1" customHeight="1" outlineLevel="1" x14ac:dyDescent="0.3">
      <c r="A120" s="42"/>
      <c r="B120" s="12" t="str">
        <f>CONCATENATE("          ","5525"," - ","FREIGHT-IN-TEST FORMS")</f>
        <v xml:space="preserve">          5525 - FREIGHT-IN-TEST FORMS</v>
      </c>
      <c r="C120" s="12"/>
      <c r="D120" s="3"/>
      <c r="E120" s="3"/>
      <c r="F120" s="20">
        <f t="shared" si="12"/>
        <v>0</v>
      </c>
      <c r="G120" s="3"/>
      <c r="H120" s="3"/>
      <c r="I120" s="3"/>
      <c r="J120" s="20">
        <f t="shared" si="13"/>
        <v>0</v>
      </c>
      <c r="K120" s="3"/>
      <c r="L120" s="3">
        <f t="shared" si="14"/>
        <v>0</v>
      </c>
      <c r="M120" s="3"/>
      <c r="N120" s="20">
        <f t="shared" si="15"/>
        <v>0</v>
      </c>
      <c r="O120" s="12"/>
      <c r="P120" s="3"/>
      <c r="Q120" s="3"/>
      <c r="R120" s="20">
        <f t="shared" si="16"/>
        <v>0</v>
      </c>
      <c r="S120" s="3"/>
      <c r="T120" s="3">
        <v>48.14</v>
      </c>
      <c r="U120" s="3"/>
      <c r="V120" s="20">
        <f t="shared" si="17"/>
        <v>1.128194635501065E-5</v>
      </c>
      <c r="W120" s="3"/>
      <c r="X120" s="3">
        <f t="shared" si="18"/>
        <v>-48.14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","5526"," - ","FREIGHT-IN-WRITING INSTRUMENTS")</f>
        <v xml:space="preserve">          5526 - FREIGHT-IN-WRITING INSTRUMENTS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/>
      <c r="Q121" s="3"/>
      <c r="R121" s="20">
        <f t="shared" si="16"/>
        <v>0</v>
      </c>
      <c r="S121" s="3"/>
      <c r="T121" s="3">
        <v>0</v>
      </c>
      <c r="U121" s="3"/>
      <c r="V121" s="20">
        <f t="shared" si="17"/>
        <v>0</v>
      </c>
      <c r="W121" s="3"/>
      <c r="X121" s="3">
        <f t="shared" si="18"/>
        <v>0</v>
      </c>
      <c r="Y121" s="3"/>
      <c r="Z121" s="20">
        <f t="shared" si="19"/>
        <v>0</v>
      </c>
    </row>
    <row r="122" spans="1:26" s="69" customFormat="1" ht="15" hidden="1" customHeight="1" outlineLevel="1" x14ac:dyDescent="0.3">
      <c r="A122" s="42"/>
      <c r="B122" s="12" t="str">
        <f>CONCATENATE("          ","5527"," - ","FREIGHT-IN-SCHOOL SUPPLIES")</f>
        <v xml:space="preserve">          5527 - FREIGHT-IN-SCHOOL SUPPLIES</v>
      </c>
      <c r="C122" s="12"/>
      <c r="D122" s="3"/>
      <c r="E122" s="3"/>
      <c r="F122" s="20">
        <f t="shared" si="12"/>
        <v>0</v>
      </c>
      <c r="G122" s="3"/>
      <c r="H122" s="3">
        <v>41.12</v>
      </c>
      <c r="I122" s="3"/>
      <c r="J122" s="20">
        <f t="shared" si="13"/>
        <v>2.2348406659694739E-4</v>
      </c>
      <c r="K122" s="3"/>
      <c r="L122" s="3">
        <f t="shared" si="14"/>
        <v>-41.12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218.62</v>
      </c>
      <c r="U122" s="3"/>
      <c r="V122" s="20">
        <f t="shared" si="17"/>
        <v>5.1235129043050029E-5</v>
      </c>
      <c r="W122" s="3"/>
      <c r="X122" s="3">
        <f t="shared" si="18"/>
        <v>-218.62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","5528"," - ","FREIGHT-IN-ART/TECH")</f>
        <v xml:space="preserve">          5528 - FREIGHT-IN-ART/TECH</v>
      </c>
      <c r="C123" s="12"/>
      <c r="D123" s="3"/>
      <c r="E123" s="3"/>
      <c r="F123" s="20">
        <f t="shared" si="12"/>
        <v>0</v>
      </c>
      <c r="G123" s="3"/>
      <c r="H123" s="3">
        <v>103.71</v>
      </c>
      <c r="I123" s="3"/>
      <c r="J123" s="20">
        <f t="shared" si="13"/>
        <v>5.6365594714906158E-4</v>
      </c>
      <c r="K123" s="3"/>
      <c r="L123" s="3">
        <f t="shared" si="14"/>
        <v>-103.71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455.21</v>
      </c>
      <c r="U123" s="3"/>
      <c r="V123" s="20">
        <f t="shared" si="17"/>
        <v>1.0668165351608637E-4</v>
      </c>
      <c r="W123" s="3"/>
      <c r="X123" s="3">
        <f t="shared" si="18"/>
        <v>-455.21</v>
      </c>
      <c r="Y123" s="3"/>
      <c r="Z123" s="20">
        <f t="shared" si="19"/>
        <v>-1</v>
      </c>
    </row>
    <row r="124" spans="1:26" s="69" customFormat="1" ht="15" hidden="1" customHeight="1" outlineLevel="1" x14ac:dyDescent="0.3">
      <c r="A124" s="42"/>
      <c r="B124" s="12" t="str">
        <f>CONCATENATE("          ","5540"," - ","FREIGHT-IN-LOGO CLOTHING")</f>
        <v xml:space="preserve">          5540 - FREIGHT-IN-LOGO CLOTHING</v>
      </c>
      <c r="C124" s="12"/>
      <c r="D124" s="3"/>
      <c r="E124" s="3"/>
      <c r="F124" s="20">
        <f t="shared" si="12"/>
        <v>0</v>
      </c>
      <c r="G124" s="3"/>
      <c r="H124" s="3">
        <v>1167.1400000000001</v>
      </c>
      <c r="I124" s="3"/>
      <c r="J124" s="20">
        <f t="shared" si="13"/>
        <v>6.343316962255866E-3</v>
      </c>
      <c r="K124" s="3"/>
      <c r="L124" s="3">
        <f t="shared" si="14"/>
        <v>-1167.1400000000001</v>
      </c>
      <c r="M124" s="3"/>
      <c r="N124" s="20">
        <f t="shared" si="15"/>
        <v>-1</v>
      </c>
      <c r="O124" s="12"/>
      <c r="P124" s="3">
        <v>0</v>
      </c>
      <c r="Q124" s="3"/>
      <c r="R124" s="20">
        <f t="shared" si="16"/>
        <v>0</v>
      </c>
      <c r="S124" s="3"/>
      <c r="T124" s="3">
        <v>7108.37</v>
      </c>
      <c r="U124" s="3"/>
      <c r="V124" s="20">
        <f t="shared" si="17"/>
        <v>1.6658963234642097E-3</v>
      </c>
      <c r="W124" s="3"/>
      <c r="X124" s="3">
        <f t="shared" si="18"/>
        <v>-7108.37</v>
      </c>
      <c r="Y124" s="3"/>
      <c r="Z124" s="20">
        <f t="shared" si="19"/>
        <v>-1</v>
      </c>
    </row>
    <row r="125" spans="1:26" s="69" customFormat="1" ht="15" hidden="1" customHeight="1" outlineLevel="1" x14ac:dyDescent="0.3">
      <c r="A125" s="42"/>
      <c r="B125" s="12" t="str">
        <f>CONCATENATE("          ","5541"," - ","FREIGHT-IN-LOGO GIFTS")</f>
        <v xml:space="preserve">          5541 - FREIGHT-IN-LOGO GIFTS</v>
      </c>
      <c r="C125" s="12"/>
      <c r="D125" s="3"/>
      <c r="E125" s="3"/>
      <c r="F125" s="20">
        <f t="shared" si="12"/>
        <v>0</v>
      </c>
      <c r="G125" s="3"/>
      <c r="H125" s="3">
        <v>60.07</v>
      </c>
      <c r="I125" s="3"/>
      <c r="J125" s="20">
        <f t="shared" si="13"/>
        <v>3.2647587257973319E-4</v>
      </c>
      <c r="K125" s="3"/>
      <c r="L125" s="3">
        <f t="shared" si="14"/>
        <v>-60.07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2138</v>
      </c>
      <c r="U125" s="3"/>
      <c r="V125" s="20">
        <f t="shared" si="17"/>
        <v>5.0105528265502225E-4</v>
      </c>
      <c r="W125" s="3"/>
      <c r="X125" s="3">
        <f t="shared" si="18"/>
        <v>-2138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","5542"," - ","FREIGHT-IN-EVERYDAY GIFTS")</f>
        <v xml:space="preserve">          5542 - FREIGHT-IN-EVERYDAY GIFTS</v>
      </c>
      <c r="C126" s="12"/>
      <c r="D126" s="3"/>
      <c r="E126" s="3"/>
      <c r="F126" s="20">
        <f t="shared" si="12"/>
        <v>0</v>
      </c>
      <c r="G126" s="3"/>
      <c r="H126" s="3">
        <v>297.79000000000002</v>
      </c>
      <c r="I126" s="3"/>
      <c r="J126" s="20">
        <f t="shared" si="13"/>
        <v>1.6184659579743426E-3</v>
      </c>
      <c r="K126" s="3"/>
      <c r="L126" s="3">
        <f t="shared" si="14"/>
        <v>-297.79000000000002</v>
      </c>
      <c r="M126" s="3"/>
      <c r="N126" s="20">
        <f t="shared" si="15"/>
        <v>-1</v>
      </c>
      <c r="O126" s="12"/>
      <c r="P126" s="3">
        <v>0</v>
      </c>
      <c r="Q126" s="3"/>
      <c r="R126" s="20">
        <f t="shared" si="16"/>
        <v>0</v>
      </c>
      <c r="S126" s="3"/>
      <c r="T126" s="3">
        <v>681.72</v>
      </c>
      <c r="U126" s="3"/>
      <c r="V126" s="20">
        <f t="shared" si="17"/>
        <v>1.5976585935059952E-4</v>
      </c>
      <c r="W126" s="3"/>
      <c r="X126" s="3">
        <f t="shared" si="18"/>
        <v>-681.72</v>
      </c>
      <c r="Y126" s="3"/>
      <c r="Z126" s="20">
        <f t="shared" si="19"/>
        <v>-1</v>
      </c>
    </row>
    <row r="127" spans="1:26" s="69" customFormat="1" ht="15" hidden="1" customHeight="1" outlineLevel="1" x14ac:dyDescent="0.3">
      <c r="A127" s="42"/>
      <c r="B127" s="12" t="str">
        <f>CONCATENATE("          ","5543"," - ","FREIGHT-IN-CARDS")</f>
        <v xml:space="preserve">          5543 - FREIGHT-IN-CARDS</v>
      </c>
      <c r="C127" s="12"/>
      <c r="D127" s="3"/>
      <c r="E127" s="3"/>
      <c r="F127" s="20">
        <f t="shared" si="12"/>
        <v>0</v>
      </c>
      <c r="G127" s="3"/>
      <c r="H127" s="3"/>
      <c r="I127" s="3"/>
      <c r="J127" s="20">
        <f t="shared" si="13"/>
        <v>0</v>
      </c>
      <c r="K127" s="3"/>
      <c r="L127" s="3">
        <f t="shared" si="14"/>
        <v>0</v>
      </c>
      <c r="M127" s="3"/>
      <c r="N127" s="20">
        <f t="shared" si="15"/>
        <v>0</v>
      </c>
      <c r="O127" s="12"/>
      <c r="P127" s="3"/>
      <c r="Q127" s="3"/>
      <c r="R127" s="20">
        <f t="shared" si="16"/>
        <v>0</v>
      </c>
      <c r="S127" s="3"/>
      <c r="T127" s="3">
        <v>9110.5300000000007</v>
      </c>
      <c r="U127" s="3"/>
      <c r="V127" s="20">
        <f t="shared" si="17"/>
        <v>2.1351165501810382E-3</v>
      </c>
      <c r="W127" s="3"/>
      <c r="X127" s="3">
        <f t="shared" si="18"/>
        <v>-9110.5300000000007</v>
      </c>
      <c r="Y127" s="3"/>
      <c r="Z127" s="20">
        <f t="shared" si="19"/>
        <v>-1</v>
      </c>
    </row>
    <row r="128" spans="1:26" s="69" customFormat="1" ht="15" hidden="1" customHeight="1" outlineLevel="1" x14ac:dyDescent="0.3">
      <c r="A128" s="42"/>
      <c r="B128" s="12" t="str">
        <f>CONCATENATE("          ","5544"," - ","FREIGHT-IN-ACCESSORIES")</f>
        <v xml:space="preserve">          5544 - FREIGHT-IN-ACCESSORIES</v>
      </c>
      <c r="C128" s="12"/>
      <c r="D128" s="3"/>
      <c r="E128" s="3"/>
      <c r="F128" s="20">
        <f t="shared" si="12"/>
        <v>0</v>
      </c>
      <c r="G128" s="3"/>
      <c r="H128" s="3"/>
      <c r="I128" s="3"/>
      <c r="J128" s="20">
        <f t="shared" si="13"/>
        <v>0</v>
      </c>
      <c r="K128" s="3"/>
      <c r="L128" s="3">
        <f t="shared" si="14"/>
        <v>0</v>
      </c>
      <c r="M128" s="3"/>
      <c r="N128" s="20">
        <f t="shared" si="15"/>
        <v>0</v>
      </c>
      <c r="O128" s="12"/>
      <c r="P128" s="3">
        <v>0</v>
      </c>
      <c r="Q128" s="3"/>
      <c r="R128" s="20">
        <f t="shared" si="16"/>
        <v>0</v>
      </c>
      <c r="S128" s="3"/>
      <c r="T128" s="3"/>
      <c r="U128" s="3"/>
      <c r="V128" s="20">
        <f t="shared" si="17"/>
        <v>0</v>
      </c>
      <c r="W128" s="3"/>
      <c r="X128" s="3">
        <f t="shared" si="18"/>
        <v>0</v>
      </c>
      <c r="Y128" s="3"/>
      <c r="Z128" s="20">
        <f t="shared" si="19"/>
        <v>0</v>
      </c>
    </row>
    <row r="129" spans="1:26" s="69" customFormat="1" ht="15" hidden="1" customHeight="1" outlineLevel="1" x14ac:dyDescent="0.3">
      <c r="A129" s="42"/>
      <c r="B129" s="12" t="str">
        <f>CONCATENATE("          ","5545"," - ","FREIGHT-IN-SPECIAL ORDERS")</f>
        <v xml:space="preserve">          5545 - FREIGHT-IN-SPECIAL ORDERS</v>
      </c>
      <c r="C129" s="12"/>
      <c r="D129" s="3"/>
      <c r="E129" s="3"/>
      <c r="F129" s="20">
        <f t="shared" si="12"/>
        <v>0</v>
      </c>
      <c r="G129" s="3"/>
      <c r="H129" s="3">
        <v>17.63</v>
      </c>
      <c r="I129" s="3"/>
      <c r="J129" s="20">
        <f t="shared" si="13"/>
        <v>9.5817706568681474E-5</v>
      </c>
      <c r="K129" s="3"/>
      <c r="L129" s="3">
        <f t="shared" si="14"/>
        <v>-17.63</v>
      </c>
      <c r="M129" s="3"/>
      <c r="N129" s="20">
        <f t="shared" si="15"/>
        <v>-1</v>
      </c>
      <c r="O129" s="12"/>
      <c r="P129" s="3">
        <v>0</v>
      </c>
      <c r="Q129" s="3"/>
      <c r="R129" s="20">
        <f t="shared" si="16"/>
        <v>0</v>
      </c>
      <c r="S129" s="3"/>
      <c r="T129" s="3">
        <v>1266.1600000000001</v>
      </c>
      <c r="U129" s="3"/>
      <c r="V129" s="20">
        <f t="shared" si="17"/>
        <v>2.9673346898338775E-4</v>
      </c>
      <c r="W129" s="3"/>
      <c r="X129" s="3">
        <f t="shared" si="18"/>
        <v>-1266.1600000000001</v>
      </c>
      <c r="Y129" s="3"/>
      <c r="Z129" s="20">
        <f t="shared" si="19"/>
        <v>-1</v>
      </c>
    </row>
    <row r="130" spans="1:26" s="69" customFormat="1" ht="15" hidden="1" customHeight="1" outlineLevel="1" x14ac:dyDescent="0.3">
      <c r="A130" s="42"/>
      <c r="B130" s="12" t="str">
        <f>CONCATENATE("          ","5592"," - ","FREIGHT-IN-GRAD MERCH")</f>
        <v xml:space="preserve">          5592 - FREIGHT-IN-GRAD MERCH</v>
      </c>
      <c r="C130" s="12"/>
      <c r="D130" s="3"/>
      <c r="E130" s="3"/>
      <c r="F130" s="20">
        <f t="shared" si="12"/>
        <v>0</v>
      </c>
      <c r="G130" s="3"/>
      <c r="H130" s="3"/>
      <c r="I130" s="3"/>
      <c r="J130" s="20">
        <f t="shared" si="13"/>
        <v>0</v>
      </c>
      <c r="K130" s="3"/>
      <c r="L130" s="3">
        <f t="shared" si="14"/>
        <v>0</v>
      </c>
      <c r="M130" s="3"/>
      <c r="N130" s="20">
        <f t="shared" si="15"/>
        <v>0</v>
      </c>
      <c r="O130" s="12"/>
      <c r="P130" s="3"/>
      <c r="Q130" s="3"/>
      <c r="R130" s="20">
        <f t="shared" si="16"/>
        <v>0</v>
      </c>
      <c r="S130" s="3"/>
      <c r="T130" s="3">
        <v>0</v>
      </c>
      <c r="U130" s="3"/>
      <c r="V130" s="20">
        <f t="shared" si="17"/>
        <v>0</v>
      </c>
      <c r="W130" s="3"/>
      <c r="X130" s="3">
        <f t="shared" si="18"/>
        <v>0</v>
      </c>
      <c r="Y130" s="3"/>
      <c r="Z130" s="20">
        <f t="shared" si="19"/>
        <v>0</v>
      </c>
    </row>
    <row r="131" spans="1:26" ht="15" customHeight="1" x14ac:dyDescent="0.3">
      <c r="A131" s="10"/>
      <c r="B131" s="11"/>
      <c r="C131" s="11"/>
      <c r="D131" s="4"/>
      <c r="E131" s="4"/>
      <c r="F131" s="9"/>
      <c r="G131" s="4"/>
      <c r="H131" s="4"/>
      <c r="I131" s="4"/>
      <c r="J131" s="9"/>
      <c r="K131" s="4"/>
      <c r="L131" s="4"/>
      <c r="M131" s="4"/>
      <c r="N131" s="9"/>
      <c r="O131" s="11"/>
      <c r="P131" s="4"/>
      <c r="Q131" s="4"/>
      <c r="R131" s="9"/>
      <c r="S131" s="4"/>
      <c r="T131" s="4"/>
      <c r="U131" s="4"/>
      <c r="V131" s="9"/>
      <c r="W131" s="4"/>
      <c r="X131" s="4"/>
      <c r="Y131" s="4"/>
      <c r="Z131" s="9"/>
    </row>
    <row r="132" spans="1:26" s="62" customFormat="1" ht="15" customHeight="1" x14ac:dyDescent="0.3">
      <c r="A132" s="11"/>
      <c r="B132" s="27" t="s">
        <v>288</v>
      </c>
      <c r="C132" s="27"/>
      <c r="D132" s="22">
        <f>D12-D87</f>
        <v>424246.6999999999</v>
      </c>
      <c r="E132" s="15"/>
      <c r="F132" s="21">
        <f>IF(D$12=0,0,D132/D$12)</f>
        <v>0.58451019538374849</v>
      </c>
      <c r="G132" s="15"/>
      <c r="H132" s="22">
        <f>H12-H87</f>
        <v>85350.970000000016</v>
      </c>
      <c r="I132" s="15"/>
      <c r="J132" s="21">
        <f>IF(H$12=0,0,H132/H$12)</f>
        <v>0.4638760180835132</v>
      </c>
      <c r="K132" s="17"/>
      <c r="L132" s="22">
        <f>+D132-H132</f>
        <v>338895.72999999986</v>
      </c>
      <c r="M132" s="17"/>
      <c r="N132" s="21">
        <f>IF(H132=0,0,L132/H132)</f>
        <v>3.9706136907407124</v>
      </c>
      <c r="O132" s="28"/>
      <c r="P132" s="22">
        <f>P12-P87</f>
        <v>2636346.6300000004</v>
      </c>
      <c r="Q132" s="15"/>
      <c r="R132" s="21">
        <f>IF(P$12=0,0,P132/P$12)</f>
        <v>0.43245218623817888</v>
      </c>
      <c r="S132" s="15"/>
      <c r="T132" s="22">
        <f>T12-T87</f>
        <v>1517799.1100000017</v>
      </c>
      <c r="U132" s="15"/>
      <c r="V132" s="21">
        <f>IF(T$12=0,0,T132/T$12)</f>
        <v>0.35570685784592704</v>
      </c>
      <c r="W132" s="17"/>
      <c r="X132" s="22">
        <f>+P132-T132</f>
        <v>1118547.5199999986</v>
      </c>
      <c r="Y132" s="17"/>
      <c r="Z132" s="21">
        <f>IF(T132=0,0,X132/T132)</f>
        <v>0.73695360119166053</v>
      </c>
    </row>
    <row r="133" spans="1:26" ht="15" customHeight="1" x14ac:dyDescent="0.3">
      <c r="A133" s="10"/>
      <c r="B133" s="11"/>
      <c r="C133" s="10"/>
      <c r="D133" s="2"/>
      <c r="E133" s="2"/>
      <c r="F133" s="6"/>
      <c r="G133" s="2"/>
      <c r="H133" s="2"/>
      <c r="I133" s="2"/>
      <c r="J133" s="6"/>
      <c r="K133" s="2"/>
      <c r="L133" s="2"/>
      <c r="M133" s="2"/>
      <c r="N133" s="6"/>
      <c r="O133" s="36"/>
      <c r="P133" s="2"/>
      <c r="Q133" s="2"/>
      <c r="R133" s="6"/>
      <c r="S133" s="2"/>
      <c r="T133" s="2"/>
      <c r="U133" s="2"/>
      <c r="V133" s="6"/>
      <c r="W133" s="2"/>
      <c r="X133" s="2"/>
      <c r="Y133" s="2"/>
      <c r="Z133" s="6"/>
    </row>
    <row r="134" spans="1:26" s="62" customFormat="1" ht="15" customHeight="1" x14ac:dyDescent="0.3">
      <c r="A134" s="11"/>
      <c r="B134" s="28" t="s">
        <v>289</v>
      </c>
      <c r="C134" s="11"/>
      <c r="D134" s="23" cm="1">
        <f t="array" ref="D134">SUM(OSRRefD22x_0)</f>
        <v>377493.85000000009</v>
      </c>
      <c r="E134" s="23"/>
      <c r="F134" s="35">
        <f t="shared" ref="F134:F165" si="20">IF(D$12=0,0,D134/D$12)</f>
        <v>0.52009598193613182</v>
      </c>
      <c r="G134" s="23"/>
      <c r="H134" s="23" cm="1">
        <f t="array" ref="H134">SUM(OSRRefH22x_0)</f>
        <v>240619.24999999991</v>
      </c>
      <c r="I134" s="23"/>
      <c r="J134" s="35">
        <f t="shared" ref="J134:J165" si="21">IF(H$12=0,0,H134/H$12)</f>
        <v>1.3077472882175951</v>
      </c>
      <c r="K134" s="5"/>
      <c r="L134" s="23">
        <f t="shared" ref="L134:L165" si="22">+D134-H134</f>
        <v>136874.60000000018</v>
      </c>
      <c r="M134" s="5"/>
      <c r="N134" s="35">
        <f t="shared" ref="N134:N165" si="23">IF(H134=0,0,L134/H134)</f>
        <v>0.56884309962731672</v>
      </c>
      <c r="O134" s="11"/>
      <c r="P134" s="23" cm="1">
        <f t="array" ref="P134">SUM(OSRRefP22x_0)</f>
        <v>3118823.4999999995</v>
      </c>
      <c r="Q134" s="23"/>
      <c r="R134" s="35">
        <f t="shared" ref="R134:R165" si="24">IF(P$12=0,0,P134/P$12)</f>
        <v>0.51159510882148629</v>
      </c>
      <c r="S134" s="23"/>
      <c r="T134" s="23" cm="1">
        <f t="array" ref="T134">SUM(OSRRefT22x_0)</f>
        <v>2600285.9400000009</v>
      </c>
      <c r="U134" s="23"/>
      <c r="V134" s="35">
        <f t="shared" ref="V134:V165" si="25">IF(T$12=0,0,T134/T$12)</f>
        <v>0.60939523229681036</v>
      </c>
      <c r="W134" s="5"/>
      <c r="X134" s="23">
        <f t="shared" ref="X134:X165" si="26">+P134-T134</f>
        <v>518537.55999999866</v>
      </c>
      <c r="Y134" s="5"/>
      <c r="Z134" s="35">
        <f t="shared" ref="Z134:Z165" si="27">IF(T134=0,0,X134/T134)</f>
        <v>0.19941559196370476</v>
      </c>
    </row>
    <row r="135" spans="1:26" s="68" customFormat="1" ht="15" customHeight="1" outlineLevel="1" collapsed="1" x14ac:dyDescent="0.3">
      <c r="A135" s="26"/>
      <c r="B135" s="14" t="str">
        <f>CONCATENATE("     ","*Benefits                                         ")</f>
        <v xml:space="preserve">     *Benefits                                         </v>
      </c>
      <c r="C135" s="14"/>
      <c r="D135" s="2">
        <f>SUM(OSRRefD22_0x_0)</f>
        <v>49394.850000000006</v>
      </c>
      <c r="E135" s="2"/>
      <c r="F135" s="6">
        <f t="shared" si="20"/>
        <v>6.805425575367105E-2</v>
      </c>
      <c r="G135" s="2"/>
      <c r="H135" s="2">
        <f>SUM(OSRRefH22_0x_0)</f>
        <v>45623.819999999992</v>
      </c>
      <c r="I135" s="2"/>
      <c r="J135" s="6">
        <f t="shared" si="21"/>
        <v>0.2479619850993954</v>
      </c>
      <c r="K135" s="2"/>
      <c r="L135" s="2">
        <f t="shared" si="22"/>
        <v>3771.0300000000134</v>
      </c>
      <c r="M135" s="2"/>
      <c r="N135" s="6">
        <f t="shared" si="23"/>
        <v>8.2654850032286079E-2</v>
      </c>
      <c r="O135" s="14"/>
      <c r="P135" s="2">
        <f>SUM(OSRRefP22_0x_0)</f>
        <v>444900.22</v>
      </c>
      <c r="Q135" s="2"/>
      <c r="R135" s="6">
        <f t="shared" si="24"/>
        <v>7.2979050101938503E-2</v>
      </c>
      <c r="S135" s="2"/>
      <c r="T135" s="2">
        <f>SUM(OSRRefT22_0x_0)</f>
        <v>445278.77</v>
      </c>
      <c r="U135" s="2"/>
      <c r="V135" s="6">
        <f t="shared" si="25"/>
        <v>0.10435420016961208</v>
      </c>
      <c r="W135" s="2"/>
      <c r="X135" s="2">
        <f t="shared" si="26"/>
        <v>-378.55000000004657</v>
      </c>
      <c r="Y135" s="2"/>
      <c r="Z135" s="6">
        <f t="shared" si="27"/>
        <v>-8.5014158658416742E-4</v>
      </c>
    </row>
    <row r="136" spans="1:26" s="69" customFormat="1" ht="15" hidden="1" customHeight="1" outlineLevel="2" x14ac:dyDescent="0.3">
      <c r="A136" s="25"/>
      <c r="B136" s="12" t="str">
        <f>CONCATENATE("          ","6111"," - ","F.I.C.A.")</f>
        <v xml:space="preserve">          6111 - F.I.C.A.</v>
      </c>
      <c r="C136" s="12"/>
      <c r="D136" s="8">
        <v>8035.93</v>
      </c>
      <c r="E136" s="3"/>
      <c r="F136" s="7">
        <f t="shared" si="20"/>
        <v>1.1071584091025639E-2</v>
      </c>
      <c r="G136" s="3"/>
      <c r="H136" s="8">
        <v>7478.02</v>
      </c>
      <c r="I136" s="3"/>
      <c r="J136" s="7">
        <f t="shared" si="21"/>
        <v>4.0642468864136784E-2</v>
      </c>
      <c r="K136" s="3"/>
      <c r="L136" s="8">
        <f t="shared" si="22"/>
        <v>557.90999999999985</v>
      </c>
      <c r="M136" s="3"/>
      <c r="N136" s="7">
        <f t="shared" si="23"/>
        <v>7.4606647214102109E-2</v>
      </c>
      <c r="O136" s="12"/>
      <c r="P136" s="8">
        <v>82247.66</v>
      </c>
      <c r="Q136" s="3"/>
      <c r="R136" s="7">
        <f t="shared" si="24"/>
        <v>1.3491465794076712E-2</v>
      </c>
      <c r="S136" s="3"/>
      <c r="T136" s="8">
        <v>82377.539999999994</v>
      </c>
      <c r="U136" s="3"/>
      <c r="V136" s="7">
        <f t="shared" si="25"/>
        <v>1.930575378350112E-2</v>
      </c>
      <c r="W136" s="3"/>
      <c r="X136" s="8">
        <f t="shared" si="26"/>
        <v>-129.8799999999901</v>
      </c>
      <c r="Y136" s="3"/>
      <c r="Z136" s="7">
        <f t="shared" si="27"/>
        <v>-1.5766433423478063E-3</v>
      </c>
    </row>
    <row r="137" spans="1:26" s="69" customFormat="1" ht="15" hidden="1" customHeight="1" outlineLevel="2" x14ac:dyDescent="0.3">
      <c r="A137" s="25"/>
      <c r="B137" s="12" t="str">
        <f>CONCATENATE("          ","6112"," - ","COMPENSATION INSURANCE")</f>
        <v xml:space="preserve">          6112 - COMPENSATION INSURANCE</v>
      </c>
      <c r="C137" s="12"/>
      <c r="D137" s="8">
        <v>2939.87</v>
      </c>
      <c r="E137" s="3"/>
      <c r="F137" s="7">
        <f t="shared" si="20"/>
        <v>4.0504357207794923E-3</v>
      </c>
      <c r="G137" s="3"/>
      <c r="H137" s="8">
        <v>1716.92</v>
      </c>
      <c r="I137" s="3"/>
      <c r="J137" s="7">
        <f t="shared" si="21"/>
        <v>9.331329368230324E-3</v>
      </c>
      <c r="K137" s="3"/>
      <c r="L137" s="8">
        <f t="shared" si="22"/>
        <v>1222.9499999999998</v>
      </c>
      <c r="M137" s="3"/>
      <c r="N137" s="7">
        <f t="shared" si="23"/>
        <v>0.71229294317731739</v>
      </c>
      <c r="O137" s="12"/>
      <c r="P137" s="8">
        <v>23837.31</v>
      </c>
      <c r="Q137" s="3"/>
      <c r="R137" s="7">
        <f t="shared" si="24"/>
        <v>3.9101447079199908E-3</v>
      </c>
      <c r="S137" s="3"/>
      <c r="T137" s="8">
        <v>20809.47</v>
      </c>
      <c r="U137" s="3"/>
      <c r="V137" s="7">
        <f t="shared" si="25"/>
        <v>4.8768451228957928E-3</v>
      </c>
      <c r="W137" s="3"/>
      <c r="X137" s="8">
        <f t="shared" si="26"/>
        <v>3027.84</v>
      </c>
      <c r="Y137" s="3"/>
      <c r="Z137" s="7">
        <f t="shared" si="27"/>
        <v>0.1455029849390686</v>
      </c>
    </row>
    <row r="138" spans="1:26" s="69" customFormat="1" ht="15" hidden="1" customHeight="1" outlineLevel="2" x14ac:dyDescent="0.3">
      <c r="A138" s="25"/>
      <c r="B138" s="12" t="str">
        <f>CONCATENATE("          ","6113"," - ","GROUP INSURANCE")</f>
        <v xml:space="preserve">          6113 - GROUP INSURANCE</v>
      </c>
      <c r="C138" s="12"/>
      <c r="D138" s="8">
        <v>17292.98</v>
      </c>
      <c r="E138" s="3"/>
      <c r="F138" s="7">
        <f t="shared" si="20"/>
        <v>2.3825578651683693E-2</v>
      </c>
      <c r="G138" s="3"/>
      <c r="H138" s="8">
        <v>18280.3</v>
      </c>
      <c r="I138" s="3"/>
      <c r="J138" s="7">
        <f t="shared" si="21"/>
        <v>9.9352037514887581E-2</v>
      </c>
      <c r="K138" s="3"/>
      <c r="L138" s="8">
        <f t="shared" si="22"/>
        <v>-987.31999999999971</v>
      </c>
      <c r="M138" s="3"/>
      <c r="N138" s="7">
        <f t="shared" si="23"/>
        <v>-5.4010054539586315E-2</v>
      </c>
      <c r="O138" s="12"/>
      <c r="P138" s="8">
        <v>159434.14000000001</v>
      </c>
      <c r="Q138" s="3"/>
      <c r="R138" s="7">
        <f t="shared" si="24"/>
        <v>2.615272271840971E-2</v>
      </c>
      <c r="S138" s="3"/>
      <c r="T138" s="8">
        <v>164653.81</v>
      </c>
      <c r="U138" s="3"/>
      <c r="V138" s="7">
        <f t="shared" si="25"/>
        <v>3.8587774232823349E-2</v>
      </c>
      <c r="W138" s="3"/>
      <c r="X138" s="8">
        <f t="shared" si="26"/>
        <v>-5219.6699999999837</v>
      </c>
      <c r="Y138" s="3"/>
      <c r="Z138" s="7">
        <f t="shared" si="27"/>
        <v>-3.1700875916566909E-2</v>
      </c>
    </row>
    <row r="139" spans="1:26" s="69" customFormat="1" ht="15" hidden="1" customHeight="1" outlineLevel="2" x14ac:dyDescent="0.3">
      <c r="A139" s="25"/>
      <c r="B139" s="12" t="str">
        <f>CONCATENATE("          ","6114"," - ","STATE UNEMPLOYMENT INSURANCE")</f>
        <v xml:space="preserve">          6114 - STATE UNEMPLOYMENT INSURANCE</v>
      </c>
      <c r="C139" s="12"/>
      <c r="D139" s="8">
        <v>525.80999999999995</v>
      </c>
      <c r="E139" s="3"/>
      <c r="F139" s="7">
        <f t="shared" si="20"/>
        <v>7.244400624323744E-4</v>
      </c>
      <c r="G139" s="3"/>
      <c r="H139" s="8">
        <v>305.79000000000002</v>
      </c>
      <c r="I139" s="3"/>
      <c r="J139" s="7">
        <f t="shared" si="21"/>
        <v>1.6619453483628537E-3</v>
      </c>
      <c r="K139" s="3"/>
      <c r="L139" s="8">
        <f t="shared" si="22"/>
        <v>220.01999999999992</v>
      </c>
      <c r="M139" s="3"/>
      <c r="N139" s="7">
        <f t="shared" si="23"/>
        <v>0.71951339154321559</v>
      </c>
      <c r="O139" s="12"/>
      <c r="P139" s="8">
        <v>4271.4399999999996</v>
      </c>
      <c r="Q139" s="3"/>
      <c r="R139" s="7">
        <f t="shared" si="24"/>
        <v>7.0066414839584524E-4</v>
      </c>
      <c r="S139" s="3"/>
      <c r="T139" s="8">
        <v>3368.49</v>
      </c>
      <c r="U139" s="3"/>
      <c r="V139" s="7">
        <f t="shared" si="25"/>
        <v>7.894292371705405E-4</v>
      </c>
      <c r="W139" s="3"/>
      <c r="X139" s="8">
        <f t="shared" si="26"/>
        <v>902.94999999999982</v>
      </c>
      <c r="Y139" s="3"/>
      <c r="Z139" s="7">
        <f t="shared" si="27"/>
        <v>0.26805779444201999</v>
      </c>
    </row>
    <row r="140" spans="1:26" s="69" customFormat="1" ht="15" hidden="1" customHeight="1" outlineLevel="2" x14ac:dyDescent="0.3">
      <c r="A140" s="25"/>
      <c r="B140" s="12" t="str">
        <f>CONCATENATE("          ","6115"," - ","P.E.R.S.")</f>
        <v xml:space="preserve">          6115 - P.E.R.S.</v>
      </c>
      <c r="C140" s="12"/>
      <c r="D140" s="8">
        <v>5541.18</v>
      </c>
      <c r="E140" s="3"/>
      <c r="F140" s="7">
        <f t="shared" si="20"/>
        <v>7.6344169664879424E-3</v>
      </c>
      <c r="G140" s="3"/>
      <c r="H140" s="8">
        <v>6355.43</v>
      </c>
      <c r="I140" s="3"/>
      <c r="J140" s="7">
        <f t="shared" si="21"/>
        <v>3.4541277757106942E-2</v>
      </c>
      <c r="K140" s="3"/>
      <c r="L140" s="8">
        <f t="shared" si="22"/>
        <v>-814.25</v>
      </c>
      <c r="M140" s="3"/>
      <c r="N140" s="7">
        <f t="shared" si="23"/>
        <v>-0.12811878975930818</v>
      </c>
      <c r="O140" s="12"/>
      <c r="P140" s="8">
        <v>61893.74</v>
      </c>
      <c r="Q140" s="3"/>
      <c r="R140" s="7">
        <f t="shared" si="24"/>
        <v>1.0152717731756472E-2</v>
      </c>
      <c r="S140" s="3"/>
      <c r="T140" s="8">
        <v>67697.63</v>
      </c>
      <c r="U140" s="3"/>
      <c r="V140" s="7">
        <f t="shared" si="25"/>
        <v>1.586541400127461E-2</v>
      </c>
      <c r="W140" s="3"/>
      <c r="X140" s="8">
        <f t="shared" si="26"/>
        <v>-5803.8900000000067</v>
      </c>
      <c r="Y140" s="3"/>
      <c r="Z140" s="7">
        <f t="shared" si="27"/>
        <v>-8.5732543369686748E-2</v>
      </c>
    </row>
    <row r="141" spans="1:26" s="69" customFormat="1" ht="15" hidden="1" customHeight="1" outlineLevel="2" x14ac:dyDescent="0.3">
      <c r="A141" s="25"/>
      <c r="B141" s="12" t="str">
        <f>CONCATENATE("          ","6116"," - ","EDUCATIONAL BENEFITS")</f>
        <v xml:space="preserve">          6116 - EDUCATIONAL BENEFITS</v>
      </c>
      <c r="C141" s="12"/>
      <c r="D141" s="8"/>
      <c r="E141" s="3"/>
      <c r="F141" s="7">
        <f t="shared" si="20"/>
        <v>0</v>
      </c>
      <c r="G141" s="3"/>
      <c r="H141" s="8"/>
      <c r="I141" s="3"/>
      <c r="J141" s="7">
        <f t="shared" si="21"/>
        <v>0</v>
      </c>
      <c r="K141" s="3"/>
      <c r="L141" s="8">
        <f t="shared" si="22"/>
        <v>0</v>
      </c>
      <c r="M141" s="3"/>
      <c r="N141" s="7">
        <f t="shared" si="23"/>
        <v>0</v>
      </c>
      <c r="O141" s="12"/>
      <c r="P141" s="8"/>
      <c r="Q141" s="3"/>
      <c r="R141" s="7">
        <f t="shared" si="24"/>
        <v>0</v>
      </c>
      <c r="S141" s="3"/>
      <c r="T141" s="8">
        <v>0</v>
      </c>
      <c r="U141" s="3"/>
      <c r="V141" s="7">
        <f t="shared" si="25"/>
        <v>0</v>
      </c>
      <c r="W141" s="3"/>
      <c r="X141" s="8">
        <f t="shared" si="26"/>
        <v>0</v>
      </c>
      <c r="Y141" s="3"/>
      <c r="Z141" s="7">
        <f t="shared" si="27"/>
        <v>0</v>
      </c>
    </row>
    <row r="142" spans="1:26" s="69" customFormat="1" ht="15" hidden="1" customHeight="1" outlineLevel="2" x14ac:dyDescent="0.3">
      <c r="A142" s="25"/>
      <c r="B142" s="12" t="str">
        <f>CONCATENATE("          ","6117"," - ","RETIREMENT STAFF HOURLY")</f>
        <v xml:space="preserve">          6117 - RETIREMENT STAFF HOURLY</v>
      </c>
      <c r="C142" s="12"/>
      <c r="D142" s="8">
        <v>1069.67</v>
      </c>
      <c r="E142" s="3"/>
      <c r="F142" s="7">
        <f t="shared" si="20"/>
        <v>1.47374869550225E-3</v>
      </c>
      <c r="G142" s="3"/>
      <c r="H142" s="8">
        <v>650.84</v>
      </c>
      <c r="I142" s="3"/>
      <c r="J142" s="7">
        <f t="shared" si="21"/>
        <v>3.5372658050573259E-3</v>
      </c>
      <c r="K142" s="3"/>
      <c r="L142" s="8">
        <f t="shared" si="22"/>
        <v>418.83000000000004</v>
      </c>
      <c r="M142" s="3"/>
      <c r="N142" s="7">
        <f t="shared" si="23"/>
        <v>0.64352221744207494</v>
      </c>
      <c r="O142" s="12"/>
      <c r="P142" s="8">
        <v>6896.69</v>
      </c>
      <c r="Q142" s="3"/>
      <c r="R142" s="7">
        <f t="shared" si="24"/>
        <v>1.1312961028599586E-3</v>
      </c>
      <c r="S142" s="3"/>
      <c r="T142" s="8">
        <v>3401.26</v>
      </c>
      <c r="U142" s="3"/>
      <c r="V142" s="7">
        <f t="shared" si="25"/>
        <v>7.9710911631581901E-4</v>
      </c>
      <c r="W142" s="3"/>
      <c r="X142" s="8">
        <f t="shared" si="26"/>
        <v>3495.4299999999994</v>
      </c>
      <c r="Y142" s="3"/>
      <c r="Z142" s="7">
        <f t="shared" si="27"/>
        <v>1.027686798421761</v>
      </c>
    </row>
    <row r="143" spans="1:26" s="69" customFormat="1" ht="15" hidden="1" customHeight="1" outlineLevel="2" x14ac:dyDescent="0.3">
      <c r="A143" s="25"/>
      <c r="B143" s="12" t="str">
        <f>CONCATENATE("          ","6118"," - ","VACATION")</f>
        <v xml:space="preserve">          6118 - VACATION</v>
      </c>
      <c r="C143" s="12"/>
      <c r="D143" s="8">
        <v>5763.04</v>
      </c>
      <c r="E143" s="3"/>
      <c r="F143" s="7">
        <f t="shared" si="20"/>
        <v>7.940086832506554E-3</v>
      </c>
      <c r="G143" s="3"/>
      <c r="H143" s="8">
        <v>5455.57</v>
      </c>
      <c r="I143" s="3"/>
      <c r="J143" s="7">
        <f t="shared" si="21"/>
        <v>2.9650607227731232E-2</v>
      </c>
      <c r="K143" s="3"/>
      <c r="L143" s="8">
        <f t="shared" si="22"/>
        <v>307.47000000000025</v>
      </c>
      <c r="M143" s="3"/>
      <c r="N143" s="7">
        <f t="shared" si="23"/>
        <v>5.6358913917335912E-2</v>
      </c>
      <c r="O143" s="12"/>
      <c r="P143" s="8">
        <v>58637.440000000002</v>
      </c>
      <c r="Q143" s="3"/>
      <c r="R143" s="7">
        <f t="shared" si="24"/>
        <v>9.6185717139214109E-3</v>
      </c>
      <c r="S143" s="3"/>
      <c r="T143" s="8">
        <v>52332.04</v>
      </c>
      <c r="U143" s="3"/>
      <c r="V143" s="7">
        <f t="shared" si="25"/>
        <v>1.2264380305946647E-2</v>
      </c>
      <c r="W143" s="3"/>
      <c r="X143" s="8">
        <f t="shared" si="26"/>
        <v>6305.4000000000015</v>
      </c>
      <c r="Y143" s="3"/>
      <c r="Z143" s="7">
        <f t="shared" si="27"/>
        <v>0.12048832799180008</v>
      </c>
    </row>
    <row r="144" spans="1:26" s="69" customFormat="1" ht="15" hidden="1" customHeight="1" outlineLevel="2" x14ac:dyDescent="0.3">
      <c r="A144" s="25"/>
      <c r="B144" s="12" t="str">
        <f>CONCATENATE("          ","6119"," - ","SICK LEAVE")</f>
        <v xml:space="preserve">          6119 - SICK LEAVE</v>
      </c>
      <c r="C144" s="12"/>
      <c r="D144" s="8">
        <v>4327.79</v>
      </c>
      <c r="E144" s="3"/>
      <c r="F144" s="7">
        <f t="shared" si="20"/>
        <v>5.9626565827850479E-3</v>
      </c>
      <c r="G144" s="3"/>
      <c r="H144" s="8">
        <v>3824.03</v>
      </c>
      <c r="I144" s="3"/>
      <c r="J144" s="7">
        <f t="shared" si="21"/>
        <v>2.0783311653422294E-2</v>
      </c>
      <c r="K144" s="3"/>
      <c r="L144" s="8">
        <f t="shared" si="22"/>
        <v>503.75999999999976</v>
      </c>
      <c r="M144" s="3"/>
      <c r="N144" s="7">
        <f t="shared" si="23"/>
        <v>0.13173536818487297</v>
      </c>
      <c r="O144" s="12"/>
      <c r="P144" s="8">
        <v>20506.39</v>
      </c>
      <c r="Q144" s="3"/>
      <c r="R144" s="7">
        <f t="shared" si="24"/>
        <v>3.3637584247989149E-3</v>
      </c>
      <c r="S144" s="3"/>
      <c r="T144" s="8">
        <v>37415.69</v>
      </c>
      <c r="U144" s="3"/>
      <c r="V144" s="7">
        <f t="shared" si="25"/>
        <v>8.7686291527982636E-3</v>
      </c>
      <c r="W144" s="3"/>
      <c r="X144" s="8">
        <f t="shared" si="26"/>
        <v>-16909.300000000003</v>
      </c>
      <c r="Y144" s="3"/>
      <c r="Z144" s="7">
        <f t="shared" si="27"/>
        <v>-0.45193072745685037</v>
      </c>
    </row>
    <row r="145" spans="1:26" s="69" customFormat="1" ht="15" hidden="1" customHeight="1" outlineLevel="2" x14ac:dyDescent="0.3">
      <c r="A145" s="25"/>
      <c r="B145" s="12" t="str">
        <f>CONCATENATE("          ","6156"," - ","EMPLOYEE MEALS")</f>
        <v xml:space="preserve">          6156 - EMPLOYEE MEALS</v>
      </c>
      <c r="C145" s="12"/>
      <c r="D145" s="8">
        <v>3898.58</v>
      </c>
      <c r="E145" s="3"/>
      <c r="F145" s="7">
        <f t="shared" si="20"/>
        <v>5.3713081504680521E-3</v>
      </c>
      <c r="G145" s="3"/>
      <c r="H145" s="8">
        <v>1556.92</v>
      </c>
      <c r="I145" s="3"/>
      <c r="J145" s="7">
        <f t="shared" si="21"/>
        <v>8.4617415604601003E-3</v>
      </c>
      <c r="K145" s="3"/>
      <c r="L145" s="8">
        <f t="shared" si="22"/>
        <v>2341.66</v>
      </c>
      <c r="M145" s="3"/>
      <c r="N145" s="7">
        <f t="shared" si="23"/>
        <v>1.5040336048094956</v>
      </c>
      <c r="O145" s="12"/>
      <c r="P145" s="8">
        <v>27175.41</v>
      </c>
      <c r="Q145" s="3"/>
      <c r="R145" s="7">
        <f t="shared" si="24"/>
        <v>4.457708759799491E-3</v>
      </c>
      <c r="S145" s="3"/>
      <c r="T145" s="8">
        <v>13222.84</v>
      </c>
      <c r="U145" s="3"/>
      <c r="V145" s="7">
        <f t="shared" si="25"/>
        <v>3.0988652168859373E-3</v>
      </c>
      <c r="W145" s="3"/>
      <c r="X145" s="8">
        <f t="shared" si="26"/>
        <v>13952.57</v>
      </c>
      <c r="Y145" s="3"/>
      <c r="Z145" s="7">
        <f t="shared" si="27"/>
        <v>1.0551870853765151</v>
      </c>
    </row>
    <row r="146" spans="1:26" s="68" customFormat="1" ht="15" customHeight="1" outlineLevel="1" collapsed="1" x14ac:dyDescent="0.3">
      <c r="A146" s="26"/>
      <c r="B146" s="14" t="str">
        <f>CONCATENATE("     ","*Payroll                                          ")</f>
        <v xml:space="preserve">     *Payroll                                          </v>
      </c>
      <c r="C146" s="14"/>
      <c r="D146" s="2">
        <f>SUM(OSRRefD22_1x_0)</f>
        <v>199575.49000000002</v>
      </c>
      <c r="E146" s="2"/>
      <c r="F146" s="6">
        <f t="shared" si="20"/>
        <v>0.27496715626475676</v>
      </c>
      <c r="G146" s="2"/>
      <c r="H146" s="2">
        <f>SUM(OSRRefH22_1x_0)</f>
        <v>116406.42</v>
      </c>
      <c r="I146" s="2"/>
      <c r="J146" s="6">
        <f t="shared" si="21"/>
        <v>0.63266002236362429</v>
      </c>
      <c r="K146" s="2"/>
      <c r="L146" s="2">
        <f t="shared" si="22"/>
        <v>83169.070000000022</v>
      </c>
      <c r="M146" s="2"/>
      <c r="N146" s="6">
        <f t="shared" si="23"/>
        <v>0.71447150423490413</v>
      </c>
      <c r="O146" s="14"/>
      <c r="P146" s="2">
        <f>SUM(OSRRefP22_1x_0)</f>
        <v>1600374.97</v>
      </c>
      <c r="Q146" s="2"/>
      <c r="R146" s="6">
        <f t="shared" si="24"/>
        <v>0.26251694170328421</v>
      </c>
      <c r="S146" s="2"/>
      <c r="T146" s="2">
        <f>SUM(OSRRefT22_1x_0)</f>
        <v>1165022.1800000002</v>
      </c>
      <c r="U146" s="2"/>
      <c r="V146" s="6">
        <f t="shared" si="25"/>
        <v>0.273031112113784</v>
      </c>
      <c r="W146" s="2"/>
      <c r="X146" s="2">
        <f t="shared" si="26"/>
        <v>435352.7899999998</v>
      </c>
      <c r="Y146" s="2"/>
      <c r="Z146" s="6">
        <f t="shared" si="27"/>
        <v>0.3736862675009327</v>
      </c>
    </row>
    <row r="147" spans="1:26" s="69" customFormat="1" ht="15" hidden="1" customHeight="1" outlineLevel="2" x14ac:dyDescent="0.3">
      <c r="A147" s="25"/>
      <c r="B147" s="12" t="str">
        <f>CONCATENATE("          ","6001"," - ","ADMINISTRATIVE SALARIES")</f>
        <v xml:space="preserve">          6001 - ADMINISTRATIVE SALARIES</v>
      </c>
      <c r="C147" s="12"/>
      <c r="D147" s="8">
        <v>3959.51</v>
      </c>
      <c r="E147" s="3"/>
      <c r="F147" s="7">
        <f t="shared" si="20"/>
        <v>5.455255076171262E-3</v>
      </c>
      <c r="G147" s="3"/>
      <c r="H147" s="8">
        <v>4279.74</v>
      </c>
      <c r="I147" s="3"/>
      <c r="J147" s="7">
        <f t="shared" si="21"/>
        <v>2.3260060777665847E-2</v>
      </c>
      <c r="K147" s="3"/>
      <c r="L147" s="8">
        <f t="shared" si="22"/>
        <v>-320.22999999999956</v>
      </c>
      <c r="M147" s="3"/>
      <c r="N147" s="7">
        <f t="shared" si="23"/>
        <v>-7.4824638879931862E-2</v>
      </c>
      <c r="O147" s="12"/>
      <c r="P147" s="8">
        <v>44917.06</v>
      </c>
      <c r="Q147" s="3"/>
      <c r="R147" s="7">
        <f t="shared" si="24"/>
        <v>7.3679540373609567E-3</v>
      </c>
      <c r="S147" s="3"/>
      <c r="T147" s="8">
        <v>38776.33</v>
      </c>
      <c r="U147" s="3"/>
      <c r="V147" s="7">
        <f t="shared" si="25"/>
        <v>9.0875046718776505E-3</v>
      </c>
      <c r="W147" s="3"/>
      <c r="X147" s="8">
        <f t="shared" si="26"/>
        <v>6140.7299999999959</v>
      </c>
      <c r="Y147" s="3"/>
      <c r="Z147" s="7">
        <f t="shared" si="27"/>
        <v>0.15836284661286912</v>
      </c>
    </row>
    <row r="148" spans="1:26" s="69" customFormat="1" ht="15" hidden="1" customHeight="1" outlineLevel="2" x14ac:dyDescent="0.3">
      <c r="A148" s="25"/>
      <c r="B148" s="12" t="str">
        <f>CONCATENATE("          ","6002"," - ","STAFF SALARIES")</f>
        <v xml:space="preserve">          6002 - STAFF SALARIES</v>
      </c>
      <c r="C148" s="12"/>
      <c r="D148" s="8">
        <v>51693.279999999999</v>
      </c>
      <c r="E148" s="3"/>
      <c r="F148" s="7">
        <f t="shared" si="20"/>
        <v>7.1220941006322078E-2</v>
      </c>
      <c r="G148" s="3"/>
      <c r="H148" s="8">
        <v>59850.43</v>
      </c>
      <c r="I148" s="3"/>
      <c r="J148" s="7">
        <f t="shared" si="21"/>
        <v>0.32528252636128252</v>
      </c>
      <c r="K148" s="3"/>
      <c r="L148" s="8">
        <f t="shared" si="22"/>
        <v>-8157.1500000000015</v>
      </c>
      <c r="M148" s="3"/>
      <c r="N148" s="7">
        <f t="shared" si="23"/>
        <v>-0.13629225387353108</v>
      </c>
      <c r="O148" s="12"/>
      <c r="P148" s="8">
        <v>530900.02</v>
      </c>
      <c r="Q148" s="3"/>
      <c r="R148" s="7">
        <f t="shared" si="24"/>
        <v>8.7085996852732855E-2</v>
      </c>
      <c r="S148" s="3"/>
      <c r="T148" s="8">
        <v>574703.89</v>
      </c>
      <c r="U148" s="3"/>
      <c r="V148" s="7">
        <f t="shared" si="25"/>
        <v>0.13468588402567391</v>
      </c>
      <c r="W148" s="3"/>
      <c r="X148" s="8">
        <f t="shared" si="26"/>
        <v>-43803.869999999995</v>
      </c>
      <c r="Y148" s="3"/>
      <c r="Z148" s="7">
        <f t="shared" si="27"/>
        <v>-7.6219894735704674E-2</v>
      </c>
    </row>
    <row r="149" spans="1:26" s="69" customFormat="1" ht="15" hidden="1" customHeight="1" outlineLevel="2" x14ac:dyDescent="0.3">
      <c r="A149" s="25"/>
      <c r="B149" s="12" t="str">
        <f>CONCATENATE("          ","6004"," - ","STAFF HOURLY")</f>
        <v xml:space="preserve">          6004 - STAFF HOURLY</v>
      </c>
      <c r="C149" s="12"/>
      <c r="D149" s="8">
        <v>25759.93</v>
      </c>
      <c r="E149" s="3"/>
      <c r="F149" s="7">
        <f t="shared" si="20"/>
        <v>3.5491004920890808E-2</v>
      </c>
      <c r="G149" s="3"/>
      <c r="H149" s="8">
        <v>11915.7</v>
      </c>
      <c r="I149" s="3"/>
      <c r="J149" s="7">
        <f t="shared" si="21"/>
        <v>6.4760921506547817E-2</v>
      </c>
      <c r="K149" s="3"/>
      <c r="L149" s="8">
        <f t="shared" si="22"/>
        <v>13844.23</v>
      </c>
      <c r="M149" s="3"/>
      <c r="N149" s="7">
        <f t="shared" si="23"/>
        <v>1.1618478142282869</v>
      </c>
      <c r="O149" s="12"/>
      <c r="P149" s="8">
        <v>225240.68</v>
      </c>
      <c r="Q149" s="3"/>
      <c r="R149" s="7">
        <f t="shared" si="24"/>
        <v>3.6947275213113397E-2</v>
      </c>
      <c r="S149" s="3"/>
      <c r="T149" s="8">
        <v>137508.13</v>
      </c>
      <c r="U149" s="3"/>
      <c r="V149" s="7">
        <f t="shared" si="25"/>
        <v>3.2225993893598474E-2</v>
      </c>
      <c r="W149" s="3"/>
      <c r="X149" s="8">
        <f t="shared" si="26"/>
        <v>87732.549999999988</v>
      </c>
      <c r="Y149" s="3"/>
      <c r="Z149" s="7">
        <f t="shared" si="27"/>
        <v>0.63801718487481418</v>
      </c>
    </row>
    <row r="150" spans="1:26" s="69" customFormat="1" ht="15" hidden="1" customHeight="1" outlineLevel="2" x14ac:dyDescent="0.3">
      <c r="A150" s="25"/>
      <c r="B150" s="12" t="str">
        <f>CONCATENATE("          ","6005"," - ","TEMPORARY WAGES-HOURLY")</f>
        <v xml:space="preserve">          6005 - TEMPORARY WAGES-HOURLY</v>
      </c>
      <c r="C150" s="12"/>
      <c r="D150" s="8">
        <v>8053.88</v>
      </c>
      <c r="E150" s="3"/>
      <c r="F150" s="7">
        <f t="shared" si="20"/>
        <v>1.1096314885648528E-2</v>
      </c>
      <c r="G150" s="3"/>
      <c r="H150" s="8">
        <v>13818.91</v>
      </c>
      <c r="I150" s="3"/>
      <c r="J150" s="7">
        <f t="shared" si="21"/>
        <v>7.51047228292126E-2</v>
      </c>
      <c r="K150" s="3"/>
      <c r="L150" s="8">
        <f t="shared" si="22"/>
        <v>-5765.03</v>
      </c>
      <c r="M150" s="3"/>
      <c r="N150" s="7">
        <f t="shared" si="23"/>
        <v>-0.41718413391504827</v>
      </c>
      <c r="O150" s="12"/>
      <c r="P150" s="8">
        <v>93404.92</v>
      </c>
      <c r="Q150" s="3"/>
      <c r="R150" s="7">
        <f t="shared" si="24"/>
        <v>1.5321642988730276E-2</v>
      </c>
      <c r="S150" s="3"/>
      <c r="T150" s="8">
        <v>138358.94</v>
      </c>
      <c r="U150" s="3"/>
      <c r="V150" s="7">
        <f t="shared" si="25"/>
        <v>3.2425387179396289E-2</v>
      </c>
      <c r="W150" s="3"/>
      <c r="X150" s="8">
        <f t="shared" si="26"/>
        <v>-44954.020000000004</v>
      </c>
      <c r="Y150" s="3"/>
      <c r="Z150" s="7">
        <f t="shared" si="27"/>
        <v>-0.32490867594099815</v>
      </c>
    </row>
    <row r="151" spans="1:26" s="69" customFormat="1" ht="15" hidden="1" customHeight="1" outlineLevel="2" x14ac:dyDescent="0.3">
      <c r="A151" s="25"/>
      <c r="B151" s="12" t="str">
        <f>CONCATENATE("          ","6006"," - ","TEMPORARY PART TIME")</f>
        <v xml:space="preserve">          6006 - TEMPORARY PART TIME</v>
      </c>
      <c r="C151" s="12"/>
      <c r="D151" s="8">
        <v>2773.98</v>
      </c>
      <c r="E151" s="3"/>
      <c r="F151" s="7">
        <f t="shared" si="20"/>
        <v>3.8218790901393246E-3</v>
      </c>
      <c r="G151" s="3"/>
      <c r="H151" s="8">
        <v>2022.89</v>
      </c>
      <c r="I151" s="3"/>
      <c r="J151" s="7">
        <f t="shared" si="21"/>
        <v>1.099425300287692E-2</v>
      </c>
      <c r="K151" s="3"/>
      <c r="L151" s="8">
        <f t="shared" si="22"/>
        <v>751.08999999999992</v>
      </c>
      <c r="M151" s="3"/>
      <c r="N151" s="7">
        <f t="shared" si="23"/>
        <v>0.37129552274221528</v>
      </c>
      <c r="O151" s="12"/>
      <c r="P151" s="8">
        <v>17695.349999999999</v>
      </c>
      <c r="Q151" s="3"/>
      <c r="R151" s="7">
        <f t="shared" si="24"/>
        <v>2.9026504734507379E-3</v>
      </c>
      <c r="S151" s="3"/>
      <c r="T151" s="8">
        <v>14053.29</v>
      </c>
      <c r="U151" s="3"/>
      <c r="V151" s="7">
        <f t="shared" si="25"/>
        <v>3.2934869940051438E-3</v>
      </c>
      <c r="W151" s="3"/>
      <c r="X151" s="8">
        <f t="shared" si="26"/>
        <v>3642.0599999999977</v>
      </c>
      <c r="Y151" s="3"/>
      <c r="Z151" s="7">
        <f t="shared" si="27"/>
        <v>0.25916066629237688</v>
      </c>
    </row>
    <row r="152" spans="1:26" s="69" customFormat="1" ht="15" hidden="1" customHeight="1" outlineLevel="2" x14ac:dyDescent="0.3">
      <c r="A152" s="25"/>
      <c r="B152" s="12" t="str">
        <f>CONCATENATE("          ","6007"," - ","STUDENT HOURLY")</f>
        <v xml:space="preserve">          6007 - STUDENT HOURLY</v>
      </c>
      <c r="C152" s="12"/>
      <c r="D152" s="8">
        <v>94286.82</v>
      </c>
      <c r="E152" s="3"/>
      <c r="F152" s="7">
        <f t="shared" si="20"/>
        <v>0.12990462290057256</v>
      </c>
      <c r="G152" s="3"/>
      <c r="H152" s="8">
        <v>23406.38</v>
      </c>
      <c r="I152" s="3"/>
      <c r="J152" s="7">
        <f t="shared" si="21"/>
        <v>0.12721189170023001</v>
      </c>
      <c r="K152" s="3"/>
      <c r="L152" s="8">
        <f t="shared" si="22"/>
        <v>70880.44</v>
      </c>
      <c r="M152" s="3"/>
      <c r="N152" s="7">
        <f t="shared" si="23"/>
        <v>3.0282529805975975</v>
      </c>
      <c r="O152" s="12"/>
      <c r="P152" s="8">
        <v>596204.6</v>
      </c>
      <c r="Q152" s="3"/>
      <c r="R152" s="7">
        <f t="shared" si="24"/>
        <v>9.7798210516520323E-2</v>
      </c>
      <c r="S152" s="3"/>
      <c r="T152" s="8">
        <v>253209.98</v>
      </c>
      <c r="U152" s="3"/>
      <c r="V152" s="7">
        <f t="shared" si="25"/>
        <v>5.9341533255366008E-2</v>
      </c>
      <c r="W152" s="3"/>
      <c r="X152" s="8">
        <f t="shared" si="26"/>
        <v>342994.62</v>
      </c>
      <c r="Y152" s="3"/>
      <c r="Z152" s="7">
        <f t="shared" si="27"/>
        <v>1.3545857078777068</v>
      </c>
    </row>
    <row r="153" spans="1:26" s="69" customFormat="1" ht="15" hidden="1" customHeight="1" outlineLevel="2" x14ac:dyDescent="0.3">
      <c r="A153" s="25"/>
      <c r="B153" s="12" t="str">
        <f>CONCATENATE("          ","6008"," - ","STUDENT HOURLY-FICA EXEMPT")</f>
        <v xml:space="preserve">          6008 - STUDENT HOURLY-FICA EXEMPT</v>
      </c>
      <c r="C153" s="12"/>
      <c r="D153" s="8">
        <v>13048.09</v>
      </c>
      <c r="E153" s="3"/>
      <c r="F153" s="7">
        <f t="shared" si="20"/>
        <v>1.7977138385012154E-2</v>
      </c>
      <c r="G153" s="3"/>
      <c r="H153" s="8">
        <v>1112.3699999999999</v>
      </c>
      <c r="I153" s="3"/>
      <c r="J153" s="7">
        <f t="shared" si="21"/>
        <v>6.0456461858085205E-3</v>
      </c>
      <c r="K153" s="3"/>
      <c r="L153" s="8">
        <f t="shared" si="22"/>
        <v>11935.720000000001</v>
      </c>
      <c r="M153" s="3"/>
      <c r="N153" s="7">
        <f t="shared" si="23"/>
        <v>10.729990920287317</v>
      </c>
      <c r="O153" s="12"/>
      <c r="P153" s="8">
        <v>92012.34</v>
      </c>
      <c r="Q153" s="3"/>
      <c r="R153" s="7">
        <f t="shared" si="24"/>
        <v>1.5093211621375687E-2</v>
      </c>
      <c r="S153" s="3"/>
      <c r="T153" s="8">
        <v>8411.6200000000008</v>
      </c>
      <c r="U153" s="3"/>
      <c r="V153" s="7">
        <f t="shared" si="25"/>
        <v>1.9713220938665289E-3</v>
      </c>
      <c r="W153" s="3"/>
      <c r="X153" s="8">
        <f t="shared" si="26"/>
        <v>83600.72</v>
      </c>
      <c r="Y153" s="3"/>
      <c r="Z153" s="7">
        <f t="shared" si="27"/>
        <v>9.9387181066191754</v>
      </c>
    </row>
    <row r="154" spans="1:26" s="68" customFormat="1" ht="15" customHeight="1" outlineLevel="1" collapsed="1" x14ac:dyDescent="0.3">
      <c r="A154" s="26"/>
      <c r="B154" s="14" t="str">
        <f>CONCATENATE("     ","Advertising/Promo                                 ")</f>
        <v xml:space="preserve">     Advertising/Promo                                 </v>
      </c>
      <c r="C154" s="14"/>
      <c r="D154" s="2">
        <f>SUM(OSRRefD22_2x_0)</f>
        <v>2364.56</v>
      </c>
      <c r="E154" s="2"/>
      <c r="F154" s="6">
        <f t="shared" si="20"/>
        <v>3.2577965311140818E-3</v>
      </c>
      <c r="G154" s="2"/>
      <c r="H154" s="2">
        <f>SUM(OSRRefH22_2x_0)</f>
        <v>73.430000000000007</v>
      </c>
      <c r="I154" s="2"/>
      <c r="J154" s="6">
        <f t="shared" si="21"/>
        <v>3.990864545285469E-4</v>
      </c>
      <c r="K154" s="2"/>
      <c r="L154" s="2">
        <f t="shared" si="22"/>
        <v>2291.13</v>
      </c>
      <c r="M154" s="2"/>
      <c r="N154" s="6">
        <f t="shared" si="23"/>
        <v>31.201552498978618</v>
      </c>
      <c r="O154" s="14"/>
      <c r="P154" s="2">
        <f>SUM(OSRRefP22_2x_0)</f>
        <v>9624.7900000000009</v>
      </c>
      <c r="Q154" s="2"/>
      <c r="R154" s="6">
        <f t="shared" si="24"/>
        <v>1.5787990206672336E-3</v>
      </c>
      <c r="S154" s="2"/>
      <c r="T154" s="2">
        <f>SUM(OSRRefT22_2x_0)</f>
        <v>16222.22</v>
      </c>
      <c r="U154" s="2"/>
      <c r="V154" s="6">
        <f t="shared" si="25"/>
        <v>3.8017909389111105E-3</v>
      </c>
      <c r="W154" s="2"/>
      <c r="X154" s="2">
        <f t="shared" si="26"/>
        <v>-6597.4299999999985</v>
      </c>
      <c r="Y154" s="2"/>
      <c r="Z154" s="6">
        <f t="shared" si="27"/>
        <v>-0.40669094612204731</v>
      </c>
    </row>
    <row r="155" spans="1:26" s="69" customFormat="1" ht="15" hidden="1" customHeight="1" outlineLevel="2" x14ac:dyDescent="0.3">
      <c r="A155" s="25"/>
      <c r="B155" s="12" t="str">
        <f>CONCATENATE("          ","6362"," - ","ADVERTISING EXPENSE")</f>
        <v xml:space="preserve">          6362 - ADVERTISING EXPENSE</v>
      </c>
      <c r="C155" s="12"/>
      <c r="D155" s="8">
        <v>2364.56</v>
      </c>
      <c r="E155" s="3"/>
      <c r="F155" s="7">
        <f t="shared" si="20"/>
        <v>3.2577965311140818E-3</v>
      </c>
      <c r="G155" s="3"/>
      <c r="H155" s="8">
        <v>73.430000000000007</v>
      </c>
      <c r="I155" s="3"/>
      <c r="J155" s="7">
        <f t="shared" si="21"/>
        <v>3.990864545285469E-4</v>
      </c>
      <c r="K155" s="3"/>
      <c r="L155" s="8">
        <f t="shared" si="22"/>
        <v>2291.13</v>
      </c>
      <c r="M155" s="3"/>
      <c r="N155" s="7">
        <f t="shared" si="23"/>
        <v>31.201552498978618</v>
      </c>
      <c r="O155" s="12"/>
      <c r="P155" s="8">
        <v>9624.7900000000009</v>
      </c>
      <c r="Q155" s="3"/>
      <c r="R155" s="7">
        <f t="shared" si="24"/>
        <v>1.5787990206672336E-3</v>
      </c>
      <c r="S155" s="3"/>
      <c r="T155" s="8">
        <v>16222.22</v>
      </c>
      <c r="U155" s="3"/>
      <c r="V155" s="7">
        <f t="shared" si="25"/>
        <v>3.8017909389111105E-3</v>
      </c>
      <c r="W155" s="3"/>
      <c r="X155" s="8">
        <f t="shared" si="26"/>
        <v>-6597.4299999999985</v>
      </c>
      <c r="Y155" s="3"/>
      <c r="Z155" s="7">
        <f t="shared" si="27"/>
        <v>-0.40669094612204731</v>
      </c>
    </row>
    <row r="156" spans="1:26" s="68" customFormat="1" ht="15" customHeight="1" outlineLevel="1" collapsed="1" x14ac:dyDescent="0.3">
      <c r="A156" s="26"/>
      <c r="B156" s="14" t="str">
        <f>CONCATENATE("     ","Bad Debts/Over/Short                              ")</f>
        <v xml:space="preserve">     Bad Debts/Over/Short                              </v>
      </c>
      <c r="C156" s="14"/>
      <c r="D156" s="2">
        <f>SUM(OSRRefD22_3x_0)</f>
        <v>-47.38</v>
      </c>
      <c r="E156" s="2"/>
      <c r="F156" s="6">
        <f t="shared" si="20"/>
        <v>-6.5278275723257276E-5</v>
      </c>
      <c r="G156" s="2"/>
      <c r="H156" s="2">
        <f>SUM(OSRRefH22_3x_0)</f>
        <v>-16.510000000000002</v>
      </c>
      <c r="I156" s="2"/>
      <c r="J156" s="6">
        <f t="shared" si="21"/>
        <v>-8.9730591914289931E-5</v>
      </c>
      <c r="K156" s="2"/>
      <c r="L156" s="2">
        <f t="shared" si="22"/>
        <v>-30.87</v>
      </c>
      <c r="M156" s="2"/>
      <c r="N156" s="6">
        <f t="shared" si="23"/>
        <v>1.8697758933979405</v>
      </c>
      <c r="O156" s="14"/>
      <c r="P156" s="2">
        <f>SUM(OSRRefP22_3x_0)</f>
        <v>61.41</v>
      </c>
      <c r="Q156" s="2"/>
      <c r="R156" s="6">
        <f t="shared" si="24"/>
        <v>1.0073367612090737E-5</v>
      </c>
      <c r="S156" s="2"/>
      <c r="T156" s="2">
        <f>SUM(OSRRefT22_3x_0)</f>
        <v>5187.26</v>
      </c>
      <c r="U156" s="2"/>
      <c r="V156" s="6">
        <f t="shared" si="25"/>
        <v>1.2156707322287608E-3</v>
      </c>
      <c r="W156" s="2"/>
      <c r="X156" s="2">
        <f t="shared" si="26"/>
        <v>-5125.8500000000004</v>
      </c>
      <c r="Y156" s="2"/>
      <c r="Z156" s="6">
        <f t="shared" si="27"/>
        <v>-0.98816137999637577</v>
      </c>
    </row>
    <row r="157" spans="1:26" s="69" customFormat="1" ht="15" hidden="1" customHeight="1" outlineLevel="2" x14ac:dyDescent="0.3">
      <c r="A157" s="25"/>
      <c r="B157" s="12" t="str">
        <f>CONCATENATE("          ","6272"," - ","CASH (OVER/SHORT)")</f>
        <v xml:space="preserve">          6272 - CASH (OVER/SHORT)</v>
      </c>
      <c r="C157" s="12"/>
      <c r="D157" s="8">
        <v>-47.38</v>
      </c>
      <c r="E157" s="3"/>
      <c r="F157" s="7">
        <f t="shared" si="20"/>
        <v>-6.5278275723257276E-5</v>
      </c>
      <c r="G157" s="3"/>
      <c r="H157" s="8">
        <v>-16.510000000000002</v>
      </c>
      <c r="I157" s="3"/>
      <c r="J157" s="7">
        <f t="shared" si="21"/>
        <v>-8.9730591914289931E-5</v>
      </c>
      <c r="K157" s="3"/>
      <c r="L157" s="8">
        <f t="shared" si="22"/>
        <v>-30.87</v>
      </c>
      <c r="M157" s="3"/>
      <c r="N157" s="7">
        <f t="shared" si="23"/>
        <v>1.8697758933979405</v>
      </c>
      <c r="O157" s="12"/>
      <c r="P157" s="8">
        <v>61.41</v>
      </c>
      <c r="Q157" s="3"/>
      <c r="R157" s="7">
        <f t="shared" si="24"/>
        <v>1.0073367612090737E-5</v>
      </c>
      <c r="S157" s="3"/>
      <c r="T157" s="8">
        <v>-162.16</v>
      </c>
      <c r="U157" s="3"/>
      <c r="V157" s="7">
        <f t="shared" si="25"/>
        <v>-3.8003332383226569E-5</v>
      </c>
      <c r="W157" s="3"/>
      <c r="X157" s="8">
        <f t="shared" si="26"/>
        <v>223.57</v>
      </c>
      <c r="Y157" s="3"/>
      <c r="Z157" s="7">
        <f t="shared" si="27"/>
        <v>-1.3787000493339912</v>
      </c>
    </row>
    <row r="158" spans="1:26" s="69" customFormat="1" ht="15" hidden="1" customHeight="1" outlineLevel="2" x14ac:dyDescent="0.3">
      <c r="A158" s="25"/>
      <c r="B158" s="12" t="str">
        <f>CONCATENATE("          ","6342"," - ","BAD DEBT")</f>
        <v xml:space="preserve">          6342 - BAD DEBT</v>
      </c>
      <c r="C158" s="12"/>
      <c r="D158" s="8"/>
      <c r="E158" s="3"/>
      <c r="F158" s="7">
        <f t="shared" si="20"/>
        <v>0</v>
      </c>
      <c r="G158" s="3"/>
      <c r="H158" s="8"/>
      <c r="I158" s="3"/>
      <c r="J158" s="7">
        <f t="shared" si="21"/>
        <v>0</v>
      </c>
      <c r="K158" s="3"/>
      <c r="L158" s="8">
        <f t="shared" si="22"/>
        <v>0</v>
      </c>
      <c r="M158" s="3"/>
      <c r="N158" s="7">
        <f t="shared" si="23"/>
        <v>0</v>
      </c>
      <c r="O158" s="12"/>
      <c r="P158" s="8"/>
      <c r="Q158" s="3"/>
      <c r="R158" s="7">
        <f t="shared" si="24"/>
        <v>0</v>
      </c>
      <c r="S158" s="3"/>
      <c r="T158" s="8">
        <v>5349.42</v>
      </c>
      <c r="U158" s="3"/>
      <c r="V158" s="7">
        <f t="shared" si="25"/>
        <v>1.2536740646119874E-3</v>
      </c>
      <c r="W158" s="3"/>
      <c r="X158" s="8">
        <f t="shared" si="26"/>
        <v>-5349.42</v>
      </c>
      <c r="Y158" s="3"/>
      <c r="Z158" s="7">
        <f t="shared" si="27"/>
        <v>-1</v>
      </c>
    </row>
    <row r="159" spans="1:26" s="68" customFormat="1" ht="15" customHeight="1" outlineLevel="1" collapsed="1" x14ac:dyDescent="0.3">
      <c r="A159" s="26"/>
      <c r="B159" s="14" t="str">
        <f>CONCATENATE("     ","Bank/card Fees                                    ")</f>
        <v xml:space="preserve">     Bank/card Fees                                    </v>
      </c>
      <c r="C159" s="14"/>
      <c r="D159" s="2">
        <f>SUM(OSRRefD22_4x_0)</f>
        <v>21960.93</v>
      </c>
      <c r="E159" s="2"/>
      <c r="F159" s="6">
        <f t="shared" si="20"/>
        <v>3.0256894125773579E-2</v>
      </c>
      <c r="G159" s="2"/>
      <c r="H159" s="2">
        <f>SUM(OSRRefH22_4x_0)</f>
        <v>4048.88</v>
      </c>
      <c r="I159" s="2"/>
      <c r="J159" s="6">
        <f t="shared" si="21"/>
        <v>2.2005354269529386E-2</v>
      </c>
      <c r="K159" s="2"/>
      <c r="L159" s="2">
        <f t="shared" si="22"/>
        <v>17912.05</v>
      </c>
      <c r="M159" s="2"/>
      <c r="N159" s="6">
        <f t="shared" si="23"/>
        <v>4.4239518088952989</v>
      </c>
      <c r="O159" s="14"/>
      <c r="P159" s="2">
        <f>SUM(OSRRefP22_4x_0)</f>
        <v>125326.05</v>
      </c>
      <c r="Q159" s="2"/>
      <c r="R159" s="6">
        <f t="shared" si="24"/>
        <v>2.0557814248839998E-2</v>
      </c>
      <c r="S159" s="2"/>
      <c r="T159" s="2">
        <f>SUM(OSRRefT22_4x_0)</f>
        <v>70913.19</v>
      </c>
      <c r="U159" s="2"/>
      <c r="V159" s="6">
        <f t="shared" si="25"/>
        <v>1.6619003021243823E-2</v>
      </c>
      <c r="W159" s="2"/>
      <c r="X159" s="2">
        <f t="shared" si="26"/>
        <v>54412.86</v>
      </c>
      <c r="Y159" s="2"/>
      <c r="Z159" s="6">
        <f t="shared" si="27"/>
        <v>0.76731648935832664</v>
      </c>
    </row>
    <row r="160" spans="1:26" s="69" customFormat="1" ht="15" hidden="1" customHeight="1" outlineLevel="2" x14ac:dyDescent="0.3">
      <c r="A160" s="25"/>
      <c r="B160" s="12" t="str">
        <f>CONCATENATE("          ","6381"," - ","BANK/CREDIT CARD FEES")</f>
        <v xml:space="preserve">          6381 - BANK/CREDIT CARD FEES</v>
      </c>
      <c r="C160" s="12"/>
      <c r="D160" s="8">
        <v>21960.93</v>
      </c>
      <c r="E160" s="3"/>
      <c r="F160" s="7">
        <f t="shared" si="20"/>
        <v>3.0256894125773579E-2</v>
      </c>
      <c r="G160" s="3"/>
      <c r="H160" s="8">
        <v>4048.88</v>
      </c>
      <c r="I160" s="3"/>
      <c r="J160" s="7">
        <f t="shared" si="21"/>
        <v>2.2005354269529386E-2</v>
      </c>
      <c r="K160" s="3"/>
      <c r="L160" s="8">
        <f t="shared" si="22"/>
        <v>17912.05</v>
      </c>
      <c r="M160" s="3"/>
      <c r="N160" s="7">
        <f t="shared" si="23"/>
        <v>4.4239518088952989</v>
      </c>
      <c r="O160" s="12"/>
      <c r="P160" s="8">
        <v>125326.05</v>
      </c>
      <c r="Q160" s="3"/>
      <c r="R160" s="7">
        <f t="shared" si="24"/>
        <v>2.0557814248839998E-2</v>
      </c>
      <c r="S160" s="3"/>
      <c r="T160" s="8">
        <v>70913.19</v>
      </c>
      <c r="U160" s="3"/>
      <c r="V160" s="7">
        <f t="shared" si="25"/>
        <v>1.6619003021243823E-2</v>
      </c>
      <c r="W160" s="3"/>
      <c r="X160" s="8">
        <f t="shared" si="26"/>
        <v>54412.86</v>
      </c>
      <c r="Y160" s="3"/>
      <c r="Z160" s="7">
        <f t="shared" si="27"/>
        <v>0.76731648935832664</v>
      </c>
    </row>
    <row r="161" spans="1:26" s="68" customFormat="1" ht="15" customHeight="1" outlineLevel="1" collapsed="1" x14ac:dyDescent="0.3">
      <c r="A161" s="26"/>
      <c r="B161" s="14" t="str">
        <f>CONCATENATE("     ","Depreciation                                      ")</f>
        <v xml:space="preserve">     Depreciation                                      </v>
      </c>
      <c r="C161" s="14"/>
      <c r="D161" s="2">
        <f>SUM(OSRRefD22_5x_0)</f>
        <v>33864.76</v>
      </c>
      <c r="E161" s="2"/>
      <c r="F161" s="6">
        <f t="shared" si="20"/>
        <v>4.6657516685984252E-2</v>
      </c>
      <c r="G161" s="2"/>
      <c r="H161" s="2">
        <f>SUM(OSRRefH22_5x_0)</f>
        <v>39887.94</v>
      </c>
      <c r="I161" s="2"/>
      <c r="J161" s="6">
        <f t="shared" si="21"/>
        <v>0.21678791438168876</v>
      </c>
      <c r="K161" s="2"/>
      <c r="L161" s="2">
        <f t="shared" si="22"/>
        <v>-6023.18</v>
      </c>
      <c r="M161" s="2"/>
      <c r="N161" s="6">
        <f t="shared" si="23"/>
        <v>-0.15100253359787444</v>
      </c>
      <c r="O161" s="14"/>
      <c r="P161" s="2">
        <f>SUM(OSRRefP22_5x_0)</f>
        <v>326791.67999999999</v>
      </c>
      <c r="Q161" s="2"/>
      <c r="R161" s="6">
        <f t="shared" si="24"/>
        <v>5.3605157551094615E-2</v>
      </c>
      <c r="S161" s="2"/>
      <c r="T161" s="2">
        <f>SUM(OSRRefT22_5x_0)</f>
        <v>359468.23</v>
      </c>
      <c r="U161" s="2"/>
      <c r="V161" s="6">
        <f t="shared" si="25"/>
        <v>8.4243898778367882E-2</v>
      </c>
      <c r="W161" s="2"/>
      <c r="X161" s="2">
        <f t="shared" si="26"/>
        <v>-32676.549999999988</v>
      </c>
      <c r="Y161" s="2"/>
      <c r="Z161" s="6">
        <f t="shared" si="27"/>
        <v>-9.090247001800407E-2</v>
      </c>
    </row>
    <row r="162" spans="1:26" s="69" customFormat="1" ht="15" hidden="1" customHeight="1" outlineLevel="2" x14ac:dyDescent="0.3">
      <c r="A162" s="25"/>
      <c r="B162" s="12" t="str">
        <f>CONCATENATE("          ","6321"," - ","BUILDING DEPRECIATION")</f>
        <v xml:space="preserve">          6321 - BUILDING DEPRECIATION</v>
      </c>
      <c r="C162" s="12"/>
      <c r="D162" s="8">
        <v>18402.22</v>
      </c>
      <c r="E162" s="3"/>
      <c r="F162" s="7">
        <f t="shared" si="20"/>
        <v>2.5353845316167991E-2</v>
      </c>
      <c r="G162" s="3"/>
      <c r="H162" s="8">
        <v>21477.03</v>
      </c>
      <c r="I162" s="3"/>
      <c r="J162" s="7">
        <f t="shared" si="21"/>
        <v>0.11672602146947074</v>
      </c>
      <c r="K162" s="3"/>
      <c r="L162" s="8">
        <f t="shared" si="22"/>
        <v>-3074.8099999999977</v>
      </c>
      <c r="M162" s="3"/>
      <c r="N162" s="7">
        <f t="shared" si="23"/>
        <v>-0.14316737463233967</v>
      </c>
      <c r="O162" s="12"/>
      <c r="P162" s="8">
        <v>184878.72</v>
      </c>
      <c r="Q162" s="3"/>
      <c r="R162" s="7">
        <f t="shared" si="24"/>
        <v>3.0326515391838331E-2</v>
      </c>
      <c r="S162" s="3"/>
      <c r="T162" s="8">
        <v>193293.27</v>
      </c>
      <c r="U162" s="3"/>
      <c r="V162" s="7">
        <f t="shared" si="25"/>
        <v>4.5299632383144772E-2</v>
      </c>
      <c r="W162" s="3"/>
      <c r="X162" s="8">
        <f t="shared" si="26"/>
        <v>-8414.5499999999884</v>
      </c>
      <c r="Y162" s="3"/>
      <c r="Z162" s="7">
        <f t="shared" si="27"/>
        <v>-4.3532555479039642E-2</v>
      </c>
    </row>
    <row r="163" spans="1:26" s="69" customFormat="1" ht="15" hidden="1" customHeight="1" outlineLevel="2" x14ac:dyDescent="0.3">
      <c r="A163" s="25"/>
      <c r="B163" s="12" t="str">
        <f>CONCATENATE("          ","6322"," - ","EQUIPMENT DEPRECIATION EXPENSE")</f>
        <v xml:space="preserve">          6322 - EQUIPMENT DEPRECIATION EXPENSE</v>
      </c>
      <c r="C163" s="12"/>
      <c r="D163" s="8">
        <v>15462.54</v>
      </c>
      <c r="E163" s="3"/>
      <c r="F163" s="7">
        <f t="shared" si="20"/>
        <v>2.1303671369816261E-2</v>
      </c>
      <c r="G163" s="3"/>
      <c r="H163" s="8">
        <v>18410.91</v>
      </c>
      <c r="I163" s="3"/>
      <c r="J163" s="7">
        <f t="shared" si="21"/>
        <v>0.10006189291221801</v>
      </c>
      <c r="K163" s="3"/>
      <c r="L163" s="8">
        <f t="shared" si="22"/>
        <v>-2948.369999999999</v>
      </c>
      <c r="M163" s="3"/>
      <c r="N163" s="7">
        <f t="shared" si="23"/>
        <v>-0.16014254591435181</v>
      </c>
      <c r="O163" s="12"/>
      <c r="P163" s="8">
        <v>141912.95999999999</v>
      </c>
      <c r="Q163" s="3"/>
      <c r="R163" s="7">
        <f t="shared" si="24"/>
        <v>2.327864215925628E-2</v>
      </c>
      <c r="S163" s="3"/>
      <c r="T163" s="8">
        <v>166174.96</v>
      </c>
      <c r="U163" s="3"/>
      <c r="V163" s="7">
        <f t="shared" si="25"/>
        <v>3.8944266395223109E-2</v>
      </c>
      <c r="W163" s="3"/>
      <c r="X163" s="8">
        <f t="shared" si="26"/>
        <v>-24262</v>
      </c>
      <c r="Y163" s="3"/>
      <c r="Z163" s="7">
        <f t="shared" si="27"/>
        <v>-0.1460027431329004</v>
      </c>
    </row>
    <row r="164" spans="1:26" s="68" customFormat="1" ht="15" customHeight="1" outlineLevel="1" collapsed="1" x14ac:dyDescent="0.3">
      <c r="A164" s="26"/>
      <c r="B164" s="14" t="str">
        <f>CONCATENATE("     ","Discounts and Markdowns                           ")</f>
        <v xml:space="preserve">     Discounts and Markdowns                           </v>
      </c>
      <c r="C164" s="14"/>
      <c r="D164" s="2">
        <f>SUM(OSRRefD22_6x_0)</f>
        <v>-7.72</v>
      </c>
      <c r="E164" s="2"/>
      <c r="F164" s="6">
        <f t="shared" si="20"/>
        <v>-1.0636308328061336E-5</v>
      </c>
      <c r="G164" s="2"/>
      <c r="H164" s="2">
        <f>SUM(OSRRefH22_6x_0)</f>
        <v>0</v>
      </c>
      <c r="I164" s="2"/>
      <c r="J164" s="6">
        <f t="shared" si="21"/>
        <v>0</v>
      </c>
      <c r="K164" s="2"/>
      <c r="L164" s="2">
        <f t="shared" si="22"/>
        <v>-7.72</v>
      </c>
      <c r="M164" s="2"/>
      <c r="N164" s="6">
        <f t="shared" si="23"/>
        <v>0</v>
      </c>
      <c r="O164" s="14"/>
      <c r="P164" s="2">
        <f>SUM(OSRRefP22_6x_0)</f>
        <v>2056.83</v>
      </c>
      <c r="Q164" s="2"/>
      <c r="R164" s="6">
        <f t="shared" si="24"/>
        <v>3.3739138097340157E-4</v>
      </c>
      <c r="S164" s="2"/>
      <c r="T164" s="2">
        <f>SUM(OSRRefT22_6x_0)</f>
        <v>0</v>
      </c>
      <c r="U164" s="2"/>
      <c r="V164" s="6">
        <f t="shared" si="25"/>
        <v>0</v>
      </c>
      <c r="W164" s="2"/>
      <c r="X164" s="2">
        <f t="shared" si="26"/>
        <v>2056.83</v>
      </c>
      <c r="Y164" s="2"/>
      <c r="Z164" s="6">
        <f t="shared" si="27"/>
        <v>0</v>
      </c>
    </row>
    <row r="165" spans="1:26" s="69" customFormat="1" ht="15" hidden="1" customHeight="1" outlineLevel="2" x14ac:dyDescent="0.3">
      <c r="A165" s="25"/>
      <c r="B165" s="12" t="str">
        <f>CONCATENATE("          ","6382"," - ","DISCOUNTS/MARK DOWNS")</f>
        <v xml:space="preserve">          6382 - DISCOUNTS/MARK DOWNS</v>
      </c>
      <c r="C165" s="12"/>
      <c r="D165" s="8"/>
      <c r="E165" s="3"/>
      <c r="F165" s="7">
        <f t="shared" si="20"/>
        <v>0</v>
      </c>
      <c r="G165" s="3"/>
      <c r="H165" s="8">
        <v>0</v>
      </c>
      <c r="I165" s="3"/>
      <c r="J165" s="7">
        <f t="shared" si="21"/>
        <v>0</v>
      </c>
      <c r="K165" s="3"/>
      <c r="L165" s="8">
        <f t="shared" si="22"/>
        <v>0</v>
      </c>
      <c r="M165" s="3"/>
      <c r="N165" s="7">
        <f t="shared" si="23"/>
        <v>0</v>
      </c>
      <c r="O165" s="12"/>
      <c r="P165" s="8">
        <v>2171.35</v>
      </c>
      <c r="Q165" s="3"/>
      <c r="R165" s="7">
        <f t="shared" si="24"/>
        <v>3.5617662863561669E-4</v>
      </c>
      <c r="S165" s="3"/>
      <c r="T165" s="8">
        <v>0</v>
      </c>
      <c r="U165" s="3"/>
      <c r="V165" s="7">
        <f t="shared" si="25"/>
        <v>0</v>
      </c>
      <c r="W165" s="3"/>
      <c r="X165" s="8">
        <f t="shared" si="26"/>
        <v>2171.35</v>
      </c>
      <c r="Y165" s="3"/>
      <c r="Z165" s="7">
        <f t="shared" si="27"/>
        <v>0</v>
      </c>
    </row>
    <row r="166" spans="1:26" s="69" customFormat="1" ht="15" hidden="1" customHeight="1" outlineLevel="2" x14ac:dyDescent="0.3">
      <c r="A166" s="25"/>
      <c r="B166" s="12" t="str">
        <f>CONCATENATE("          ","9175"," - ","EARNED DISCOUNTS")</f>
        <v xml:space="preserve">          9175 - EARNED DISCOUNTS</v>
      </c>
      <c r="C166" s="12"/>
      <c r="D166" s="8">
        <v>-7.72</v>
      </c>
      <c r="E166" s="3"/>
      <c r="F166" s="7">
        <f t="shared" ref="F166:F197" si="28">IF(D$12=0,0,D166/D$12)</f>
        <v>-1.0636308328061336E-5</v>
      </c>
      <c r="G166" s="3"/>
      <c r="H166" s="8">
        <v>0</v>
      </c>
      <c r="I166" s="3"/>
      <c r="J166" s="7">
        <f t="shared" ref="J166:J197" si="29">IF(H$12=0,0,H166/H$12)</f>
        <v>0</v>
      </c>
      <c r="K166" s="3"/>
      <c r="L166" s="8">
        <f t="shared" ref="L166:L197" si="30">+D166-H166</f>
        <v>-7.72</v>
      </c>
      <c r="M166" s="3"/>
      <c r="N166" s="7">
        <f t="shared" ref="N166:N197" si="31">IF(H166=0,0,L166/H166)</f>
        <v>0</v>
      </c>
      <c r="O166" s="12"/>
      <c r="P166" s="8">
        <v>-114.52</v>
      </c>
      <c r="Q166" s="3"/>
      <c r="R166" s="7">
        <f t="shared" ref="R166:R197" si="32">IF(P$12=0,0,P166/P$12)</f>
        <v>-1.8785247662215132E-5</v>
      </c>
      <c r="S166" s="3"/>
      <c r="T166" s="8">
        <v>0</v>
      </c>
      <c r="U166" s="3"/>
      <c r="V166" s="7">
        <f t="shared" ref="V166:V197" si="33">IF(T$12=0,0,T166/T$12)</f>
        <v>0</v>
      </c>
      <c r="W166" s="3"/>
      <c r="X166" s="8">
        <f t="shared" ref="X166:X197" si="34">+P166-T166</f>
        <v>-114.52</v>
      </c>
      <c r="Y166" s="3"/>
      <c r="Z166" s="7">
        <f t="shared" ref="Z166:Z197" si="35">IF(T166=0,0,X166/T166)</f>
        <v>0</v>
      </c>
    </row>
    <row r="167" spans="1:26" s="68" customFormat="1" ht="15" customHeight="1" outlineLevel="1" collapsed="1" x14ac:dyDescent="0.3">
      <c r="A167" s="26"/>
      <c r="B167" s="14" t="str">
        <f>CONCATENATE("     ","Donations                                         ")</f>
        <v xml:space="preserve">     Donations                                         </v>
      </c>
      <c r="C167" s="14"/>
      <c r="D167" s="2">
        <f>SUM(OSRRefD22_7x_0)</f>
        <v>0</v>
      </c>
      <c r="E167" s="2"/>
      <c r="F167" s="6">
        <f t="shared" si="28"/>
        <v>0</v>
      </c>
      <c r="G167" s="2"/>
      <c r="H167" s="2">
        <f>SUM(OSRRefH22_7x_0)</f>
        <v>0</v>
      </c>
      <c r="I167" s="2"/>
      <c r="J167" s="6">
        <f t="shared" si="29"/>
        <v>0</v>
      </c>
      <c r="K167" s="2"/>
      <c r="L167" s="2">
        <f t="shared" si="30"/>
        <v>0</v>
      </c>
      <c r="M167" s="2"/>
      <c r="N167" s="6">
        <f t="shared" si="31"/>
        <v>0</v>
      </c>
      <c r="O167" s="14"/>
      <c r="P167" s="2">
        <f>SUM(OSRRefP22_7x_0)</f>
        <v>5818.27</v>
      </c>
      <c r="Q167" s="2"/>
      <c r="R167" s="6">
        <f t="shared" si="32"/>
        <v>9.5439785989902585E-4</v>
      </c>
      <c r="S167" s="2"/>
      <c r="T167" s="2">
        <f>SUM(OSRRefT22_7x_0)</f>
        <v>0</v>
      </c>
      <c r="U167" s="2"/>
      <c r="V167" s="6">
        <f t="shared" si="33"/>
        <v>0</v>
      </c>
      <c r="W167" s="2"/>
      <c r="X167" s="2">
        <f t="shared" si="34"/>
        <v>5818.27</v>
      </c>
      <c r="Y167" s="2"/>
      <c r="Z167" s="6">
        <f t="shared" si="35"/>
        <v>0</v>
      </c>
    </row>
    <row r="168" spans="1:26" s="69" customFormat="1" ht="15" hidden="1" customHeight="1" outlineLevel="2" x14ac:dyDescent="0.3">
      <c r="A168" s="25"/>
      <c r="B168" s="12" t="str">
        <f>CONCATENATE("          ","6399"," - ","DONATION-ON CAMPUS")</f>
        <v xml:space="preserve">          6399 - DONATION-ON CAMPUS</v>
      </c>
      <c r="C168" s="12"/>
      <c r="D168" s="8"/>
      <c r="E168" s="3"/>
      <c r="F168" s="7">
        <f t="shared" si="28"/>
        <v>0</v>
      </c>
      <c r="G168" s="3"/>
      <c r="H168" s="8"/>
      <c r="I168" s="3"/>
      <c r="J168" s="7">
        <f t="shared" si="29"/>
        <v>0</v>
      </c>
      <c r="K168" s="3"/>
      <c r="L168" s="8">
        <f t="shared" si="30"/>
        <v>0</v>
      </c>
      <c r="M168" s="3"/>
      <c r="N168" s="7">
        <f t="shared" si="31"/>
        <v>0</v>
      </c>
      <c r="O168" s="12"/>
      <c r="P168" s="8">
        <v>5818.27</v>
      </c>
      <c r="Q168" s="3"/>
      <c r="R168" s="7">
        <f t="shared" si="32"/>
        <v>9.5439785989902585E-4</v>
      </c>
      <c r="S168" s="3"/>
      <c r="T168" s="8"/>
      <c r="U168" s="3"/>
      <c r="V168" s="7">
        <f t="shared" si="33"/>
        <v>0</v>
      </c>
      <c r="W168" s="3"/>
      <c r="X168" s="8">
        <f t="shared" si="34"/>
        <v>5818.27</v>
      </c>
      <c r="Y168" s="3"/>
      <c r="Z168" s="7">
        <f t="shared" si="35"/>
        <v>0</v>
      </c>
    </row>
    <row r="169" spans="1:26" s="68" customFormat="1" ht="15" customHeight="1" outlineLevel="1" collapsed="1" x14ac:dyDescent="0.3">
      <c r="A169" s="26"/>
      <c r="B169" s="14" t="str">
        <f>CONCATENATE("     ","Employees' Appreciation                           ")</f>
        <v xml:space="preserve">     Employees' Appreciation                           </v>
      </c>
      <c r="C169" s="14"/>
      <c r="D169" s="2">
        <f>SUM(OSRRefD22_8x_0)</f>
        <v>74.69</v>
      </c>
      <c r="E169" s="2"/>
      <c r="F169" s="6">
        <f t="shared" si="28"/>
        <v>1.029049053138473E-4</v>
      </c>
      <c r="G169" s="2"/>
      <c r="H169" s="2">
        <f>SUM(OSRRefH22_8x_0)</f>
        <v>0</v>
      </c>
      <c r="I169" s="2"/>
      <c r="J169" s="6">
        <f t="shared" si="29"/>
        <v>0</v>
      </c>
      <c r="K169" s="2"/>
      <c r="L169" s="2">
        <f t="shared" si="30"/>
        <v>74.69</v>
      </c>
      <c r="M169" s="2"/>
      <c r="N169" s="6">
        <f t="shared" si="31"/>
        <v>0</v>
      </c>
      <c r="O169" s="14"/>
      <c r="P169" s="2">
        <f>SUM(OSRRefP22_8x_0)</f>
        <v>4319.88</v>
      </c>
      <c r="Q169" s="2"/>
      <c r="R169" s="6">
        <f t="shared" si="32"/>
        <v>7.0860998664905609E-4</v>
      </c>
      <c r="S169" s="2"/>
      <c r="T169" s="2">
        <f>SUM(OSRRefT22_8x_0)</f>
        <v>186.03</v>
      </c>
      <c r="U169" s="2"/>
      <c r="V169" s="6">
        <f t="shared" si="33"/>
        <v>4.3597434159173893E-5</v>
      </c>
      <c r="W169" s="2"/>
      <c r="X169" s="2">
        <f t="shared" si="34"/>
        <v>4133.8500000000004</v>
      </c>
      <c r="Y169" s="2"/>
      <c r="Z169" s="6">
        <f t="shared" si="35"/>
        <v>22.221415900661185</v>
      </c>
    </row>
    <row r="170" spans="1:26" s="69" customFormat="1" ht="15" hidden="1" customHeight="1" outlineLevel="2" x14ac:dyDescent="0.3">
      <c r="A170" s="25"/>
      <c r="B170" s="12" t="str">
        <f>CONCATENATE("          ","6277"," - ","EMPLOYEE APPRECIATION")</f>
        <v xml:space="preserve">          6277 - EMPLOYEE APPRECIATION</v>
      </c>
      <c r="C170" s="12"/>
      <c r="D170" s="8">
        <v>74.69</v>
      </c>
      <c r="E170" s="3"/>
      <c r="F170" s="7">
        <f t="shared" si="28"/>
        <v>1.029049053138473E-4</v>
      </c>
      <c r="G170" s="3"/>
      <c r="H170" s="8"/>
      <c r="I170" s="3"/>
      <c r="J170" s="7">
        <f t="shared" si="29"/>
        <v>0</v>
      </c>
      <c r="K170" s="3"/>
      <c r="L170" s="8">
        <f t="shared" si="30"/>
        <v>74.69</v>
      </c>
      <c r="M170" s="3"/>
      <c r="N170" s="7">
        <f t="shared" si="31"/>
        <v>0</v>
      </c>
      <c r="O170" s="12"/>
      <c r="P170" s="8">
        <v>4319.88</v>
      </c>
      <c r="Q170" s="3"/>
      <c r="R170" s="7">
        <f t="shared" si="32"/>
        <v>7.0860998664905609E-4</v>
      </c>
      <c r="S170" s="3"/>
      <c r="T170" s="8">
        <v>186.03</v>
      </c>
      <c r="U170" s="3"/>
      <c r="V170" s="7">
        <f t="shared" si="33"/>
        <v>4.3597434159173893E-5</v>
      </c>
      <c r="W170" s="3"/>
      <c r="X170" s="8">
        <f t="shared" si="34"/>
        <v>4133.8500000000004</v>
      </c>
      <c r="Y170" s="3"/>
      <c r="Z170" s="7">
        <f t="shared" si="35"/>
        <v>22.221415900661185</v>
      </c>
    </row>
    <row r="171" spans="1:26" s="68" customFormat="1" ht="15" customHeight="1" outlineLevel="1" collapsed="1" x14ac:dyDescent="0.3">
      <c r="A171" s="26"/>
      <c r="B171" s="14" t="str">
        <f>CONCATENATE("     ","Equipment Rental                                  ")</f>
        <v xml:space="preserve">     Equipment Rental                                  </v>
      </c>
      <c r="C171" s="14"/>
      <c r="D171" s="2">
        <f>SUM(OSRRefD22_9x_0)</f>
        <v>1712.05</v>
      </c>
      <c r="E171" s="2"/>
      <c r="F171" s="6">
        <f t="shared" si="28"/>
        <v>2.3587942581680581E-3</v>
      </c>
      <c r="G171" s="2"/>
      <c r="H171" s="2">
        <f>SUM(OSRRefH22_9x_0)</f>
        <v>1296.9000000000001</v>
      </c>
      <c r="I171" s="2"/>
      <c r="J171" s="6">
        <f t="shared" si="29"/>
        <v>7.0485526743575165E-3</v>
      </c>
      <c r="K171" s="2"/>
      <c r="L171" s="2">
        <f t="shared" si="30"/>
        <v>415.14999999999986</v>
      </c>
      <c r="M171" s="2"/>
      <c r="N171" s="6">
        <f t="shared" si="31"/>
        <v>0.32010949186521692</v>
      </c>
      <c r="O171" s="14"/>
      <c r="P171" s="2">
        <f>SUM(OSRRefP22_9x_0)</f>
        <v>14440.15</v>
      </c>
      <c r="Q171" s="2"/>
      <c r="R171" s="6">
        <f t="shared" si="32"/>
        <v>2.3686848937262994E-3</v>
      </c>
      <c r="S171" s="2"/>
      <c r="T171" s="2">
        <f>SUM(OSRRefT22_9x_0)</f>
        <v>13886.96</v>
      </c>
      <c r="U171" s="2"/>
      <c r="V171" s="6">
        <f t="shared" si="33"/>
        <v>3.2545063928994325E-3</v>
      </c>
      <c r="W171" s="2"/>
      <c r="X171" s="2">
        <f t="shared" si="34"/>
        <v>553.19000000000051</v>
      </c>
      <c r="Y171" s="2"/>
      <c r="Z171" s="6">
        <f t="shared" si="35"/>
        <v>3.9835212314286245E-2</v>
      </c>
    </row>
    <row r="172" spans="1:26" s="69" customFormat="1" ht="15" hidden="1" customHeight="1" outlineLevel="2" x14ac:dyDescent="0.3">
      <c r="A172" s="25"/>
      <c r="B172" s="12" t="str">
        <f>CONCATENATE("          ","6351"," - ","EQUIPMENT RENTAL")</f>
        <v xml:space="preserve">          6351 - EQUIPMENT RENTAL</v>
      </c>
      <c r="C172" s="12"/>
      <c r="D172" s="8">
        <v>1712.05</v>
      </c>
      <c r="E172" s="3"/>
      <c r="F172" s="7">
        <f t="shared" si="28"/>
        <v>2.3587942581680581E-3</v>
      </c>
      <c r="G172" s="3"/>
      <c r="H172" s="8">
        <v>1296.9000000000001</v>
      </c>
      <c r="I172" s="3"/>
      <c r="J172" s="7">
        <f t="shared" si="29"/>
        <v>7.0485526743575165E-3</v>
      </c>
      <c r="K172" s="3"/>
      <c r="L172" s="8">
        <f t="shared" si="30"/>
        <v>415.14999999999986</v>
      </c>
      <c r="M172" s="3"/>
      <c r="N172" s="7">
        <f t="shared" si="31"/>
        <v>0.32010949186521692</v>
      </c>
      <c r="O172" s="12"/>
      <c r="P172" s="8">
        <v>14440.15</v>
      </c>
      <c r="Q172" s="3"/>
      <c r="R172" s="7">
        <f t="shared" si="32"/>
        <v>2.3686848937262994E-3</v>
      </c>
      <c r="S172" s="3"/>
      <c r="T172" s="8">
        <v>13886.96</v>
      </c>
      <c r="U172" s="3"/>
      <c r="V172" s="7">
        <f t="shared" si="33"/>
        <v>3.2545063928994325E-3</v>
      </c>
      <c r="W172" s="3"/>
      <c r="X172" s="8">
        <f t="shared" si="34"/>
        <v>553.19000000000051</v>
      </c>
      <c r="Y172" s="3"/>
      <c r="Z172" s="7">
        <f t="shared" si="35"/>
        <v>3.9835212314286245E-2</v>
      </c>
    </row>
    <row r="173" spans="1:26" s="68" customFormat="1" ht="15" customHeight="1" outlineLevel="1" collapsed="1" x14ac:dyDescent="0.3">
      <c r="A173" s="26"/>
      <c r="B173" s="14" t="str">
        <f>CONCATENATE("     ","Freight out/Postage                               ")</f>
        <v xml:space="preserve">     Freight out/Postage                               </v>
      </c>
      <c r="C173" s="14"/>
      <c r="D173" s="2">
        <f>SUM(OSRRefD22_10x_0)</f>
        <v>1779.17</v>
      </c>
      <c r="E173" s="2"/>
      <c r="F173" s="6">
        <f t="shared" si="28"/>
        <v>2.4512695191757626E-3</v>
      </c>
      <c r="G173" s="2"/>
      <c r="H173" s="2">
        <f>SUM(OSRRefH22_10x_0)</f>
        <v>-1810.8199999999997</v>
      </c>
      <c r="I173" s="2"/>
      <c r="J173" s="6">
        <f t="shared" si="29"/>
        <v>-9.8416687129154728E-3</v>
      </c>
      <c r="K173" s="2"/>
      <c r="L173" s="2">
        <f t="shared" si="30"/>
        <v>3589.99</v>
      </c>
      <c r="M173" s="2"/>
      <c r="N173" s="6">
        <f t="shared" si="31"/>
        <v>-1.9825217304867411</v>
      </c>
      <c r="O173" s="14"/>
      <c r="P173" s="2">
        <f>SUM(OSRRefP22_10x_0)</f>
        <v>-44728.740000000005</v>
      </c>
      <c r="Q173" s="2"/>
      <c r="R173" s="6">
        <f t="shared" si="32"/>
        <v>-7.3370630328224631E-3</v>
      </c>
      <c r="S173" s="2"/>
      <c r="T173" s="2">
        <f>SUM(OSRRefT22_10x_0)</f>
        <v>-34256.830000000016</v>
      </c>
      <c r="U173" s="2"/>
      <c r="V173" s="6">
        <f t="shared" si="33"/>
        <v>-8.0283281751707455E-3</v>
      </c>
      <c r="W173" s="2"/>
      <c r="X173" s="2">
        <f t="shared" si="34"/>
        <v>-10471.909999999989</v>
      </c>
      <c r="Y173" s="2"/>
      <c r="Z173" s="6">
        <f t="shared" si="35"/>
        <v>0.30568823793678468</v>
      </c>
    </row>
    <row r="174" spans="1:26" s="69" customFormat="1" ht="15" hidden="1" customHeight="1" outlineLevel="2" x14ac:dyDescent="0.3">
      <c r="A174" s="25"/>
      <c r="B174" s="12" t="str">
        <f>CONCATENATE("          ","6305"," - ","FREIGHT OUT")</f>
        <v xml:space="preserve">          6305 - FREIGHT OUT</v>
      </c>
      <c r="C174" s="12"/>
      <c r="D174" s="8">
        <v>10386.42</v>
      </c>
      <c r="E174" s="3"/>
      <c r="F174" s="7">
        <f t="shared" si="28"/>
        <v>1.4309995536883785E-2</v>
      </c>
      <c r="G174" s="3"/>
      <c r="H174" s="8">
        <v>17608.5</v>
      </c>
      <c r="I174" s="3"/>
      <c r="J174" s="7">
        <f t="shared" si="29"/>
        <v>9.5700855707012353E-2</v>
      </c>
      <c r="K174" s="3"/>
      <c r="L174" s="8">
        <f t="shared" si="30"/>
        <v>-7222.08</v>
      </c>
      <c r="M174" s="3"/>
      <c r="N174" s="7">
        <f t="shared" si="31"/>
        <v>-0.41014737200783713</v>
      </c>
      <c r="O174" s="12"/>
      <c r="P174" s="8">
        <v>112117.86</v>
      </c>
      <c r="Q174" s="3"/>
      <c r="R174" s="7">
        <f t="shared" si="32"/>
        <v>1.8391213477624548E-2</v>
      </c>
      <c r="S174" s="3"/>
      <c r="T174" s="8">
        <v>179483.61</v>
      </c>
      <c r="U174" s="3"/>
      <c r="V174" s="7">
        <f t="shared" si="33"/>
        <v>4.2063241786947501E-2</v>
      </c>
      <c r="W174" s="3"/>
      <c r="X174" s="8">
        <f t="shared" si="34"/>
        <v>-67365.749999999985</v>
      </c>
      <c r="Y174" s="3"/>
      <c r="Z174" s="7">
        <f t="shared" si="35"/>
        <v>-0.37533092854550892</v>
      </c>
    </row>
    <row r="175" spans="1:26" s="69" customFormat="1" ht="15" hidden="1" customHeight="1" outlineLevel="2" x14ac:dyDescent="0.3">
      <c r="A175" s="25"/>
      <c r="B175" s="12" t="str">
        <f>CONCATENATE("          ","6307"," - ","POSTAGE")</f>
        <v xml:space="preserve">          6307 - POSTAGE</v>
      </c>
      <c r="C175" s="12"/>
      <c r="D175" s="8">
        <v>-8607.25</v>
      </c>
      <c r="E175" s="3"/>
      <c r="F175" s="7">
        <f t="shared" si="28"/>
        <v>-1.1858726017708023E-2</v>
      </c>
      <c r="G175" s="3"/>
      <c r="H175" s="8">
        <v>-19419.32</v>
      </c>
      <c r="I175" s="3"/>
      <c r="J175" s="7">
        <f t="shared" si="29"/>
        <v>-0.10554252441992783</v>
      </c>
      <c r="K175" s="3"/>
      <c r="L175" s="8">
        <f t="shared" si="30"/>
        <v>10812.07</v>
      </c>
      <c r="M175" s="3"/>
      <c r="N175" s="7">
        <f t="shared" si="31"/>
        <v>-0.55676872310667935</v>
      </c>
      <c r="O175" s="12"/>
      <c r="P175" s="8">
        <v>-156846.6</v>
      </c>
      <c r="Q175" s="3"/>
      <c r="R175" s="7">
        <f t="shared" si="32"/>
        <v>-2.5728276510447012E-2</v>
      </c>
      <c r="S175" s="3"/>
      <c r="T175" s="8">
        <v>-213740.44</v>
      </c>
      <c r="U175" s="3"/>
      <c r="V175" s="7">
        <f t="shared" si="33"/>
        <v>-5.0091569962118249E-2</v>
      </c>
      <c r="W175" s="3"/>
      <c r="X175" s="8">
        <f t="shared" si="34"/>
        <v>56893.84</v>
      </c>
      <c r="Y175" s="3"/>
      <c r="Z175" s="7">
        <f t="shared" si="35"/>
        <v>-0.26618191672104724</v>
      </c>
    </row>
    <row r="176" spans="1:26" s="68" customFormat="1" ht="15" customHeight="1" outlineLevel="1" collapsed="1" x14ac:dyDescent="0.3">
      <c r="A176" s="26"/>
      <c r="B176" s="14" t="str">
        <f>CONCATENATE("     ","General                                           ")</f>
        <v xml:space="preserve">     General                                           </v>
      </c>
      <c r="C176" s="14"/>
      <c r="D176" s="2">
        <f>SUM(OSRRefD22_11x_0)</f>
        <v>191.1</v>
      </c>
      <c r="E176" s="2"/>
      <c r="F176" s="6">
        <f t="shared" si="28"/>
        <v>2.6328996392390174E-4</v>
      </c>
      <c r="G176" s="2"/>
      <c r="H176" s="2">
        <f>SUM(OSRRefH22_11x_0)</f>
        <v>646.37</v>
      </c>
      <c r="I176" s="2"/>
      <c r="J176" s="6">
        <f t="shared" si="29"/>
        <v>3.5129716956777452E-3</v>
      </c>
      <c r="K176" s="2"/>
      <c r="L176" s="2">
        <f t="shared" si="30"/>
        <v>-455.27</v>
      </c>
      <c r="M176" s="2"/>
      <c r="N176" s="6">
        <f t="shared" si="31"/>
        <v>-0.70434890233148195</v>
      </c>
      <c r="O176" s="14"/>
      <c r="P176" s="2">
        <f>SUM(OSRRefP22_11x_0)</f>
        <v>9708.36</v>
      </c>
      <c r="Q176" s="2"/>
      <c r="R176" s="6">
        <f t="shared" si="32"/>
        <v>1.5925073960351285E-3</v>
      </c>
      <c r="S176" s="2"/>
      <c r="T176" s="2">
        <f>SUM(OSRRefT22_11x_0)</f>
        <v>5944.65</v>
      </c>
      <c r="U176" s="2"/>
      <c r="V176" s="6">
        <f t="shared" si="33"/>
        <v>1.3931703863588295E-3</v>
      </c>
      <c r="W176" s="2"/>
      <c r="X176" s="2">
        <f t="shared" si="34"/>
        <v>3763.7100000000009</v>
      </c>
      <c r="Y176" s="2"/>
      <c r="Z176" s="6">
        <f t="shared" si="35"/>
        <v>0.63312558350786019</v>
      </c>
    </row>
    <row r="177" spans="1:26" s="69" customFormat="1" ht="15" hidden="1" customHeight="1" outlineLevel="2" x14ac:dyDescent="0.3">
      <c r="A177" s="25"/>
      <c r="B177" s="12" t="str">
        <f>CONCATENATE("          ","6279"," - ","GENERAL EXPENSE")</f>
        <v xml:space="preserve">          6279 - GENERAL EXPENSE</v>
      </c>
      <c r="C177" s="12"/>
      <c r="D177" s="8">
        <v>191.1</v>
      </c>
      <c r="E177" s="3"/>
      <c r="F177" s="7">
        <f t="shared" si="28"/>
        <v>2.6328996392390174E-4</v>
      </c>
      <c r="G177" s="3"/>
      <c r="H177" s="8">
        <v>646.37</v>
      </c>
      <c r="I177" s="3"/>
      <c r="J177" s="7">
        <f t="shared" si="29"/>
        <v>3.5129716956777452E-3</v>
      </c>
      <c r="K177" s="3"/>
      <c r="L177" s="8">
        <f t="shared" si="30"/>
        <v>-455.27</v>
      </c>
      <c r="M177" s="3"/>
      <c r="N177" s="7">
        <f t="shared" si="31"/>
        <v>-0.70434890233148195</v>
      </c>
      <c r="O177" s="12"/>
      <c r="P177" s="8">
        <v>9708.36</v>
      </c>
      <c r="Q177" s="3"/>
      <c r="R177" s="7">
        <f t="shared" si="32"/>
        <v>1.5925073960351285E-3</v>
      </c>
      <c r="S177" s="3"/>
      <c r="T177" s="8">
        <v>5944.65</v>
      </c>
      <c r="U177" s="3"/>
      <c r="V177" s="7">
        <f t="shared" si="33"/>
        <v>1.3931703863588295E-3</v>
      </c>
      <c r="W177" s="3"/>
      <c r="X177" s="8">
        <f t="shared" si="34"/>
        <v>3763.7100000000009</v>
      </c>
      <c r="Y177" s="3"/>
      <c r="Z177" s="7">
        <f t="shared" si="35"/>
        <v>0.63312558350786019</v>
      </c>
    </row>
    <row r="178" spans="1:26" s="68" customFormat="1" ht="15" customHeight="1" outlineLevel="1" collapsed="1" x14ac:dyDescent="0.3">
      <c r="A178" s="26"/>
      <c r="B178" s="14" t="str">
        <f>CONCATENATE("     ","Insurance                                         ")</f>
        <v xml:space="preserve">     Insurance                                         </v>
      </c>
      <c r="C178" s="14"/>
      <c r="D178" s="2">
        <f>SUM(OSRRefD22_12x_0)</f>
        <v>5825.58</v>
      </c>
      <c r="E178" s="2"/>
      <c r="F178" s="6">
        <f t="shared" si="28"/>
        <v>8.0262519520450208E-3</v>
      </c>
      <c r="G178" s="2"/>
      <c r="H178" s="2">
        <f>SUM(OSRRefH22_12x_0)</f>
        <v>4288.28</v>
      </c>
      <c r="I178" s="2"/>
      <c r="J178" s="6">
        <f t="shared" si="29"/>
        <v>2.3306475026905582E-2</v>
      </c>
      <c r="K178" s="2"/>
      <c r="L178" s="2">
        <f t="shared" si="30"/>
        <v>1537.3000000000002</v>
      </c>
      <c r="M178" s="2"/>
      <c r="N178" s="6">
        <f t="shared" si="31"/>
        <v>0.35848871808743837</v>
      </c>
      <c r="O178" s="14"/>
      <c r="P178" s="2">
        <f>SUM(OSRRefP22_12x_0)</f>
        <v>52430.22</v>
      </c>
      <c r="Q178" s="2"/>
      <c r="R178" s="6">
        <f t="shared" si="32"/>
        <v>8.60037257845289E-3</v>
      </c>
      <c r="S178" s="2"/>
      <c r="T178" s="2">
        <f>SUM(OSRRefT22_12x_0)</f>
        <v>38594.519999999997</v>
      </c>
      <c r="U178" s="2"/>
      <c r="V178" s="6">
        <f t="shared" si="33"/>
        <v>9.0448962242913496E-3</v>
      </c>
      <c r="W178" s="2"/>
      <c r="X178" s="2">
        <f t="shared" si="34"/>
        <v>13835.700000000004</v>
      </c>
      <c r="Y178" s="2"/>
      <c r="Z178" s="6">
        <f t="shared" si="35"/>
        <v>0.35848871808743848</v>
      </c>
    </row>
    <row r="179" spans="1:26" s="69" customFormat="1" ht="15" hidden="1" customHeight="1" outlineLevel="2" x14ac:dyDescent="0.3">
      <c r="A179" s="25"/>
      <c r="B179" s="12" t="str">
        <f>CONCATENATE("          ","6314"," - ","LIABILITY INSURANCE")</f>
        <v xml:space="preserve">          6314 - LIABILITY INSURANCE</v>
      </c>
      <c r="C179" s="12"/>
      <c r="D179" s="8">
        <v>5825.58</v>
      </c>
      <c r="E179" s="3"/>
      <c r="F179" s="7">
        <f t="shared" si="28"/>
        <v>8.0262519520450208E-3</v>
      </c>
      <c r="G179" s="3"/>
      <c r="H179" s="8">
        <v>4288.28</v>
      </c>
      <c r="I179" s="3"/>
      <c r="J179" s="7">
        <f t="shared" si="29"/>
        <v>2.3306475026905582E-2</v>
      </c>
      <c r="K179" s="3"/>
      <c r="L179" s="8">
        <f t="shared" si="30"/>
        <v>1537.3000000000002</v>
      </c>
      <c r="M179" s="3"/>
      <c r="N179" s="7">
        <f t="shared" si="31"/>
        <v>0.35848871808743837</v>
      </c>
      <c r="O179" s="12"/>
      <c r="P179" s="8">
        <v>52430.22</v>
      </c>
      <c r="Q179" s="3"/>
      <c r="R179" s="7">
        <f t="shared" si="32"/>
        <v>8.60037257845289E-3</v>
      </c>
      <c r="S179" s="3"/>
      <c r="T179" s="8">
        <v>38594.519999999997</v>
      </c>
      <c r="U179" s="3"/>
      <c r="V179" s="7">
        <f t="shared" si="33"/>
        <v>9.0448962242913496E-3</v>
      </c>
      <c r="W179" s="3"/>
      <c r="X179" s="8">
        <f t="shared" si="34"/>
        <v>13835.700000000004</v>
      </c>
      <c r="Y179" s="3"/>
      <c r="Z179" s="7">
        <f t="shared" si="35"/>
        <v>0.35848871808743848</v>
      </c>
    </row>
    <row r="180" spans="1:26" s="68" customFormat="1" ht="15" customHeight="1" outlineLevel="1" collapsed="1" x14ac:dyDescent="0.3">
      <c r="A180" s="26"/>
      <c r="B180" s="14" t="str">
        <f>CONCATENATE("     ","Interest                                          ")</f>
        <v xml:space="preserve">     Interest                                          </v>
      </c>
      <c r="C180" s="14"/>
      <c r="D180" s="2">
        <f>SUM(OSRRefD22_13x_0)</f>
        <v>3905</v>
      </c>
      <c r="E180" s="2"/>
      <c r="F180" s="6">
        <f t="shared" si="28"/>
        <v>5.3801533706061546E-3</v>
      </c>
      <c r="G180" s="2"/>
      <c r="H180" s="2">
        <f>SUM(OSRRefH22_13x_0)</f>
        <v>4044</v>
      </c>
      <c r="I180" s="2"/>
      <c r="J180" s="6">
        <f t="shared" si="29"/>
        <v>2.1978831841392394E-2</v>
      </c>
      <c r="K180" s="2"/>
      <c r="L180" s="2">
        <f t="shared" si="30"/>
        <v>-139</v>
      </c>
      <c r="M180" s="2"/>
      <c r="N180" s="6">
        <f t="shared" si="31"/>
        <v>-3.4371909000989118E-2</v>
      </c>
      <c r="O180" s="14"/>
      <c r="P180" s="2">
        <f>SUM(OSRRefP22_13x_0)</f>
        <v>34869</v>
      </c>
      <c r="Q180" s="2"/>
      <c r="R180" s="6">
        <f t="shared" si="32"/>
        <v>5.7197240720728206E-3</v>
      </c>
      <c r="S180" s="2"/>
      <c r="T180" s="2">
        <f>SUM(OSRRefT22_13x_0)</f>
        <v>36133.85</v>
      </c>
      <c r="U180" s="2"/>
      <c r="V180" s="6">
        <f t="shared" si="33"/>
        <v>8.4682209659327282E-3</v>
      </c>
      <c r="W180" s="2"/>
      <c r="X180" s="2">
        <f t="shared" si="34"/>
        <v>-1264.8499999999985</v>
      </c>
      <c r="Y180" s="2"/>
      <c r="Z180" s="6">
        <f t="shared" si="35"/>
        <v>-3.5004573274090602E-2</v>
      </c>
    </row>
    <row r="181" spans="1:26" s="69" customFormat="1" ht="15" hidden="1" customHeight="1" outlineLevel="2" x14ac:dyDescent="0.3">
      <c r="A181" s="25"/>
      <c r="B181" s="12" t="str">
        <f>CONCATENATE("          ","6401"," - ","INTEREST EXPENSE")</f>
        <v xml:space="preserve">          6401 - INTEREST EXPENSE</v>
      </c>
      <c r="C181" s="12"/>
      <c r="D181" s="8">
        <v>3905</v>
      </c>
      <c r="E181" s="3"/>
      <c r="F181" s="7">
        <f t="shared" si="28"/>
        <v>5.3801533706061546E-3</v>
      </c>
      <c r="G181" s="3"/>
      <c r="H181" s="8">
        <v>4044</v>
      </c>
      <c r="I181" s="3"/>
      <c r="J181" s="7">
        <f t="shared" si="29"/>
        <v>2.1978831841392394E-2</v>
      </c>
      <c r="K181" s="3"/>
      <c r="L181" s="8">
        <f t="shared" si="30"/>
        <v>-139</v>
      </c>
      <c r="M181" s="3"/>
      <c r="N181" s="7">
        <f t="shared" si="31"/>
        <v>-3.4371909000989118E-2</v>
      </c>
      <c r="O181" s="12"/>
      <c r="P181" s="8">
        <v>34869</v>
      </c>
      <c r="Q181" s="3"/>
      <c r="R181" s="7">
        <f t="shared" si="32"/>
        <v>5.7197240720728206E-3</v>
      </c>
      <c r="S181" s="3"/>
      <c r="T181" s="8">
        <v>36133.85</v>
      </c>
      <c r="U181" s="3"/>
      <c r="V181" s="7">
        <f t="shared" si="33"/>
        <v>8.4682209659327282E-3</v>
      </c>
      <c r="W181" s="3"/>
      <c r="X181" s="8">
        <f t="shared" si="34"/>
        <v>-1264.8499999999985</v>
      </c>
      <c r="Y181" s="3"/>
      <c r="Z181" s="7">
        <f t="shared" si="35"/>
        <v>-3.5004573274090602E-2</v>
      </c>
    </row>
    <row r="182" spans="1:26" s="68" customFormat="1" ht="15" customHeight="1" outlineLevel="1" collapsed="1" x14ac:dyDescent="0.3">
      <c r="A182" s="26"/>
      <c r="B182" s="14" t="str">
        <f>CONCATENATE("     ","Inventory Adjustment                              ")</f>
        <v xml:space="preserve">     Inventory Adjustment                              </v>
      </c>
      <c r="C182" s="14"/>
      <c r="D182" s="2">
        <f>SUM(OSRRefD22_14x_0)</f>
        <v>5100</v>
      </c>
      <c r="E182" s="2"/>
      <c r="F182" s="6">
        <f t="shared" si="28"/>
        <v>7.0265767452218674E-3</v>
      </c>
      <c r="G182" s="2"/>
      <c r="H182" s="2">
        <f>SUM(OSRRefH22_14x_0)</f>
        <v>2100</v>
      </c>
      <c r="I182" s="2"/>
      <c r="J182" s="6">
        <f t="shared" si="29"/>
        <v>1.1413339976984181E-2</v>
      </c>
      <c r="K182" s="2"/>
      <c r="L182" s="2">
        <f t="shared" si="30"/>
        <v>3000</v>
      </c>
      <c r="M182" s="2"/>
      <c r="N182" s="6">
        <f t="shared" si="31"/>
        <v>1.4285714285714286</v>
      </c>
      <c r="O182" s="14"/>
      <c r="P182" s="2">
        <f>SUM(OSRRefP22_14x_0)</f>
        <v>49900</v>
      </c>
      <c r="Q182" s="2"/>
      <c r="R182" s="6">
        <f t="shared" si="32"/>
        <v>8.1853288364000607E-3</v>
      </c>
      <c r="S182" s="2"/>
      <c r="T182" s="2">
        <f>SUM(OSRRefT22_14x_0)</f>
        <v>23900</v>
      </c>
      <c r="U182" s="2"/>
      <c r="V182" s="6">
        <f t="shared" si="33"/>
        <v>5.6011324861810251E-3</v>
      </c>
      <c r="W182" s="2"/>
      <c r="X182" s="2">
        <f t="shared" si="34"/>
        <v>26000</v>
      </c>
      <c r="Y182" s="2"/>
      <c r="Z182" s="6">
        <f t="shared" si="35"/>
        <v>1.0878661087866108</v>
      </c>
    </row>
    <row r="183" spans="1:26" s="69" customFormat="1" ht="15" hidden="1" customHeight="1" outlineLevel="2" x14ac:dyDescent="0.3">
      <c r="A183" s="25"/>
      <c r="B183" s="12" t="str">
        <f>CONCATENATE("          ","6408"," - ","INVENTORY ADJUSTMENT")</f>
        <v xml:space="preserve">          6408 - INVENTORY ADJUSTMENT</v>
      </c>
      <c r="C183" s="12"/>
      <c r="D183" s="8">
        <v>5100</v>
      </c>
      <c r="E183" s="3"/>
      <c r="F183" s="7">
        <f t="shared" si="28"/>
        <v>7.0265767452218674E-3</v>
      </c>
      <c r="G183" s="3"/>
      <c r="H183" s="8">
        <v>2100</v>
      </c>
      <c r="I183" s="3"/>
      <c r="J183" s="7">
        <f t="shared" si="29"/>
        <v>1.1413339976984181E-2</v>
      </c>
      <c r="K183" s="3"/>
      <c r="L183" s="8">
        <f t="shared" si="30"/>
        <v>3000</v>
      </c>
      <c r="M183" s="3"/>
      <c r="N183" s="7">
        <f t="shared" si="31"/>
        <v>1.4285714285714286</v>
      </c>
      <c r="O183" s="12"/>
      <c r="P183" s="8">
        <v>49900</v>
      </c>
      <c r="Q183" s="3"/>
      <c r="R183" s="7">
        <f t="shared" si="32"/>
        <v>8.1853288364000607E-3</v>
      </c>
      <c r="S183" s="3"/>
      <c r="T183" s="8">
        <v>23900</v>
      </c>
      <c r="U183" s="3"/>
      <c r="V183" s="7">
        <f t="shared" si="33"/>
        <v>5.6011324861810251E-3</v>
      </c>
      <c r="W183" s="3"/>
      <c r="X183" s="8">
        <f t="shared" si="34"/>
        <v>26000</v>
      </c>
      <c r="Y183" s="3"/>
      <c r="Z183" s="7">
        <f t="shared" si="35"/>
        <v>1.0878661087866108</v>
      </c>
    </row>
    <row r="184" spans="1:26" s="69" customFormat="1" ht="15" hidden="1" customHeight="1" outlineLevel="2" x14ac:dyDescent="0.3">
      <c r="A184" s="25"/>
      <c r="B184" s="12" t="str">
        <f>CONCATENATE("          ","7741"," - ","INV. SHRINKAGE-LOGO GIFTS")</f>
        <v xml:space="preserve">          7741 - INV. SHRINKAGE-LOGO GIFTS</v>
      </c>
      <c r="C184" s="12"/>
      <c r="D184" s="8"/>
      <c r="E184" s="3"/>
      <c r="F184" s="7">
        <f t="shared" si="28"/>
        <v>0</v>
      </c>
      <c r="G184" s="3"/>
      <c r="H184" s="8"/>
      <c r="I184" s="3"/>
      <c r="J184" s="7">
        <f t="shared" si="29"/>
        <v>0</v>
      </c>
      <c r="K184" s="3"/>
      <c r="L184" s="8">
        <f t="shared" si="30"/>
        <v>0</v>
      </c>
      <c r="M184" s="3"/>
      <c r="N184" s="7">
        <f t="shared" si="31"/>
        <v>0</v>
      </c>
      <c r="O184" s="12"/>
      <c r="P184" s="8"/>
      <c r="Q184" s="3"/>
      <c r="R184" s="7">
        <f t="shared" si="32"/>
        <v>0</v>
      </c>
      <c r="S184" s="3"/>
      <c r="T184" s="8">
        <v>0</v>
      </c>
      <c r="U184" s="3"/>
      <c r="V184" s="7">
        <f t="shared" si="33"/>
        <v>0</v>
      </c>
      <c r="W184" s="3"/>
      <c r="X184" s="8">
        <f t="shared" si="34"/>
        <v>0</v>
      </c>
      <c r="Y184" s="3"/>
      <c r="Z184" s="7">
        <f t="shared" si="35"/>
        <v>0</v>
      </c>
    </row>
    <row r="185" spans="1:26" s="68" customFormat="1" ht="15" customHeight="1" outlineLevel="1" collapsed="1" x14ac:dyDescent="0.3">
      <c r="A185" s="26"/>
      <c r="B185" s="14" t="str">
        <f>CONCATENATE("     ","Professional Services                             ")</f>
        <v xml:space="preserve">     Professional Services                             </v>
      </c>
      <c r="C185" s="14"/>
      <c r="D185" s="2">
        <f>SUM(OSRRefD22_15x_0)</f>
        <v>1050</v>
      </c>
      <c r="E185" s="2"/>
      <c r="F185" s="6">
        <f t="shared" si="28"/>
        <v>1.4466481534280314E-3</v>
      </c>
      <c r="G185" s="2"/>
      <c r="H185" s="2">
        <f>SUM(OSRRefH22_15x_0)</f>
        <v>0</v>
      </c>
      <c r="I185" s="2"/>
      <c r="J185" s="6">
        <f t="shared" si="29"/>
        <v>0</v>
      </c>
      <c r="K185" s="2"/>
      <c r="L185" s="2">
        <f t="shared" si="30"/>
        <v>1050</v>
      </c>
      <c r="M185" s="2"/>
      <c r="N185" s="6">
        <f t="shared" si="31"/>
        <v>0</v>
      </c>
      <c r="O185" s="14"/>
      <c r="P185" s="2">
        <f>SUM(OSRRefP22_15x_0)</f>
        <v>9626.5300000000007</v>
      </c>
      <c r="Q185" s="2"/>
      <c r="R185" s="6">
        <f t="shared" si="32"/>
        <v>1.5790844409513084E-3</v>
      </c>
      <c r="S185" s="2"/>
      <c r="T185" s="2">
        <f>SUM(OSRRefT22_15x_0)</f>
        <v>0</v>
      </c>
      <c r="U185" s="2"/>
      <c r="V185" s="6">
        <f t="shared" si="33"/>
        <v>0</v>
      </c>
      <c r="W185" s="2"/>
      <c r="X185" s="2">
        <f t="shared" si="34"/>
        <v>9626.5300000000007</v>
      </c>
      <c r="Y185" s="2"/>
      <c r="Z185" s="6">
        <f t="shared" si="35"/>
        <v>0</v>
      </c>
    </row>
    <row r="186" spans="1:26" s="69" customFormat="1" ht="15" hidden="1" customHeight="1" outlineLevel="2" x14ac:dyDescent="0.3">
      <c r="A186" s="25"/>
      <c r="B186" s="12" t="str">
        <f>CONCATENATE("          ","6336"," - ","PROFESSIONAL SERVICES")</f>
        <v xml:space="preserve">          6336 - PROFESSIONAL SERVICES</v>
      </c>
      <c r="C186" s="12"/>
      <c r="D186" s="8">
        <v>1050</v>
      </c>
      <c r="E186" s="3"/>
      <c r="F186" s="7">
        <f t="shared" si="28"/>
        <v>1.4466481534280314E-3</v>
      </c>
      <c r="G186" s="3"/>
      <c r="H186" s="8"/>
      <c r="I186" s="3"/>
      <c r="J186" s="7">
        <f t="shared" si="29"/>
        <v>0</v>
      </c>
      <c r="K186" s="3"/>
      <c r="L186" s="8">
        <f t="shared" si="30"/>
        <v>1050</v>
      </c>
      <c r="M186" s="3"/>
      <c r="N186" s="7">
        <f t="shared" si="31"/>
        <v>0</v>
      </c>
      <c r="O186" s="12"/>
      <c r="P186" s="8">
        <v>9626.5300000000007</v>
      </c>
      <c r="Q186" s="3"/>
      <c r="R186" s="7">
        <f t="shared" si="32"/>
        <v>1.5790844409513084E-3</v>
      </c>
      <c r="S186" s="3"/>
      <c r="T186" s="8"/>
      <c r="U186" s="3"/>
      <c r="V186" s="7">
        <f t="shared" si="33"/>
        <v>0</v>
      </c>
      <c r="W186" s="3"/>
      <c r="X186" s="8">
        <f t="shared" si="34"/>
        <v>9626.5300000000007</v>
      </c>
      <c r="Y186" s="3"/>
      <c r="Z186" s="7">
        <f t="shared" si="35"/>
        <v>0</v>
      </c>
    </row>
    <row r="187" spans="1:26" s="68" customFormat="1" ht="15" customHeight="1" outlineLevel="1" collapsed="1" x14ac:dyDescent="0.3">
      <c r="A187" s="26"/>
      <c r="B187" s="14" t="str">
        <f>CONCATENATE("     ","Rent                                              ")</f>
        <v xml:space="preserve">     Rent                                              </v>
      </c>
      <c r="C187" s="14"/>
      <c r="D187" s="2">
        <f>SUM(OSRRefD22_16x_0)</f>
        <v>6100</v>
      </c>
      <c r="E187" s="2"/>
      <c r="F187" s="6">
        <f t="shared" si="28"/>
        <v>8.4043368913438009E-3</v>
      </c>
      <c r="G187" s="2"/>
      <c r="H187" s="2">
        <f>SUM(OSRRefH22_16x_0)</f>
        <v>6100</v>
      </c>
      <c r="I187" s="2"/>
      <c r="J187" s="6">
        <f t="shared" si="29"/>
        <v>3.3153035171239763E-2</v>
      </c>
      <c r="K187" s="2"/>
      <c r="L187" s="2">
        <f t="shared" si="30"/>
        <v>0</v>
      </c>
      <c r="M187" s="2"/>
      <c r="N187" s="6">
        <f t="shared" si="31"/>
        <v>0</v>
      </c>
      <c r="O187" s="14"/>
      <c r="P187" s="2">
        <f>SUM(OSRRefP22_16x_0)</f>
        <v>54900</v>
      </c>
      <c r="Q187" s="2"/>
      <c r="R187" s="6">
        <f t="shared" si="32"/>
        <v>9.0055020665002674E-3</v>
      </c>
      <c r="S187" s="2"/>
      <c r="T187" s="2">
        <f>SUM(OSRRefT22_16x_0)</f>
        <v>54900</v>
      </c>
      <c r="U187" s="2"/>
      <c r="V187" s="6">
        <f t="shared" si="33"/>
        <v>1.2866199727671057E-2</v>
      </c>
      <c r="W187" s="2"/>
      <c r="X187" s="2">
        <f t="shared" si="34"/>
        <v>0</v>
      </c>
      <c r="Y187" s="2"/>
      <c r="Z187" s="6">
        <f t="shared" si="35"/>
        <v>0</v>
      </c>
    </row>
    <row r="188" spans="1:26" s="69" customFormat="1" ht="15" hidden="1" customHeight="1" outlineLevel="2" x14ac:dyDescent="0.3">
      <c r="A188" s="25"/>
      <c r="B188" s="12" t="str">
        <f>CONCATENATE("          ","6273"," - ","RENT")</f>
        <v xml:space="preserve">          6273 - RENT</v>
      </c>
      <c r="C188" s="12"/>
      <c r="D188" s="8">
        <v>6100</v>
      </c>
      <c r="E188" s="3"/>
      <c r="F188" s="7">
        <f t="shared" si="28"/>
        <v>8.4043368913438009E-3</v>
      </c>
      <c r="G188" s="3"/>
      <c r="H188" s="8">
        <v>6100</v>
      </c>
      <c r="I188" s="3"/>
      <c r="J188" s="7">
        <f t="shared" si="29"/>
        <v>3.3153035171239763E-2</v>
      </c>
      <c r="K188" s="3"/>
      <c r="L188" s="8">
        <f t="shared" si="30"/>
        <v>0</v>
      </c>
      <c r="M188" s="3"/>
      <c r="N188" s="7">
        <f t="shared" si="31"/>
        <v>0</v>
      </c>
      <c r="O188" s="12"/>
      <c r="P188" s="8">
        <v>54900</v>
      </c>
      <c r="Q188" s="3"/>
      <c r="R188" s="7">
        <f t="shared" si="32"/>
        <v>9.0055020665002674E-3</v>
      </c>
      <c r="S188" s="3"/>
      <c r="T188" s="8">
        <v>54900</v>
      </c>
      <c r="U188" s="3"/>
      <c r="V188" s="7">
        <f t="shared" si="33"/>
        <v>1.2866199727671057E-2</v>
      </c>
      <c r="W188" s="3"/>
      <c r="X188" s="8">
        <f t="shared" si="34"/>
        <v>0</v>
      </c>
      <c r="Y188" s="3"/>
      <c r="Z188" s="7">
        <f t="shared" si="35"/>
        <v>0</v>
      </c>
    </row>
    <row r="189" spans="1:26" s="68" customFormat="1" ht="15" customHeight="1" outlineLevel="1" collapsed="1" x14ac:dyDescent="0.3">
      <c r="A189" s="26"/>
      <c r="B189" s="14" t="str">
        <f>CONCATENATE("     ","Repair and Maintenance                            ")</f>
        <v xml:space="preserve">     Repair and Maintenance                            </v>
      </c>
      <c r="C189" s="14"/>
      <c r="D189" s="2">
        <f>SUM(OSRRefD22_17x_0)</f>
        <v>15532.49</v>
      </c>
      <c r="E189" s="2"/>
      <c r="F189" s="6">
        <f t="shared" si="28"/>
        <v>2.1400045692037489E-2</v>
      </c>
      <c r="G189" s="2"/>
      <c r="H189" s="2">
        <f>SUM(OSRRefH22_17x_0)</f>
        <v>1899.9099999999999</v>
      </c>
      <c r="I189" s="2"/>
      <c r="J189" s="6">
        <f t="shared" si="29"/>
        <v>1.032586607412953E-2</v>
      </c>
      <c r="K189" s="2"/>
      <c r="L189" s="2">
        <f t="shared" si="30"/>
        <v>13632.58</v>
      </c>
      <c r="M189" s="2"/>
      <c r="N189" s="6">
        <f t="shared" si="31"/>
        <v>7.1753819917785586</v>
      </c>
      <c r="O189" s="14"/>
      <c r="P189" s="2">
        <f>SUM(OSRRefP22_17x_0)</f>
        <v>137013.20000000001</v>
      </c>
      <c r="Q189" s="2"/>
      <c r="R189" s="6">
        <f t="shared" si="32"/>
        <v>2.2474911762073127E-2</v>
      </c>
      <c r="S189" s="2"/>
      <c r="T189" s="2">
        <f>SUM(OSRRefT22_17x_0)</f>
        <v>133256.16</v>
      </c>
      <c r="U189" s="2"/>
      <c r="V189" s="6">
        <f t="shared" si="33"/>
        <v>3.1229514927185623E-2</v>
      </c>
      <c r="W189" s="2"/>
      <c r="X189" s="2">
        <f t="shared" si="34"/>
        <v>3757.0400000000081</v>
      </c>
      <c r="Y189" s="2"/>
      <c r="Z189" s="6">
        <f t="shared" si="35"/>
        <v>2.8194118755935995E-2</v>
      </c>
    </row>
    <row r="190" spans="1:26" s="69" customFormat="1" ht="15" hidden="1" customHeight="1" outlineLevel="2" x14ac:dyDescent="0.3">
      <c r="A190" s="25"/>
      <c r="B190" s="12" t="str">
        <f>CONCATENATE("          ","6371"," - ","COMPUTER SOFTWARE MAINTENANCE")</f>
        <v xml:space="preserve">          6371 - COMPUTER SOFTWARE MAINTENANCE</v>
      </c>
      <c r="C190" s="12"/>
      <c r="D190" s="8"/>
      <c r="E190" s="3"/>
      <c r="F190" s="7">
        <f t="shared" si="28"/>
        <v>0</v>
      </c>
      <c r="G190" s="3"/>
      <c r="H190" s="8"/>
      <c r="I190" s="3"/>
      <c r="J190" s="7">
        <f t="shared" si="29"/>
        <v>0</v>
      </c>
      <c r="K190" s="3"/>
      <c r="L190" s="8">
        <f t="shared" si="30"/>
        <v>0</v>
      </c>
      <c r="M190" s="3"/>
      <c r="N190" s="7">
        <f t="shared" si="31"/>
        <v>0</v>
      </c>
      <c r="O190" s="12"/>
      <c r="P190" s="8">
        <v>62511</v>
      </c>
      <c r="Q190" s="3"/>
      <c r="R190" s="7">
        <f t="shared" si="32"/>
        <v>1.0253969757358802E-2</v>
      </c>
      <c r="S190" s="3"/>
      <c r="T190" s="8">
        <v>59767.72</v>
      </c>
      <c r="U190" s="3"/>
      <c r="V190" s="7">
        <f t="shared" si="33"/>
        <v>1.40069840216306E-2</v>
      </c>
      <c r="W190" s="3"/>
      <c r="X190" s="8">
        <f t="shared" si="34"/>
        <v>2743.2799999999988</v>
      </c>
      <c r="Y190" s="3"/>
      <c r="Z190" s="7">
        <f t="shared" si="35"/>
        <v>4.5899023753959475E-2</v>
      </c>
    </row>
    <row r="191" spans="1:26" s="69" customFormat="1" ht="15" hidden="1" customHeight="1" outlineLevel="2" x14ac:dyDescent="0.3">
      <c r="A191" s="25"/>
      <c r="B191" s="12" t="str">
        <f>CONCATENATE("          ","6372"," - ","COMPUTER HARDWARE MAINTENANCE")</f>
        <v xml:space="preserve">          6372 - COMPUTER HARDWARE MAINTENANCE</v>
      </c>
      <c r="C191" s="12"/>
      <c r="D191" s="8"/>
      <c r="E191" s="3"/>
      <c r="F191" s="7">
        <f t="shared" si="28"/>
        <v>0</v>
      </c>
      <c r="G191" s="3"/>
      <c r="H191" s="8"/>
      <c r="I191" s="3"/>
      <c r="J191" s="7">
        <f t="shared" si="29"/>
        <v>0</v>
      </c>
      <c r="K191" s="3"/>
      <c r="L191" s="8">
        <f t="shared" si="30"/>
        <v>0</v>
      </c>
      <c r="M191" s="3"/>
      <c r="N191" s="7">
        <f t="shared" si="31"/>
        <v>0</v>
      </c>
      <c r="O191" s="12"/>
      <c r="P191" s="8"/>
      <c r="Q191" s="3"/>
      <c r="R191" s="7">
        <f t="shared" si="32"/>
        <v>0</v>
      </c>
      <c r="S191" s="3"/>
      <c r="T191" s="8">
        <v>-1.1499999999999999</v>
      </c>
      <c r="U191" s="3"/>
      <c r="V191" s="7">
        <f t="shared" si="33"/>
        <v>-2.6951055895850115E-7</v>
      </c>
      <c r="W191" s="3"/>
      <c r="X191" s="8">
        <f t="shared" si="34"/>
        <v>1.1499999999999999</v>
      </c>
      <c r="Y191" s="3"/>
      <c r="Z191" s="7">
        <f t="shared" si="35"/>
        <v>-1</v>
      </c>
    </row>
    <row r="192" spans="1:26" s="69" customFormat="1" ht="15" hidden="1" customHeight="1" outlineLevel="2" x14ac:dyDescent="0.3">
      <c r="A192" s="25"/>
      <c r="B192" s="12" t="str">
        <f>CONCATENATE("          ","6373"," - ","MAINTENANCE CONTRACTS")</f>
        <v xml:space="preserve">          6373 - MAINTENANCE CONTRACTS</v>
      </c>
      <c r="C192" s="12"/>
      <c r="D192" s="8">
        <v>3884.22</v>
      </c>
      <c r="E192" s="3"/>
      <c r="F192" s="7">
        <f t="shared" si="28"/>
        <v>5.3515235147697411E-3</v>
      </c>
      <c r="G192" s="3"/>
      <c r="H192" s="8">
        <v>1564.35</v>
      </c>
      <c r="I192" s="3"/>
      <c r="J192" s="7">
        <f t="shared" si="29"/>
        <v>8.5021230442834297E-3</v>
      </c>
      <c r="K192" s="3"/>
      <c r="L192" s="8">
        <f t="shared" si="30"/>
        <v>2319.87</v>
      </c>
      <c r="M192" s="3"/>
      <c r="N192" s="7">
        <f t="shared" si="31"/>
        <v>1.4829609742065395</v>
      </c>
      <c r="O192" s="12"/>
      <c r="P192" s="8">
        <v>22600.720000000001</v>
      </c>
      <c r="Q192" s="3"/>
      <c r="R192" s="7">
        <f t="shared" si="32"/>
        <v>3.7073011049980681E-3</v>
      </c>
      <c r="S192" s="3"/>
      <c r="T192" s="8">
        <v>45947.63</v>
      </c>
      <c r="U192" s="3"/>
      <c r="V192" s="7">
        <f t="shared" si="33"/>
        <v>1.0768149081842085E-2</v>
      </c>
      <c r="W192" s="3"/>
      <c r="X192" s="8">
        <f t="shared" si="34"/>
        <v>-23346.909999999996</v>
      </c>
      <c r="Y192" s="3"/>
      <c r="Z192" s="7">
        <f t="shared" si="35"/>
        <v>-0.50812000531909907</v>
      </c>
    </row>
    <row r="193" spans="1:26" s="69" customFormat="1" ht="15" hidden="1" customHeight="1" outlineLevel="2" x14ac:dyDescent="0.3">
      <c r="A193" s="25"/>
      <c r="B193" s="12" t="str">
        <f>CONCATENATE("          ","6375"," - ","OUTSIDE REPAIRS &amp; MAINTENANCE")</f>
        <v xml:space="preserve">          6375 - OUTSIDE REPAIRS &amp; MAINTENANCE</v>
      </c>
      <c r="C193" s="12"/>
      <c r="D193" s="8">
        <v>11648.27</v>
      </c>
      <c r="E193" s="3"/>
      <c r="F193" s="7">
        <f t="shared" si="28"/>
        <v>1.6048522177267748E-2</v>
      </c>
      <c r="G193" s="3"/>
      <c r="H193" s="8">
        <v>335.56</v>
      </c>
      <c r="I193" s="3"/>
      <c r="J193" s="7">
        <f t="shared" si="29"/>
        <v>1.8237430298461009E-3</v>
      </c>
      <c r="K193" s="3"/>
      <c r="L193" s="8">
        <f t="shared" si="30"/>
        <v>11312.710000000001</v>
      </c>
      <c r="M193" s="3"/>
      <c r="N193" s="7">
        <f t="shared" si="31"/>
        <v>33.712927643342475</v>
      </c>
      <c r="O193" s="12"/>
      <c r="P193" s="8">
        <v>51901.48</v>
      </c>
      <c r="Q193" s="3"/>
      <c r="R193" s="7">
        <f t="shared" si="32"/>
        <v>8.513640899716254E-3</v>
      </c>
      <c r="S193" s="3"/>
      <c r="T193" s="8">
        <v>27541.96</v>
      </c>
      <c r="U193" s="3"/>
      <c r="V193" s="7">
        <f t="shared" si="33"/>
        <v>6.4546513342718962E-3</v>
      </c>
      <c r="W193" s="3"/>
      <c r="X193" s="8">
        <f t="shared" si="34"/>
        <v>24359.520000000004</v>
      </c>
      <c r="Y193" s="3"/>
      <c r="Z193" s="7">
        <f t="shared" si="35"/>
        <v>0.8844512155271449</v>
      </c>
    </row>
    <row r="194" spans="1:26" s="68" customFormat="1" ht="15" customHeight="1" outlineLevel="1" collapsed="1" x14ac:dyDescent="0.3">
      <c r="A194" s="26"/>
      <c r="B194" s="14" t="str">
        <f>CONCATENATE("     ","Royalty &amp; Commissions                             ")</f>
        <v xml:space="preserve">     Royalty &amp; Commissions                             </v>
      </c>
      <c r="C194" s="14"/>
      <c r="D194" s="2">
        <f>SUM(OSRRefD22_18x_0)</f>
        <v>2502.14</v>
      </c>
      <c r="E194" s="2"/>
      <c r="F194" s="6">
        <f t="shared" si="28"/>
        <v>3.4473487720175374E-3</v>
      </c>
      <c r="G194" s="2"/>
      <c r="H194" s="2">
        <f>SUM(OSRRefH22_18x_0)</f>
        <v>27.21</v>
      </c>
      <c r="I194" s="2"/>
      <c r="J194" s="6">
        <f t="shared" si="29"/>
        <v>1.4788427655892361E-4</v>
      </c>
      <c r="K194" s="2"/>
      <c r="L194" s="2">
        <f t="shared" si="30"/>
        <v>2474.9299999999998</v>
      </c>
      <c r="M194" s="2"/>
      <c r="N194" s="6">
        <f t="shared" si="31"/>
        <v>90.956633590591679</v>
      </c>
      <c r="O194" s="14"/>
      <c r="P194" s="2">
        <f>SUM(OSRRefP22_18x_0)</f>
        <v>52735.930000000008</v>
      </c>
      <c r="Q194" s="2"/>
      <c r="R194" s="6">
        <f t="shared" si="32"/>
        <v>8.6505196100876789E-3</v>
      </c>
      <c r="S194" s="2"/>
      <c r="T194" s="2">
        <f>SUM(OSRRefT22_18x_0)</f>
        <v>37046.9</v>
      </c>
      <c r="U194" s="2"/>
      <c r="V194" s="6">
        <f t="shared" si="33"/>
        <v>8.6822006318953895E-3</v>
      </c>
      <c r="W194" s="2"/>
      <c r="X194" s="2">
        <f t="shared" si="34"/>
        <v>15689.030000000006</v>
      </c>
      <c r="Y194" s="2"/>
      <c r="Z194" s="6">
        <f t="shared" si="35"/>
        <v>0.42349103433755608</v>
      </c>
    </row>
    <row r="195" spans="1:26" s="69" customFormat="1" ht="15" hidden="1" customHeight="1" outlineLevel="2" x14ac:dyDescent="0.3">
      <c r="A195" s="25"/>
      <c r="B195" s="12" t="str">
        <f>CONCATENATE("          ","6253"," - ","ROYALTY DUE ATHLETICS-LRG")</f>
        <v xml:space="preserve">          6253 - ROYALTY DUE ATHLETICS-LRG</v>
      </c>
      <c r="C195" s="12"/>
      <c r="D195" s="8"/>
      <c r="E195" s="3"/>
      <c r="F195" s="7">
        <f t="shared" si="28"/>
        <v>0</v>
      </c>
      <c r="G195" s="3"/>
      <c r="H195" s="8"/>
      <c r="I195" s="3"/>
      <c r="J195" s="7">
        <f t="shared" si="29"/>
        <v>0</v>
      </c>
      <c r="K195" s="3"/>
      <c r="L195" s="8">
        <f t="shared" si="30"/>
        <v>0</v>
      </c>
      <c r="M195" s="3"/>
      <c r="N195" s="7">
        <f t="shared" si="31"/>
        <v>0</v>
      </c>
      <c r="O195" s="12"/>
      <c r="P195" s="8">
        <v>39221.160000000003</v>
      </c>
      <c r="Q195" s="3"/>
      <c r="R195" s="7">
        <f t="shared" si="32"/>
        <v>6.4336290970954044E-3</v>
      </c>
      <c r="S195" s="3"/>
      <c r="T195" s="8">
        <v>26197.58</v>
      </c>
      <c r="U195" s="3"/>
      <c r="V195" s="7">
        <f t="shared" si="33"/>
        <v>6.1395864601391757E-3</v>
      </c>
      <c r="W195" s="3"/>
      <c r="X195" s="8">
        <f t="shared" si="34"/>
        <v>13023.580000000002</v>
      </c>
      <c r="Y195" s="3"/>
      <c r="Z195" s="7">
        <f t="shared" si="35"/>
        <v>0.49712912414047405</v>
      </c>
    </row>
    <row r="196" spans="1:26" s="69" customFormat="1" ht="15" hidden="1" customHeight="1" outlineLevel="2" x14ac:dyDescent="0.3">
      <c r="A196" s="25"/>
      <c r="B196" s="12" t="str">
        <f>CONCATENATE("          ","6254"," - ","ROYALTY &amp; COMMISSIONS")</f>
        <v xml:space="preserve">          6254 - ROYALTY &amp; COMMISSIONS</v>
      </c>
      <c r="C196" s="12"/>
      <c r="D196" s="8"/>
      <c r="E196" s="3"/>
      <c r="F196" s="7">
        <f t="shared" si="28"/>
        <v>0</v>
      </c>
      <c r="G196" s="3"/>
      <c r="H196" s="8"/>
      <c r="I196" s="3"/>
      <c r="J196" s="7">
        <f t="shared" si="29"/>
        <v>0</v>
      </c>
      <c r="K196" s="3"/>
      <c r="L196" s="8">
        <f t="shared" si="30"/>
        <v>0</v>
      </c>
      <c r="M196" s="3"/>
      <c r="N196" s="7">
        <f t="shared" si="31"/>
        <v>0</v>
      </c>
      <c r="O196" s="12"/>
      <c r="P196" s="8">
        <v>3509.15</v>
      </c>
      <c r="Q196" s="3"/>
      <c r="R196" s="7">
        <f t="shared" si="32"/>
        <v>5.7562217808122796E-4</v>
      </c>
      <c r="S196" s="3"/>
      <c r="T196" s="8">
        <v>185.7</v>
      </c>
      <c r="U196" s="3"/>
      <c r="V196" s="7">
        <f t="shared" si="33"/>
        <v>4.3520096346603191E-5</v>
      </c>
      <c r="W196" s="3"/>
      <c r="X196" s="8">
        <f t="shared" si="34"/>
        <v>3323.4500000000003</v>
      </c>
      <c r="Y196" s="3"/>
      <c r="Z196" s="7">
        <f t="shared" si="35"/>
        <v>17.896876682821759</v>
      </c>
    </row>
    <row r="197" spans="1:26" s="69" customFormat="1" ht="15" hidden="1" customHeight="1" outlineLevel="2" x14ac:dyDescent="0.3">
      <c r="A197" s="25"/>
      <c r="B197" s="12" t="str">
        <f>CONCATENATE("          ","6259"," - ","ROYALTY &amp; COMMISSIONS")</f>
        <v xml:space="preserve">          6259 - ROYALTY &amp; COMMISSIONS</v>
      </c>
      <c r="C197" s="12"/>
      <c r="D197" s="8">
        <v>2502.14</v>
      </c>
      <c r="E197" s="3"/>
      <c r="F197" s="7">
        <f t="shared" si="28"/>
        <v>3.4473487720175374E-3</v>
      </c>
      <c r="G197" s="3"/>
      <c r="H197" s="8">
        <v>27.21</v>
      </c>
      <c r="I197" s="3"/>
      <c r="J197" s="7">
        <f t="shared" si="29"/>
        <v>1.4788427655892361E-4</v>
      </c>
      <c r="K197" s="3"/>
      <c r="L197" s="8">
        <f t="shared" si="30"/>
        <v>2474.9299999999998</v>
      </c>
      <c r="M197" s="3"/>
      <c r="N197" s="7">
        <f t="shared" si="31"/>
        <v>90.956633590591679</v>
      </c>
      <c r="O197" s="12"/>
      <c r="P197" s="8">
        <v>10005.620000000001</v>
      </c>
      <c r="Q197" s="3"/>
      <c r="R197" s="7">
        <f t="shared" si="32"/>
        <v>1.6412683349110459E-3</v>
      </c>
      <c r="S197" s="3"/>
      <c r="T197" s="8">
        <v>10663.62</v>
      </c>
      <c r="U197" s="3"/>
      <c r="V197" s="7">
        <f t="shared" si="33"/>
        <v>2.4990940754096112E-3</v>
      </c>
      <c r="W197" s="3"/>
      <c r="X197" s="8">
        <f t="shared" si="34"/>
        <v>-658</v>
      </c>
      <c r="Y197" s="3"/>
      <c r="Z197" s="7">
        <f t="shared" si="35"/>
        <v>-6.1705124526192791E-2</v>
      </c>
    </row>
    <row r="198" spans="1:26" s="68" customFormat="1" ht="15" customHeight="1" outlineLevel="1" collapsed="1" x14ac:dyDescent="0.3">
      <c r="A198" s="26"/>
      <c r="B198" s="14" t="str">
        <f>CONCATENATE("     ","Services                                          ")</f>
        <v xml:space="preserve">     Services                                          </v>
      </c>
      <c r="C198" s="14"/>
      <c r="D198" s="2">
        <f>SUM(OSRRefD22_19x_0)</f>
        <v>5470.0199999999995</v>
      </c>
      <c r="E198" s="2"/>
      <c r="F198" s="6">
        <f t="shared" ref="F198:F225" si="36">IF(D$12=0,0,D198/D$12)</f>
        <v>7.5363755544899051E-3</v>
      </c>
      <c r="G198" s="2"/>
      <c r="H198" s="2">
        <f>SUM(OSRRefH22_19x_0)</f>
        <v>7635.98</v>
      </c>
      <c r="I198" s="2"/>
      <c r="J198" s="6">
        <f t="shared" ref="J198:J225" si="37">IF(H$12=0,0,H198/H$12)</f>
        <v>4.1500969427357932E-2</v>
      </c>
      <c r="K198" s="2"/>
      <c r="L198" s="2">
        <f t="shared" ref="L198:L225" si="38">+D198-H198</f>
        <v>-2165.96</v>
      </c>
      <c r="M198" s="2"/>
      <c r="N198" s="6">
        <f t="shared" ref="N198:N225" si="39">IF(H198=0,0,L198/H198)</f>
        <v>-0.28365186917723728</v>
      </c>
      <c r="O198" s="14"/>
      <c r="P198" s="2">
        <f>SUM(OSRRefP22_19x_0)</f>
        <v>63396.65</v>
      </c>
      <c r="Q198" s="2"/>
      <c r="R198" s="6">
        <f t="shared" ref="R198:R225" si="40">IF(P$12=0,0,P198/P$12)</f>
        <v>1.0399247041606453E-2</v>
      </c>
      <c r="S198" s="2"/>
      <c r="T198" s="2">
        <f>SUM(OSRRefT22_19x_0)</f>
        <v>38143.019999999997</v>
      </c>
      <c r="U198" s="2"/>
      <c r="V198" s="6">
        <f t="shared" ref="V198:V225" si="41">IF(T$12=0,0,T198/T$12)</f>
        <v>8.9390840352741637E-3</v>
      </c>
      <c r="W198" s="2"/>
      <c r="X198" s="2">
        <f t="shared" ref="X198:X225" si="42">+P198-T198</f>
        <v>25253.630000000005</v>
      </c>
      <c r="Y198" s="2"/>
      <c r="Z198" s="6">
        <f t="shared" ref="Z198:Z225" si="43">IF(T198=0,0,X198/T198)</f>
        <v>0.66207736041876097</v>
      </c>
    </row>
    <row r="199" spans="1:26" s="69" customFormat="1" ht="15" hidden="1" customHeight="1" outlineLevel="2" x14ac:dyDescent="0.3">
      <c r="A199" s="25"/>
      <c r="B199" s="12" t="str">
        <f>CONCATENATE("          ","6282"," - ","JANITORIAL/EXTERMINATOR EXPENS")</f>
        <v xml:space="preserve">          6282 - JANITORIAL/EXTERMINATOR EXPENS</v>
      </c>
      <c r="C199" s="12"/>
      <c r="D199" s="8">
        <v>787.9</v>
      </c>
      <c r="E199" s="3"/>
      <c r="F199" s="7">
        <f t="shared" si="36"/>
        <v>1.0855372191294723E-3</v>
      </c>
      <c r="G199" s="3"/>
      <c r="H199" s="8">
        <v>894.21</v>
      </c>
      <c r="I199" s="3"/>
      <c r="J199" s="7">
        <f t="shared" si="37"/>
        <v>4.8599632099138217E-3</v>
      </c>
      <c r="K199" s="3"/>
      <c r="L199" s="8">
        <f t="shared" si="38"/>
        <v>-106.31000000000006</v>
      </c>
      <c r="M199" s="3"/>
      <c r="N199" s="7">
        <f t="shared" si="39"/>
        <v>-0.11888706232316799</v>
      </c>
      <c r="O199" s="12"/>
      <c r="P199" s="8">
        <v>5725.48</v>
      </c>
      <c r="Q199" s="3"/>
      <c r="R199" s="7">
        <f t="shared" si="40"/>
        <v>9.3917708509482607E-4</v>
      </c>
      <c r="S199" s="3"/>
      <c r="T199" s="8">
        <v>9341.08</v>
      </c>
      <c r="U199" s="3"/>
      <c r="V199" s="7">
        <f t="shared" si="41"/>
        <v>2.1891475583270229E-3</v>
      </c>
      <c r="W199" s="3"/>
      <c r="X199" s="8">
        <f t="shared" si="42"/>
        <v>-3615.6000000000004</v>
      </c>
      <c r="Y199" s="3"/>
      <c r="Z199" s="7">
        <f t="shared" si="43"/>
        <v>-0.38706445079155732</v>
      </c>
    </row>
    <row r="200" spans="1:26" s="69" customFormat="1" ht="15" hidden="1" customHeight="1" outlineLevel="2" x14ac:dyDescent="0.3">
      <c r="A200" s="25"/>
      <c r="B200" s="12" t="str">
        <f>CONCATENATE("          ","6283"," - ","PLANT SERVICE")</f>
        <v xml:space="preserve">          6283 - PLANT SERVICE</v>
      </c>
      <c r="C200" s="12"/>
      <c r="D200" s="8"/>
      <c r="E200" s="3"/>
      <c r="F200" s="7">
        <f t="shared" si="36"/>
        <v>0</v>
      </c>
      <c r="G200" s="3"/>
      <c r="H200" s="8"/>
      <c r="I200" s="3"/>
      <c r="J200" s="7">
        <f t="shared" si="37"/>
        <v>0</v>
      </c>
      <c r="K200" s="3"/>
      <c r="L200" s="8">
        <f t="shared" si="38"/>
        <v>0</v>
      </c>
      <c r="M200" s="3"/>
      <c r="N200" s="7">
        <f t="shared" si="39"/>
        <v>0</v>
      </c>
      <c r="O200" s="12"/>
      <c r="P200" s="8"/>
      <c r="Q200" s="3"/>
      <c r="R200" s="7">
        <f t="shared" si="40"/>
        <v>0</v>
      </c>
      <c r="S200" s="3"/>
      <c r="T200" s="8">
        <v>171.31</v>
      </c>
      <c r="U200" s="3"/>
      <c r="V200" s="7">
        <f t="shared" si="41"/>
        <v>4.0147699004505076E-5</v>
      </c>
      <c r="W200" s="3"/>
      <c r="X200" s="8">
        <f t="shared" si="42"/>
        <v>-171.31</v>
      </c>
      <c r="Y200" s="3"/>
      <c r="Z200" s="7">
        <f t="shared" si="43"/>
        <v>-1</v>
      </c>
    </row>
    <row r="201" spans="1:26" s="69" customFormat="1" ht="15" hidden="1" customHeight="1" outlineLevel="2" x14ac:dyDescent="0.3">
      <c r="A201" s="25"/>
      <c r="B201" s="12" t="str">
        <f>CONCATENATE("          ","6284"," - ","TRASH REMOVAL EXPENSE")</f>
        <v xml:space="preserve">          6284 - TRASH REMOVAL EXPENSE</v>
      </c>
      <c r="C201" s="12"/>
      <c r="D201" s="8">
        <v>149.69999999999999</v>
      </c>
      <c r="E201" s="3"/>
      <c r="F201" s="7">
        <f t="shared" si="36"/>
        <v>2.0625069387445361E-4</v>
      </c>
      <c r="G201" s="3"/>
      <c r="H201" s="8">
        <v>-138.43</v>
      </c>
      <c r="I201" s="3"/>
      <c r="J201" s="7">
        <f t="shared" si="37"/>
        <v>-7.5235650143520014E-4</v>
      </c>
      <c r="K201" s="3"/>
      <c r="L201" s="8">
        <f t="shared" si="38"/>
        <v>288.13</v>
      </c>
      <c r="M201" s="3"/>
      <c r="N201" s="7">
        <f t="shared" si="39"/>
        <v>-2.0814129885140504</v>
      </c>
      <c r="O201" s="12"/>
      <c r="P201" s="8">
        <v>1340.17</v>
      </c>
      <c r="Q201" s="3"/>
      <c r="R201" s="7">
        <f t="shared" si="40"/>
        <v>2.1983431155667878E-4</v>
      </c>
      <c r="S201" s="3"/>
      <c r="T201" s="8">
        <v>2173.15</v>
      </c>
      <c r="U201" s="3"/>
      <c r="V201" s="7">
        <f t="shared" si="41"/>
        <v>5.0929293147884073E-4</v>
      </c>
      <c r="W201" s="3"/>
      <c r="X201" s="8">
        <f t="shared" si="42"/>
        <v>-832.98</v>
      </c>
      <c r="Y201" s="3"/>
      <c r="Z201" s="7">
        <f t="shared" si="43"/>
        <v>-0.38330534017440121</v>
      </c>
    </row>
    <row r="202" spans="1:26" s="69" customFormat="1" ht="15" hidden="1" customHeight="1" outlineLevel="2" x14ac:dyDescent="0.3">
      <c r="A202" s="25"/>
      <c r="B202" s="12" t="str">
        <f>CONCATENATE("          ","6285"," - ","JANITORIAL SERVICES")</f>
        <v xml:space="preserve">          6285 - JANITORIAL SERVICES</v>
      </c>
      <c r="C202" s="12"/>
      <c r="D202" s="8">
        <v>4337.13</v>
      </c>
      <c r="E202" s="3"/>
      <c r="F202" s="7">
        <f t="shared" si="36"/>
        <v>5.975524862549827E-3</v>
      </c>
      <c r="G202" s="3"/>
      <c r="H202" s="8">
        <v>6880.2</v>
      </c>
      <c r="I202" s="3"/>
      <c r="J202" s="7">
        <f t="shared" si="37"/>
        <v>3.7393362718879317E-2</v>
      </c>
      <c r="K202" s="3"/>
      <c r="L202" s="8">
        <f t="shared" si="38"/>
        <v>-2543.0699999999997</v>
      </c>
      <c r="M202" s="3"/>
      <c r="N202" s="7">
        <f t="shared" si="39"/>
        <v>-0.36962152263015607</v>
      </c>
      <c r="O202" s="12"/>
      <c r="P202" s="8">
        <v>55538.67</v>
      </c>
      <c r="Q202" s="3"/>
      <c r="R202" s="7">
        <f t="shared" si="40"/>
        <v>9.1102660738738867E-3</v>
      </c>
      <c r="S202" s="3"/>
      <c r="T202" s="8">
        <v>26457.48</v>
      </c>
      <c r="U202" s="3"/>
      <c r="V202" s="7">
        <f t="shared" si="41"/>
        <v>6.2004958464637961E-3</v>
      </c>
      <c r="W202" s="3"/>
      <c r="X202" s="8">
        <f t="shared" si="42"/>
        <v>29081.19</v>
      </c>
      <c r="Y202" s="3"/>
      <c r="Z202" s="7">
        <f t="shared" si="43"/>
        <v>1.0991670408519632</v>
      </c>
    </row>
    <row r="203" spans="1:26" s="69" customFormat="1" ht="15" hidden="1" customHeight="1" outlineLevel="2" x14ac:dyDescent="0.3">
      <c r="A203" s="25"/>
      <c r="B203" s="12" t="str">
        <f>CONCATENATE("          ","6286"," - ","LAUNDRY EXPENSE")</f>
        <v xml:space="preserve">          6286 - LAUNDRY EXPENSE</v>
      </c>
      <c r="C203" s="12"/>
      <c r="D203" s="8">
        <v>195.29</v>
      </c>
      <c r="E203" s="3"/>
      <c r="F203" s="7">
        <f t="shared" si="36"/>
        <v>2.6906277893615259E-4</v>
      </c>
      <c r="G203" s="3"/>
      <c r="H203" s="8"/>
      <c r="I203" s="3"/>
      <c r="J203" s="7">
        <f t="shared" si="37"/>
        <v>0</v>
      </c>
      <c r="K203" s="3"/>
      <c r="L203" s="8">
        <f t="shared" si="38"/>
        <v>195.29</v>
      </c>
      <c r="M203" s="3"/>
      <c r="N203" s="7">
        <f t="shared" si="39"/>
        <v>0</v>
      </c>
      <c r="O203" s="12"/>
      <c r="P203" s="8">
        <v>792.33</v>
      </c>
      <c r="Q203" s="3"/>
      <c r="R203" s="7">
        <f t="shared" si="40"/>
        <v>1.2996957108105933E-4</v>
      </c>
      <c r="S203" s="3"/>
      <c r="T203" s="8"/>
      <c r="U203" s="3"/>
      <c r="V203" s="7">
        <f t="shared" si="41"/>
        <v>0</v>
      </c>
      <c r="W203" s="3"/>
      <c r="X203" s="8">
        <f t="shared" si="42"/>
        <v>792.33</v>
      </c>
      <c r="Y203" s="3"/>
      <c r="Z203" s="7">
        <f t="shared" si="43"/>
        <v>0</v>
      </c>
    </row>
    <row r="204" spans="1:26" s="68" customFormat="1" ht="15" customHeight="1" outlineLevel="1" collapsed="1" x14ac:dyDescent="0.3">
      <c r="A204" s="26"/>
      <c r="B204" s="14" t="str">
        <f>CONCATENATE("     ","Subscriptions &amp; Dues                              ")</f>
        <v xml:space="preserve">     Subscriptions &amp; Dues                              </v>
      </c>
      <c r="C204" s="14"/>
      <c r="D204" s="2">
        <f>SUM(OSRRefD22_20x_0)</f>
        <v>606.92999999999995</v>
      </c>
      <c r="E204" s="2"/>
      <c r="F204" s="6">
        <f t="shared" si="36"/>
        <v>8.3620396548578582E-4</v>
      </c>
      <c r="G204" s="2"/>
      <c r="H204" s="2">
        <f>SUM(OSRRefH22_20x_0)</f>
        <v>307.78999999999996</v>
      </c>
      <c r="I204" s="2"/>
      <c r="J204" s="6">
        <f t="shared" si="37"/>
        <v>1.6728151959599813E-3</v>
      </c>
      <c r="K204" s="2"/>
      <c r="L204" s="2">
        <f t="shared" si="38"/>
        <v>299.14</v>
      </c>
      <c r="M204" s="2"/>
      <c r="N204" s="6">
        <f t="shared" si="39"/>
        <v>0.97189642288573386</v>
      </c>
      <c r="O204" s="14"/>
      <c r="P204" s="2">
        <f>SUM(OSRRefP22_20x_0)</f>
        <v>2477.65</v>
      </c>
      <c r="Q204" s="2"/>
      <c r="R204" s="6">
        <f t="shared" si="40"/>
        <v>4.0642044071155536E-4</v>
      </c>
      <c r="S204" s="2"/>
      <c r="T204" s="2">
        <f>SUM(OSRRefT22_20x_0)</f>
        <v>4334.33</v>
      </c>
      <c r="U204" s="2"/>
      <c r="V204" s="6">
        <f t="shared" si="41"/>
        <v>1.0157806095744352E-3</v>
      </c>
      <c r="W204" s="2"/>
      <c r="X204" s="2">
        <f t="shared" si="42"/>
        <v>-1856.6799999999998</v>
      </c>
      <c r="Y204" s="2"/>
      <c r="Z204" s="6">
        <f t="shared" si="43"/>
        <v>-0.42836609118364311</v>
      </c>
    </row>
    <row r="205" spans="1:26" s="69" customFormat="1" ht="15" hidden="1" customHeight="1" outlineLevel="2" x14ac:dyDescent="0.3">
      <c r="A205" s="25"/>
      <c r="B205" s="12" t="str">
        <f>CONCATENATE("          ","6258"," - ","MEMBERSHIP DUES")</f>
        <v xml:space="preserve">          6258 - MEMBERSHIP DUES</v>
      </c>
      <c r="C205" s="12"/>
      <c r="D205" s="8">
        <v>606.92999999999995</v>
      </c>
      <c r="E205" s="3"/>
      <c r="F205" s="7">
        <f t="shared" si="36"/>
        <v>8.3620396548578582E-4</v>
      </c>
      <c r="G205" s="3"/>
      <c r="H205" s="8">
        <v>232.79</v>
      </c>
      <c r="I205" s="3"/>
      <c r="J205" s="7">
        <f t="shared" si="37"/>
        <v>1.2651959110676892E-3</v>
      </c>
      <c r="K205" s="3"/>
      <c r="L205" s="8">
        <f t="shared" si="38"/>
        <v>374.14</v>
      </c>
      <c r="M205" s="3"/>
      <c r="N205" s="7">
        <f t="shared" si="39"/>
        <v>1.6071996219768891</v>
      </c>
      <c r="O205" s="12"/>
      <c r="P205" s="8">
        <v>2477.65</v>
      </c>
      <c r="Q205" s="3"/>
      <c r="R205" s="7">
        <f t="shared" si="40"/>
        <v>4.0642044071155536E-4</v>
      </c>
      <c r="S205" s="3"/>
      <c r="T205" s="8">
        <v>2106.52</v>
      </c>
      <c r="U205" s="3"/>
      <c r="V205" s="7">
        <f t="shared" si="41"/>
        <v>4.9367772404979298E-4</v>
      </c>
      <c r="W205" s="3"/>
      <c r="X205" s="8">
        <f t="shared" si="42"/>
        <v>371.13000000000011</v>
      </c>
      <c r="Y205" s="3"/>
      <c r="Z205" s="7">
        <f t="shared" si="43"/>
        <v>0.17618156960294709</v>
      </c>
    </row>
    <row r="206" spans="1:26" s="69" customFormat="1" ht="15" hidden="1" customHeight="1" outlineLevel="2" x14ac:dyDescent="0.3">
      <c r="A206" s="25"/>
      <c r="B206" s="12" t="str">
        <f>CONCATENATE("          ","6275"," - ","SUBSCRIPTIONS")</f>
        <v xml:space="preserve">          6275 - SUBSCRIPTIONS</v>
      </c>
      <c r="C206" s="12"/>
      <c r="D206" s="8"/>
      <c r="E206" s="3"/>
      <c r="F206" s="7">
        <f t="shared" si="36"/>
        <v>0</v>
      </c>
      <c r="G206" s="3"/>
      <c r="H206" s="8">
        <v>75</v>
      </c>
      <c r="I206" s="3"/>
      <c r="J206" s="7">
        <f t="shared" si="37"/>
        <v>4.0761928489229217E-4</v>
      </c>
      <c r="K206" s="3"/>
      <c r="L206" s="8">
        <f t="shared" si="38"/>
        <v>-75</v>
      </c>
      <c r="M206" s="3"/>
      <c r="N206" s="7">
        <f t="shared" si="39"/>
        <v>-1</v>
      </c>
      <c r="O206" s="12"/>
      <c r="P206" s="8"/>
      <c r="Q206" s="3"/>
      <c r="R206" s="7">
        <f t="shared" si="40"/>
        <v>0</v>
      </c>
      <c r="S206" s="3"/>
      <c r="T206" s="8">
        <v>2227.81</v>
      </c>
      <c r="U206" s="3"/>
      <c r="V206" s="7">
        <f t="shared" si="41"/>
        <v>5.221028855246422E-4</v>
      </c>
      <c r="W206" s="3"/>
      <c r="X206" s="8">
        <f t="shared" si="42"/>
        <v>-2227.81</v>
      </c>
      <c r="Y206" s="3"/>
      <c r="Z206" s="7">
        <f t="shared" si="43"/>
        <v>-1</v>
      </c>
    </row>
    <row r="207" spans="1:26" s="68" customFormat="1" ht="15" customHeight="1" outlineLevel="1" collapsed="1" x14ac:dyDescent="0.3">
      <c r="A207" s="26"/>
      <c r="B207" s="14" t="str">
        <f>CONCATENATE("     ","Supplies                                          ")</f>
        <v xml:space="preserve">     Supplies                                          </v>
      </c>
      <c r="C207" s="14"/>
      <c r="D207" s="2">
        <f>SUM(OSRRefD22_21x_0)</f>
        <v>12138.36</v>
      </c>
      <c r="E207" s="2"/>
      <c r="F207" s="6">
        <f t="shared" si="36"/>
        <v>1.6723748647280649E-2</v>
      </c>
      <c r="G207" s="2"/>
      <c r="H207" s="2">
        <f>SUM(OSRRefH22_21x_0)</f>
        <v>4097.66</v>
      </c>
      <c r="I207" s="2"/>
      <c r="J207" s="6">
        <f t="shared" si="37"/>
        <v>2.2270469852423331E-2</v>
      </c>
      <c r="K207" s="2"/>
      <c r="L207" s="2">
        <f t="shared" si="38"/>
        <v>8040.7000000000007</v>
      </c>
      <c r="M207" s="2"/>
      <c r="N207" s="6">
        <f t="shared" si="39"/>
        <v>1.9622662690413555</v>
      </c>
      <c r="O207" s="14"/>
      <c r="P207" s="2">
        <f>SUM(OSRRefP22_21x_0)</f>
        <v>92760.56</v>
      </c>
      <c r="Q207" s="2"/>
      <c r="R207" s="6">
        <f t="shared" si="40"/>
        <v>1.5215945624220803E-2</v>
      </c>
      <c r="S207" s="2"/>
      <c r="T207" s="2">
        <f>SUM(OSRRefT22_21x_0)</f>
        <v>104098.35999999999</v>
      </c>
      <c r="U207" s="2"/>
      <c r="V207" s="6">
        <f t="shared" si="41"/>
        <v>2.439618016544633E-2</v>
      </c>
      <c r="W207" s="2"/>
      <c r="X207" s="2">
        <f t="shared" si="42"/>
        <v>-11337.799999999988</v>
      </c>
      <c r="Y207" s="2"/>
      <c r="Z207" s="6">
        <f t="shared" si="43"/>
        <v>-0.10891429989867266</v>
      </c>
    </row>
    <row r="208" spans="1:26" s="69" customFormat="1" ht="15" hidden="1" customHeight="1" outlineLevel="2" x14ac:dyDescent="0.3">
      <c r="A208" s="25"/>
      <c r="B208" s="12" t="str">
        <f>CONCATENATE("          ","6234"," - ","EXPENDABLE SUPPLIES &amp; EQUIPMEN")</f>
        <v xml:space="preserve">          6234 - EXPENDABLE SUPPLIES &amp; EQUIPMEN</v>
      </c>
      <c r="C208" s="12"/>
      <c r="D208" s="8"/>
      <c r="E208" s="3"/>
      <c r="F208" s="7">
        <f t="shared" si="36"/>
        <v>0</v>
      </c>
      <c r="G208" s="3"/>
      <c r="H208" s="8"/>
      <c r="I208" s="3"/>
      <c r="J208" s="7">
        <f t="shared" si="37"/>
        <v>0</v>
      </c>
      <c r="K208" s="3"/>
      <c r="L208" s="8">
        <f t="shared" si="38"/>
        <v>0</v>
      </c>
      <c r="M208" s="3"/>
      <c r="N208" s="7">
        <f t="shared" si="39"/>
        <v>0</v>
      </c>
      <c r="O208" s="12"/>
      <c r="P208" s="8">
        <v>6484.46</v>
      </c>
      <c r="Q208" s="3"/>
      <c r="R208" s="7">
        <f t="shared" si="40"/>
        <v>1.0636761007311172E-3</v>
      </c>
      <c r="S208" s="3"/>
      <c r="T208" s="8">
        <v>263.83</v>
      </c>
      <c r="U208" s="3"/>
      <c r="V208" s="7">
        <f t="shared" si="41"/>
        <v>6.1830409365235973E-5</v>
      </c>
      <c r="W208" s="3"/>
      <c r="X208" s="8">
        <f t="shared" si="42"/>
        <v>6220.63</v>
      </c>
      <c r="Y208" s="3"/>
      <c r="Z208" s="7">
        <f t="shared" si="43"/>
        <v>23.578175340181179</v>
      </c>
    </row>
    <row r="209" spans="1:26" s="69" customFormat="1" ht="15" hidden="1" customHeight="1" outlineLevel="2" x14ac:dyDescent="0.3">
      <c r="A209" s="25"/>
      <c r="B209" s="12" t="str">
        <f>CONCATENATE("          ","6235"," - ","COVID-19 EXPENSES")</f>
        <v xml:space="preserve">          6235 - COVID-19 EXPENSES</v>
      </c>
      <c r="C209" s="12"/>
      <c r="D209" s="8">
        <v>71.45</v>
      </c>
      <c r="E209" s="3"/>
      <c r="F209" s="7">
        <f t="shared" si="36"/>
        <v>9.8440962440412237E-5</v>
      </c>
      <c r="G209" s="3"/>
      <c r="H209" s="8">
        <v>370.83</v>
      </c>
      <c r="I209" s="3"/>
      <c r="J209" s="7">
        <f t="shared" si="37"/>
        <v>2.0154327922214492E-3</v>
      </c>
      <c r="K209" s="3"/>
      <c r="L209" s="8">
        <f t="shared" si="38"/>
        <v>-299.38</v>
      </c>
      <c r="M209" s="3"/>
      <c r="N209" s="7">
        <f t="shared" si="39"/>
        <v>-0.80732411077852384</v>
      </c>
      <c r="O209" s="12"/>
      <c r="P209" s="8">
        <v>3501.77</v>
      </c>
      <c r="Q209" s="3"/>
      <c r="R209" s="7">
        <f t="shared" si="40"/>
        <v>5.744116023936001E-4</v>
      </c>
      <c r="S209" s="3"/>
      <c r="T209" s="8">
        <v>37869.269999999997</v>
      </c>
      <c r="U209" s="3"/>
      <c r="V209" s="7">
        <f t="shared" si="41"/>
        <v>8.8749288043916512E-3</v>
      </c>
      <c r="W209" s="3"/>
      <c r="X209" s="8">
        <f t="shared" si="42"/>
        <v>-34367.5</v>
      </c>
      <c r="Y209" s="3"/>
      <c r="Z209" s="7">
        <f t="shared" si="43"/>
        <v>-0.90753003688742884</v>
      </c>
    </row>
    <row r="210" spans="1:26" s="69" customFormat="1" ht="15" hidden="1" customHeight="1" outlineLevel="2" x14ac:dyDescent="0.3">
      <c r="A210" s="25"/>
      <c r="B210" s="12" t="str">
        <f>CONCATENATE("          ","6237"," - ","JANITORIAL SUPPLIES")</f>
        <v xml:space="preserve">          6237 - JANITORIAL SUPPLIES</v>
      </c>
      <c r="C210" s="12"/>
      <c r="D210" s="8">
        <v>459.77</v>
      </c>
      <c r="E210" s="3"/>
      <c r="F210" s="7">
        <f t="shared" si="36"/>
        <v>6.3345278238248189E-4</v>
      </c>
      <c r="G210" s="3"/>
      <c r="H210" s="8">
        <v>637.59</v>
      </c>
      <c r="I210" s="3"/>
      <c r="J210" s="7">
        <f t="shared" si="37"/>
        <v>3.4652530647263547E-3</v>
      </c>
      <c r="K210" s="3"/>
      <c r="L210" s="8">
        <f t="shared" si="38"/>
        <v>-177.82000000000005</v>
      </c>
      <c r="M210" s="3"/>
      <c r="N210" s="7">
        <f t="shared" si="39"/>
        <v>-0.27889396006838257</v>
      </c>
      <c r="O210" s="12"/>
      <c r="P210" s="8">
        <v>5677.85</v>
      </c>
      <c r="Q210" s="3"/>
      <c r="R210" s="7">
        <f t="shared" si="40"/>
        <v>9.3136411490489165E-4</v>
      </c>
      <c r="S210" s="3"/>
      <c r="T210" s="8">
        <v>3218.81</v>
      </c>
      <c r="U210" s="3"/>
      <c r="V210" s="7">
        <f t="shared" si="41"/>
        <v>7.5435068024453321E-4</v>
      </c>
      <c r="W210" s="3"/>
      <c r="X210" s="8">
        <f t="shared" si="42"/>
        <v>2459.0400000000004</v>
      </c>
      <c r="Y210" s="3"/>
      <c r="Z210" s="7">
        <f t="shared" si="43"/>
        <v>0.76395935143733262</v>
      </c>
    </row>
    <row r="211" spans="1:26" s="69" customFormat="1" ht="15" hidden="1" customHeight="1" outlineLevel="2" x14ac:dyDescent="0.3">
      <c r="A211" s="25"/>
      <c r="B211" s="12" t="str">
        <f>CONCATENATE("          ","6241"," - ","OFFICE EXPENSE")</f>
        <v xml:space="preserve">          6241 - OFFICE EXPENSE</v>
      </c>
      <c r="C211" s="12"/>
      <c r="D211" s="8">
        <v>1862.82</v>
      </c>
      <c r="E211" s="3"/>
      <c r="F211" s="7">
        <f t="shared" si="36"/>
        <v>2.5665191553988624E-3</v>
      </c>
      <c r="G211" s="3"/>
      <c r="H211" s="8">
        <v>496.61</v>
      </c>
      <c r="I211" s="3"/>
      <c r="J211" s="7">
        <f t="shared" si="37"/>
        <v>2.6990375076048163E-3</v>
      </c>
      <c r="K211" s="3"/>
      <c r="L211" s="8">
        <f t="shared" si="38"/>
        <v>1366.21</v>
      </c>
      <c r="M211" s="3"/>
      <c r="N211" s="7">
        <f t="shared" si="39"/>
        <v>2.7510722699905359</v>
      </c>
      <c r="O211" s="12"/>
      <c r="P211" s="8">
        <v>15194.6</v>
      </c>
      <c r="Q211" s="3"/>
      <c r="R211" s="7">
        <f t="shared" si="40"/>
        <v>2.4924408324161198E-3</v>
      </c>
      <c r="S211" s="3"/>
      <c r="T211" s="8">
        <v>10484.459999999999</v>
      </c>
      <c r="U211" s="3"/>
      <c r="V211" s="7">
        <f t="shared" si="41"/>
        <v>2.4571066738939542E-3</v>
      </c>
      <c r="W211" s="3"/>
      <c r="X211" s="8">
        <f t="shared" si="42"/>
        <v>4710.1400000000012</v>
      </c>
      <c r="Y211" s="3"/>
      <c r="Z211" s="7">
        <f t="shared" si="43"/>
        <v>0.44924965138881751</v>
      </c>
    </row>
    <row r="212" spans="1:26" s="69" customFormat="1" ht="15" hidden="1" customHeight="1" outlineLevel="2" x14ac:dyDescent="0.3">
      <c r="A212" s="25"/>
      <c r="B212" s="12" t="str">
        <f>CONCATENATE("          ","6243"," - ","PAPER SUPPLIES")</f>
        <v xml:space="preserve">          6243 - PAPER SUPPLIES</v>
      </c>
      <c r="C212" s="12"/>
      <c r="D212" s="8">
        <v>1213.21</v>
      </c>
      <c r="E212" s="3"/>
      <c r="F212" s="7">
        <f t="shared" si="36"/>
        <v>1.6715123868765924E-3</v>
      </c>
      <c r="G212" s="3"/>
      <c r="H212" s="8">
        <v>309.25</v>
      </c>
      <c r="I212" s="3"/>
      <c r="J212" s="7">
        <f t="shared" si="37"/>
        <v>1.6807501847058847E-3</v>
      </c>
      <c r="K212" s="3"/>
      <c r="L212" s="8">
        <f t="shared" si="38"/>
        <v>903.96</v>
      </c>
      <c r="M212" s="3"/>
      <c r="N212" s="7">
        <f t="shared" si="39"/>
        <v>2.9230719482619243</v>
      </c>
      <c r="O212" s="12"/>
      <c r="P212" s="8">
        <v>6879.52</v>
      </c>
      <c r="Q212" s="3"/>
      <c r="R212" s="7">
        <f t="shared" si="40"/>
        <v>1.1284796279877947E-3</v>
      </c>
      <c r="S212" s="3"/>
      <c r="T212" s="8">
        <v>6482.65</v>
      </c>
      <c r="U212" s="3"/>
      <c r="V212" s="7">
        <f t="shared" si="41"/>
        <v>1.5192544565498501E-3</v>
      </c>
      <c r="W212" s="3"/>
      <c r="X212" s="8">
        <f t="shared" si="42"/>
        <v>396.8700000000008</v>
      </c>
      <c r="Y212" s="3"/>
      <c r="Z212" s="7">
        <f t="shared" si="43"/>
        <v>6.122033427687764E-2</v>
      </c>
    </row>
    <row r="213" spans="1:26" s="69" customFormat="1" ht="15" hidden="1" customHeight="1" outlineLevel="2" x14ac:dyDescent="0.3">
      <c r="A213" s="25"/>
      <c r="B213" s="12" t="str">
        <f>CONCATENATE("          ","6245"," - ","PRINTING")</f>
        <v xml:space="preserve">          6245 - PRINTING</v>
      </c>
      <c r="C213" s="12"/>
      <c r="D213" s="8">
        <v>3682</v>
      </c>
      <c r="E213" s="3"/>
      <c r="F213" s="7">
        <f t="shared" si="36"/>
        <v>5.0729128580209639E-3</v>
      </c>
      <c r="G213" s="3"/>
      <c r="H213" s="8">
        <v>447.27</v>
      </c>
      <c r="I213" s="3"/>
      <c r="J213" s="7">
        <f t="shared" si="37"/>
        <v>2.4308783673836734E-3</v>
      </c>
      <c r="K213" s="3"/>
      <c r="L213" s="8">
        <f t="shared" si="38"/>
        <v>3234.73</v>
      </c>
      <c r="M213" s="3"/>
      <c r="N213" s="7">
        <f t="shared" si="39"/>
        <v>7.2321640172602679</v>
      </c>
      <c r="O213" s="12"/>
      <c r="P213" s="8">
        <v>6986.52</v>
      </c>
      <c r="Q213" s="3"/>
      <c r="R213" s="7">
        <f t="shared" si="40"/>
        <v>1.1460313351119391E-3</v>
      </c>
      <c r="S213" s="3"/>
      <c r="T213" s="8">
        <v>1354.21</v>
      </c>
      <c r="U213" s="3"/>
      <c r="V213" s="7">
        <f t="shared" si="41"/>
        <v>3.1736860351929731E-4</v>
      </c>
      <c r="W213" s="3"/>
      <c r="X213" s="8">
        <f t="shared" si="42"/>
        <v>5632.31</v>
      </c>
      <c r="Y213" s="3"/>
      <c r="Z213" s="7">
        <f t="shared" si="43"/>
        <v>4.1591112161333914</v>
      </c>
    </row>
    <row r="214" spans="1:26" s="69" customFormat="1" ht="15" hidden="1" customHeight="1" outlineLevel="2" x14ac:dyDescent="0.3">
      <c r="A214" s="25"/>
      <c r="B214" s="12" t="str">
        <f>CONCATENATE("          ","6247"," - ","STORE SUPPLIES")</f>
        <v xml:space="preserve">          6247 - STORE SUPPLIES</v>
      </c>
      <c r="C214" s="12"/>
      <c r="D214" s="8">
        <v>4849.1099999999997</v>
      </c>
      <c r="E214" s="3"/>
      <c r="F214" s="7">
        <f t="shared" si="36"/>
        <v>6.6809105021613342E-3</v>
      </c>
      <c r="G214" s="3"/>
      <c r="H214" s="8">
        <v>1836.11</v>
      </c>
      <c r="I214" s="3"/>
      <c r="J214" s="7">
        <f t="shared" si="37"/>
        <v>9.9791179357811548E-3</v>
      </c>
      <c r="K214" s="3"/>
      <c r="L214" s="8">
        <f t="shared" si="38"/>
        <v>3013</v>
      </c>
      <c r="M214" s="3"/>
      <c r="N214" s="7">
        <f t="shared" si="39"/>
        <v>1.6409692229768369</v>
      </c>
      <c r="O214" s="12"/>
      <c r="P214" s="8">
        <v>48035.839999999997</v>
      </c>
      <c r="Q214" s="3"/>
      <c r="R214" s="7">
        <f t="shared" si="40"/>
        <v>7.8795420106753406E-3</v>
      </c>
      <c r="S214" s="3"/>
      <c r="T214" s="8">
        <v>44425.13</v>
      </c>
      <c r="U214" s="3"/>
      <c r="V214" s="7">
        <f t="shared" si="41"/>
        <v>1.0411340537481807E-2</v>
      </c>
      <c r="W214" s="3"/>
      <c r="X214" s="8">
        <f t="shared" si="42"/>
        <v>3610.7099999999991</v>
      </c>
      <c r="Y214" s="3"/>
      <c r="Z214" s="7">
        <f t="shared" si="43"/>
        <v>8.1276295646180427E-2</v>
      </c>
    </row>
    <row r="215" spans="1:26" s="68" customFormat="1" ht="15" customHeight="1" outlineLevel="1" collapsed="1" x14ac:dyDescent="0.3">
      <c r="A215" s="26"/>
      <c r="B215" s="14" t="str">
        <f>CONCATENATE("     ","Telephone/Data Lines                              ")</f>
        <v xml:space="preserve">     Telephone/Data Lines                              </v>
      </c>
      <c r="C215" s="14"/>
      <c r="D215" s="2">
        <f>SUM(OSRRefD22_22x_0)</f>
        <v>1917.19</v>
      </c>
      <c r="E215" s="2"/>
      <c r="F215" s="6">
        <f t="shared" si="36"/>
        <v>2.6414279745435119E-3</v>
      </c>
      <c r="G215" s="2"/>
      <c r="H215" s="2">
        <f>SUM(OSRRefH22_22x_0)</f>
        <v>1621.52</v>
      </c>
      <c r="I215" s="2"/>
      <c r="J215" s="6">
        <f t="shared" si="37"/>
        <v>8.8128376378473275E-3</v>
      </c>
      <c r="K215" s="2"/>
      <c r="L215" s="2">
        <f t="shared" si="38"/>
        <v>295.67000000000007</v>
      </c>
      <c r="M215" s="2"/>
      <c r="N215" s="6">
        <f t="shared" si="39"/>
        <v>0.18234126005229664</v>
      </c>
      <c r="O215" s="14"/>
      <c r="P215" s="2">
        <f>SUM(OSRRefP22_22x_0)</f>
        <v>17537.419999999998</v>
      </c>
      <c r="Q215" s="2"/>
      <c r="R215" s="6">
        <f t="shared" si="40"/>
        <v>2.8767444818047928E-3</v>
      </c>
      <c r="S215" s="2"/>
      <c r="T215" s="2">
        <f>SUM(OSRRefT22_22x_0)</f>
        <v>23061.56</v>
      </c>
      <c r="U215" s="2"/>
      <c r="V215" s="6">
        <f t="shared" si="41"/>
        <v>5.4046381965695764E-3</v>
      </c>
      <c r="W215" s="2"/>
      <c r="X215" s="2">
        <f t="shared" si="42"/>
        <v>-5524.1400000000031</v>
      </c>
      <c r="Y215" s="2"/>
      <c r="Z215" s="6">
        <f t="shared" si="43"/>
        <v>-0.23953886900972887</v>
      </c>
    </row>
    <row r="216" spans="1:26" s="69" customFormat="1" ht="15" hidden="1" customHeight="1" outlineLevel="2" x14ac:dyDescent="0.3">
      <c r="A216" s="25"/>
      <c r="B216" s="12" t="str">
        <f>CONCATENATE("          ","6303"," - ","DATA PHONE LINES")</f>
        <v xml:space="preserve">          6303 - DATA PHONE LINES</v>
      </c>
      <c r="C216" s="12"/>
      <c r="D216" s="8"/>
      <c r="E216" s="3"/>
      <c r="F216" s="7">
        <f t="shared" si="36"/>
        <v>0</v>
      </c>
      <c r="G216" s="3"/>
      <c r="H216" s="8"/>
      <c r="I216" s="3"/>
      <c r="J216" s="7">
        <f t="shared" si="37"/>
        <v>0</v>
      </c>
      <c r="K216" s="3"/>
      <c r="L216" s="8">
        <f t="shared" si="38"/>
        <v>0</v>
      </c>
      <c r="M216" s="3"/>
      <c r="N216" s="7">
        <f t="shared" si="39"/>
        <v>0</v>
      </c>
      <c r="O216" s="12"/>
      <c r="P216" s="8">
        <v>295</v>
      </c>
      <c r="Q216" s="3"/>
      <c r="R216" s="7">
        <f t="shared" si="40"/>
        <v>4.8390220575912186E-5</v>
      </c>
      <c r="S216" s="3"/>
      <c r="T216" s="8">
        <v>2950</v>
      </c>
      <c r="U216" s="3"/>
      <c r="V216" s="7">
        <f t="shared" si="41"/>
        <v>6.913531729805031E-4</v>
      </c>
      <c r="W216" s="3"/>
      <c r="X216" s="8">
        <f t="shared" si="42"/>
        <v>-2655</v>
      </c>
      <c r="Y216" s="3"/>
      <c r="Z216" s="7">
        <f t="shared" si="43"/>
        <v>-0.9</v>
      </c>
    </row>
    <row r="217" spans="1:26" s="69" customFormat="1" ht="15" hidden="1" customHeight="1" outlineLevel="2" x14ac:dyDescent="0.3">
      <c r="A217" s="25"/>
      <c r="B217" s="12" t="str">
        <f>CONCATENATE("          ","6309"," - ","TELEPHONE")</f>
        <v xml:space="preserve">          6309 - TELEPHONE</v>
      </c>
      <c r="C217" s="12"/>
      <c r="D217" s="8">
        <v>1917.19</v>
      </c>
      <c r="E217" s="3"/>
      <c r="F217" s="7">
        <f t="shared" si="36"/>
        <v>2.6414279745435119E-3</v>
      </c>
      <c r="G217" s="3"/>
      <c r="H217" s="8">
        <v>1621.52</v>
      </c>
      <c r="I217" s="3"/>
      <c r="J217" s="7">
        <f t="shared" si="37"/>
        <v>8.8128376378473275E-3</v>
      </c>
      <c r="K217" s="3"/>
      <c r="L217" s="8">
        <f t="shared" si="38"/>
        <v>295.67000000000007</v>
      </c>
      <c r="M217" s="3"/>
      <c r="N217" s="7">
        <f t="shared" si="39"/>
        <v>0.18234126005229664</v>
      </c>
      <c r="O217" s="12"/>
      <c r="P217" s="8">
        <v>17242.419999999998</v>
      </c>
      <c r="Q217" s="3"/>
      <c r="R217" s="7">
        <f t="shared" si="40"/>
        <v>2.8283542612288805E-3</v>
      </c>
      <c r="S217" s="3"/>
      <c r="T217" s="8">
        <v>20111.560000000001</v>
      </c>
      <c r="U217" s="3"/>
      <c r="V217" s="7">
        <f t="shared" si="41"/>
        <v>4.7132850235890736E-3</v>
      </c>
      <c r="W217" s="3"/>
      <c r="X217" s="8">
        <f t="shared" si="42"/>
        <v>-2869.1400000000031</v>
      </c>
      <c r="Y217" s="3"/>
      <c r="Z217" s="7">
        <f t="shared" si="43"/>
        <v>-0.142661235627669</v>
      </c>
    </row>
    <row r="218" spans="1:26" s="68" customFormat="1" ht="15" customHeight="1" outlineLevel="1" collapsed="1" x14ac:dyDescent="0.3">
      <c r="A218" s="26"/>
      <c r="B218" s="14" t="str">
        <f>CONCATENATE("     ","Training                                          ")</f>
        <v xml:space="preserve">     Training                                          </v>
      </c>
      <c r="C218" s="14"/>
      <c r="D218" s="2">
        <f>SUM(OSRRefD22_23x_0)</f>
        <v>199</v>
      </c>
      <c r="E218" s="2"/>
      <c r="F218" s="6">
        <f t="shared" si="36"/>
        <v>2.7417426907826501E-4</v>
      </c>
      <c r="G218" s="2"/>
      <c r="H218" s="2">
        <f>SUM(OSRRefH22_23x_0)</f>
        <v>0</v>
      </c>
      <c r="I218" s="2"/>
      <c r="J218" s="6">
        <f t="shared" si="37"/>
        <v>0</v>
      </c>
      <c r="K218" s="2"/>
      <c r="L218" s="2">
        <f t="shared" si="38"/>
        <v>199</v>
      </c>
      <c r="M218" s="2"/>
      <c r="N218" s="6">
        <f t="shared" si="39"/>
        <v>0</v>
      </c>
      <c r="O218" s="14"/>
      <c r="P218" s="2">
        <f>SUM(OSRRefP22_23x_0)</f>
        <v>1414</v>
      </c>
      <c r="Q218" s="2"/>
      <c r="R218" s="6">
        <f t="shared" si="40"/>
        <v>2.3194498947233842E-4</v>
      </c>
      <c r="S218" s="2"/>
      <c r="T218" s="2">
        <f>SUM(OSRRefT22_23x_0)</f>
        <v>895.63</v>
      </c>
      <c r="U218" s="2"/>
      <c r="V218" s="6">
        <f t="shared" si="41"/>
        <v>2.0989716688695861E-4</v>
      </c>
      <c r="W218" s="2"/>
      <c r="X218" s="2">
        <f t="shared" si="42"/>
        <v>518.37</v>
      </c>
      <c r="Y218" s="2"/>
      <c r="Z218" s="6">
        <f t="shared" si="43"/>
        <v>0.57877695030313858</v>
      </c>
    </row>
    <row r="219" spans="1:26" s="69" customFormat="1" ht="15" hidden="1" customHeight="1" outlineLevel="2" x14ac:dyDescent="0.3">
      <c r="A219" s="25"/>
      <c r="B219" s="12" t="str">
        <f>CONCATENATE("          ","6376"," - ","TRAINING")</f>
        <v xml:space="preserve">          6376 - TRAINING</v>
      </c>
      <c r="C219" s="12"/>
      <c r="D219" s="8">
        <v>199</v>
      </c>
      <c r="E219" s="3"/>
      <c r="F219" s="7">
        <f t="shared" si="36"/>
        <v>2.7417426907826501E-4</v>
      </c>
      <c r="G219" s="3"/>
      <c r="H219" s="8"/>
      <c r="I219" s="3"/>
      <c r="J219" s="7">
        <f t="shared" si="37"/>
        <v>0</v>
      </c>
      <c r="K219" s="3"/>
      <c r="L219" s="8">
        <f t="shared" si="38"/>
        <v>199</v>
      </c>
      <c r="M219" s="3"/>
      <c r="N219" s="7">
        <f t="shared" si="39"/>
        <v>0</v>
      </c>
      <c r="O219" s="12"/>
      <c r="P219" s="8">
        <v>1414</v>
      </c>
      <c r="Q219" s="3"/>
      <c r="R219" s="7">
        <f t="shared" si="40"/>
        <v>2.3194498947233842E-4</v>
      </c>
      <c r="S219" s="3"/>
      <c r="T219" s="8">
        <v>895.63</v>
      </c>
      <c r="U219" s="3"/>
      <c r="V219" s="7">
        <f t="shared" si="41"/>
        <v>2.0989716688695861E-4</v>
      </c>
      <c r="W219" s="3"/>
      <c r="X219" s="8">
        <f t="shared" si="42"/>
        <v>518.37</v>
      </c>
      <c r="Y219" s="3"/>
      <c r="Z219" s="7">
        <f t="shared" si="43"/>
        <v>0.57877695030313858</v>
      </c>
    </row>
    <row r="220" spans="1:26" s="68" customFormat="1" ht="15" customHeight="1" outlineLevel="1" collapsed="1" x14ac:dyDescent="0.3">
      <c r="A220" s="26"/>
      <c r="B220" s="14" t="str">
        <f>CONCATENATE("     ","Travel                                            ")</f>
        <v xml:space="preserve">     Travel                                            </v>
      </c>
      <c r="C220" s="14"/>
      <c r="D220" s="2">
        <f>SUM(OSRRefD22_24x_0)</f>
        <v>46.81</v>
      </c>
      <c r="E220" s="2"/>
      <c r="F220" s="6">
        <f t="shared" si="36"/>
        <v>6.449295243996776E-5</v>
      </c>
      <c r="G220" s="2"/>
      <c r="H220" s="2">
        <f>SUM(OSRRefH22_24x_0)</f>
        <v>93.02</v>
      </c>
      <c r="I220" s="2"/>
      <c r="J220" s="6">
        <f t="shared" si="37"/>
        <v>5.0555661174241356E-4</v>
      </c>
      <c r="K220" s="2"/>
      <c r="L220" s="2">
        <f t="shared" si="38"/>
        <v>-46.209999999999994</v>
      </c>
      <c r="M220" s="2"/>
      <c r="N220" s="6">
        <f t="shared" si="39"/>
        <v>-0.49677488712104917</v>
      </c>
      <c r="O220" s="14"/>
      <c r="P220" s="2">
        <f>SUM(OSRRefP22_24x_0)</f>
        <v>1135.57</v>
      </c>
      <c r="Q220" s="2"/>
      <c r="R220" s="6">
        <f t="shared" si="40"/>
        <v>1.8627282298097831E-4</v>
      </c>
      <c r="S220" s="2"/>
      <c r="T220" s="2">
        <f>SUM(OSRRefT22_24x_0)</f>
        <v>903.33</v>
      </c>
      <c r="U220" s="2"/>
      <c r="V220" s="6">
        <f t="shared" si="41"/>
        <v>2.1170171584694163E-4</v>
      </c>
      <c r="W220" s="2"/>
      <c r="X220" s="2">
        <f t="shared" si="42"/>
        <v>232.2399999999999</v>
      </c>
      <c r="Y220" s="2"/>
      <c r="Z220" s="6">
        <f t="shared" si="43"/>
        <v>0.25709319960590249</v>
      </c>
    </row>
    <row r="221" spans="1:26" s="69" customFormat="1" ht="15" hidden="1" customHeight="1" outlineLevel="2" x14ac:dyDescent="0.3">
      <c r="A221" s="25"/>
      <c r="B221" s="12" t="str">
        <f>CONCATENATE("          ","6292"," - ","TRAVEL/CONFERENCE")</f>
        <v xml:space="preserve">          6292 - TRAVEL/CONFERENCE</v>
      </c>
      <c r="C221" s="12"/>
      <c r="D221" s="8"/>
      <c r="E221" s="3"/>
      <c r="F221" s="7">
        <f t="shared" si="36"/>
        <v>0</v>
      </c>
      <c r="G221" s="3"/>
      <c r="H221" s="8"/>
      <c r="I221" s="3"/>
      <c r="J221" s="7">
        <f t="shared" si="37"/>
        <v>0</v>
      </c>
      <c r="K221" s="3"/>
      <c r="L221" s="8">
        <f t="shared" si="38"/>
        <v>0</v>
      </c>
      <c r="M221" s="3"/>
      <c r="N221" s="7">
        <f t="shared" si="39"/>
        <v>0</v>
      </c>
      <c r="O221" s="12"/>
      <c r="P221" s="8">
        <v>495</v>
      </c>
      <c r="Q221" s="3"/>
      <c r="R221" s="7">
        <f t="shared" si="40"/>
        <v>8.1197149779920443E-5</v>
      </c>
      <c r="S221" s="3"/>
      <c r="T221" s="8">
        <v>299.16000000000003</v>
      </c>
      <c r="U221" s="3"/>
      <c r="V221" s="7">
        <f t="shared" si="41"/>
        <v>7.0110242450456716E-5</v>
      </c>
      <c r="W221" s="3"/>
      <c r="X221" s="8">
        <f t="shared" si="42"/>
        <v>195.83999999999997</v>
      </c>
      <c r="Y221" s="3"/>
      <c r="Z221" s="7">
        <f t="shared" si="43"/>
        <v>0.65463297232250284</v>
      </c>
    </row>
    <row r="222" spans="1:26" s="69" customFormat="1" ht="15" hidden="1" customHeight="1" outlineLevel="2" x14ac:dyDescent="0.3">
      <c r="A222" s="25"/>
      <c r="B222" s="12" t="str">
        <f>CONCATENATE("          ","6294"," - ","TRAVEL OPERATIONAL")</f>
        <v xml:space="preserve">          6294 - TRAVEL OPERATIONAL</v>
      </c>
      <c r="C222" s="12"/>
      <c r="D222" s="8">
        <v>46.81</v>
      </c>
      <c r="E222" s="3"/>
      <c r="F222" s="7">
        <f t="shared" si="36"/>
        <v>6.449295243996776E-5</v>
      </c>
      <c r="G222" s="3"/>
      <c r="H222" s="8">
        <v>93.02</v>
      </c>
      <c r="I222" s="3"/>
      <c r="J222" s="7">
        <f t="shared" si="37"/>
        <v>5.0555661174241356E-4</v>
      </c>
      <c r="K222" s="3"/>
      <c r="L222" s="8">
        <f t="shared" si="38"/>
        <v>-46.209999999999994</v>
      </c>
      <c r="M222" s="3"/>
      <c r="N222" s="7">
        <f t="shared" si="39"/>
        <v>-0.49677488712104917</v>
      </c>
      <c r="O222" s="12"/>
      <c r="P222" s="8">
        <v>403.48</v>
      </c>
      <c r="Q222" s="3"/>
      <c r="R222" s="7">
        <f t="shared" si="40"/>
        <v>6.6184698976166269E-5</v>
      </c>
      <c r="S222" s="3"/>
      <c r="T222" s="8">
        <v>544.28</v>
      </c>
      <c r="U222" s="3"/>
      <c r="V222" s="7">
        <f t="shared" si="41"/>
        <v>1.2755583219994175E-4</v>
      </c>
      <c r="W222" s="3"/>
      <c r="X222" s="8">
        <f t="shared" si="42"/>
        <v>-140.79999999999995</v>
      </c>
      <c r="Y222" s="3"/>
      <c r="Z222" s="7">
        <f t="shared" si="43"/>
        <v>-0.25869037995149546</v>
      </c>
    </row>
    <row r="223" spans="1:26" s="69" customFormat="1" ht="15" hidden="1" customHeight="1" outlineLevel="2" x14ac:dyDescent="0.3">
      <c r="A223" s="25"/>
      <c r="B223" s="12" t="str">
        <f>CONCATENATE("          ","6298"," - ","VEHICLE MILEAGE")</f>
        <v xml:space="preserve">          6298 - VEHICLE MILEAGE</v>
      </c>
      <c r="C223" s="12"/>
      <c r="D223" s="8"/>
      <c r="E223" s="3"/>
      <c r="F223" s="7">
        <f t="shared" si="36"/>
        <v>0</v>
      </c>
      <c r="G223" s="3"/>
      <c r="H223" s="8"/>
      <c r="I223" s="3"/>
      <c r="J223" s="7">
        <f t="shared" si="37"/>
        <v>0</v>
      </c>
      <c r="K223" s="3"/>
      <c r="L223" s="8">
        <f t="shared" si="38"/>
        <v>0</v>
      </c>
      <c r="M223" s="3"/>
      <c r="N223" s="7">
        <f t="shared" si="39"/>
        <v>0</v>
      </c>
      <c r="O223" s="12"/>
      <c r="P223" s="8">
        <v>237.09</v>
      </c>
      <c r="Q223" s="3"/>
      <c r="R223" s="7">
        <f t="shared" si="40"/>
        <v>3.8890974224891598E-5</v>
      </c>
      <c r="S223" s="3"/>
      <c r="T223" s="8">
        <v>59.89</v>
      </c>
      <c r="U223" s="3"/>
      <c r="V223" s="7">
        <f t="shared" si="41"/>
        <v>1.4035641196543162E-5</v>
      </c>
      <c r="W223" s="3"/>
      <c r="X223" s="8">
        <f t="shared" si="42"/>
        <v>177.2</v>
      </c>
      <c r="Y223" s="3"/>
      <c r="Z223" s="7">
        <f t="shared" si="43"/>
        <v>2.9587577224912338</v>
      </c>
    </row>
    <row r="224" spans="1:26" s="68" customFormat="1" ht="15" customHeight="1" outlineLevel="1" collapsed="1" x14ac:dyDescent="0.3">
      <c r="A224" s="26"/>
      <c r="B224" s="14" t="str">
        <f>CONCATENATE("     ","Utilities                                         ")</f>
        <v xml:space="preserve">     Utilities                                         </v>
      </c>
      <c r="C224" s="14"/>
      <c r="D224" s="2">
        <f>SUM(OSRRefD22_25x_0)</f>
        <v>6237.83</v>
      </c>
      <c r="E224" s="2"/>
      <c r="F224" s="6">
        <f t="shared" si="36"/>
        <v>8.5942335722837878E-3</v>
      </c>
      <c r="G224" s="2"/>
      <c r="H224" s="2">
        <f>SUM(OSRRefH22_25x_0)</f>
        <v>2247.4499999999998</v>
      </c>
      <c r="I224" s="2"/>
      <c r="J224" s="6">
        <f t="shared" si="37"/>
        <v>1.2214719491082427E-2</v>
      </c>
      <c r="K224" s="2"/>
      <c r="L224" s="2">
        <f t="shared" si="38"/>
        <v>3990.38</v>
      </c>
      <c r="M224" s="2"/>
      <c r="N224" s="6">
        <f t="shared" si="39"/>
        <v>1.7755144719571072</v>
      </c>
      <c r="O224" s="14"/>
      <c r="P224" s="2">
        <f>SUM(OSRRefP22_25x_0)</f>
        <v>49932.9</v>
      </c>
      <c r="Q224" s="2"/>
      <c r="R224" s="6">
        <f t="shared" si="40"/>
        <v>8.1907255762541202E-3</v>
      </c>
      <c r="S224" s="2"/>
      <c r="T224" s="2">
        <f>SUM(OSRRefT22_25x_0)</f>
        <v>57165.62</v>
      </c>
      <c r="U224" s="2"/>
      <c r="V224" s="6">
        <f t="shared" si="41"/>
        <v>1.339716365166024E-2</v>
      </c>
      <c r="W224" s="2"/>
      <c r="X224" s="2">
        <f t="shared" si="42"/>
        <v>-7232.7200000000012</v>
      </c>
      <c r="Y224" s="2"/>
      <c r="Z224" s="6">
        <f t="shared" si="43"/>
        <v>-0.12652219988167715</v>
      </c>
    </row>
    <row r="225" spans="1:26" s="69" customFormat="1" ht="15" hidden="1" customHeight="1" outlineLevel="2" x14ac:dyDescent="0.3">
      <c r="A225" s="25"/>
      <c r="B225" s="12" t="str">
        <f>CONCATENATE("          ","6274"," - ","UTILITIES")</f>
        <v xml:space="preserve">          6274 - UTILITIES</v>
      </c>
      <c r="C225" s="12"/>
      <c r="D225" s="8">
        <v>6237.83</v>
      </c>
      <c r="E225" s="3"/>
      <c r="F225" s="7">
        <f t="shared" si="36"/>
        <v>8.5942335722837878E-3</v>
      </c>
      <c r="G225" s="3"/>
      <c r="H225" s="8">
        <v>2247.4499999999998</v>
      </c>
      <c r="I225" s="3"/>
      <c r="J225" s="7">
        <f t="shared" si="37"/>
        <v>1.2214719491082427E-2</v>
      </c>
      <c r="K225" s="3"/>
      <c r="L225" s="8">
        <f t="shared" si="38"/>
        <v>3990.38</v>
      </c>
      <c r="M225" s="3"/>
      <c r="N225" s="7">
        <f t="shared" si="39"/>
        <v>1.7755144719571072</v>
      </c>
      <c r="O225" s="12"/>
      <c r="P225" s="8">
        <v>49932.9</v>
      </c>
      <c r="Q225" s="3"/>
      <c r="R225" s="7">
        <f t="shared" si="40"/>
        <v>8.1907255762541202E-3</v>
      </c>
      <c r="S225" s="3"/>
      <c r="T225" s="8">
        <v>57165.62</v>
      </c>
      <c r="U225" s="3"/>
      <c r="V225" s="7">
        <f t="shared" si="41"/>
        <v>1.339716365166024E-2</v>
      </c>
      <c r="W225" s="3"/>
      <c r="X225" s="8">
        <f t="shared" si="42"/>
        <v>-7232.7200000000012</v>
      </c>
      <c r="Y225" s="3"/>
      <c r="Z225" s="7">
        <f t="shared" si="43"/>
        <v>-0.12652219988167715</v>
      </c>
    </row>
    <row r="226" spans="1:26" s="64" customFormat="1" ht="15" customHeight="1" x14ac:dyDescent="0.3">
      <c r="A226" s="36"/>
      <c r="B226" s="36"/>
      <c r="C226" s="36"/>
      <c r="D226" s="2"/>
      <c r="E226" s="2"/>
      <c r="F226" s="6"/>
      <c r="G226" s="2"/>
      <c r="H226" s="2"/>
      <c r="I226" s="2"/>
      <c r="J226" s="6"/>
      <c r="K226" s="2"/>
      <c r="L226" s="2"/>
      <c r="M226" s="2"/>
      <c r="N226" s="6"/>
      <c r="O226" s="36"/>
      <c r="P226" s="2"/>
      <c r="Q226" s="2"/>
      <c r="R226" s="6"/>
      <c r="S226" s="2"/>
      <c r="T226" s="2"/>
      <c r="U226" s="2"/>
      <c r="V226" s="6"/>
      <c r="W226" s="2"/>
      <c r="X226" s="2"/>
      <c r="Y226" s="2"/>
      <c r="Z226" s="6"/>
    </row>
    <row r="227" spans="1:26" s="62" customFormat="1" ht="15" customHeight="1" collapsed="1" x14ac:dyDescent="0.3">
      <c r="A227" s="11"/>
      <c r="B227" s="28" t="s">
        <v>290</v>
      </c>
      <c r="C227" s="11"/>
      <c r="D227" s="5">
        <f>SUM(OSRRefD25x_0)</f>
        <v>182868.54</v>
      </c>
      <c r="E227" s="5"/>
      <c r="F227" s="13">
        <f>IF(D$12=0,0,D227/D$12)</f>
        <v>0.25194898639150487</v>
      </c>
      <c r="G227" s="5"/>
      <c r="H227" s="5">
        <f>SUM(OSRRefH25x_0)</f>
        <v>189046.82</v>
      </c>
      <c r="I227" s="5"/>
      <c r="J227" s="13">
        <f>IF(H$12=0,0,H227/H$12)</f>
        <v>1.0274550610608251</v>
      </c>
      <c r="K227" s="5"/>
      <c r="L227" s="5">
        <f>+D227-H227</f>
        <v>-6178.2799999999988</v>
      </c>
      <c r="M227" s="5"/>
      <c r="N227" s="13">
        <f>IF(H227=0,0,L227/H227)</f>
        <v>-3.2681216219347137E-2</v>
      </c>
      <c r="O227" s="11"/>
      <c r="P227" s="5">
        <f>SUM(OSRRefP25x_0)</f>
        <v>910907.34000000008</v>
      </c>
      <c r="Q227" s="5"/>
      <c r="R227" s="13">
        <f>IF(P$12=0,0,P227/P$12)</f>
        <v>0.14942036307395742</v>
      </c>
      <c r="S227" s="5"/>
      <c r="T227" s="5">
        <f>SUM(OSRRefT25x_0)</f>
        <v>962302.23</v>
      </c>
      <c r="U227" s="5"/>
      <c r="V227" s="13">
        <f>IF(T$12=0,0,T227/T$12)</f>
        <v>0.22552227121244536</v>
      </c>
      <c r="W227" s="5"/>
      <c r="X227" s="5">
        <f>+P227-T227</f>
        <v>-51394.889999999898</v>
      </c>
      <c r="Y227" s="5"/>
      <c r="Z227" s="13">
        <f>IF(T227=0,0,X227/T227)</f>
        <v>-5.3408262391743497E-2</v>
      </c>
    </row>
    <row r="228" spans="1:26" s="69" customFormat="1" ht="15" hidden="1" customHeight="1" outlineLevel="1" x14ac:dyDescent="0.3">
      <c r="A228" s="42"/>
      <c r="B228" s="12" t="str">
        <f>CONCATENATE("          ","9150"," - ","MISC. INCOME")</f>
        <v xml:space="preserve">          9150 - MISC. INCOME</v>
      </c>
      <c r="C228" s="12"/>
      <c r="D228" s="3">
        <f>--7296.65</f>
        <v>7296.65</v>
      </c>
      <c r="E228" s="3"/>
      <c r="F228" s="20">
        <f>IF(D$12=0,0,D228/D$12)</f>
        <v>1.0053033570200614E-2</v>
      </c>
      <c r="G228" s="3"/>
      <c r="H228" s="3">
        <f>--15917.25</f>
        <v>15917.25</v>
      </c>
      <c r="I228" s="3"/>
      <c r="J228" s="20">
        <f>IF(H$12=0,0,H228/H$12)</f>
        <v>8.6509040832691175E-2</v>
      </c>
      <c r="K228" s="3"/>
      <c r="L228" s="3">
        <f>+D228-H228</f>
        <v>-8620.6</v>
      </c>
      <c r="M228" s="3"/>
      <c r="N228" s="20">
        <f>IF(H228=0,0,L228/H228)</f>
        <v>-0.54158852816912473</v>
      </c>
      <c r="O228" s="12"/>
      <c r="P228" s="3">
        <f>--327930.42</f>
        <v>327930.42</v>
      </c>
      <c r="Q228" s="3"/>
      <c r="R228" s="20">
        <f>IF(P$12=0,0,P228/P$12)</f>
        <v>5.3791950363903475E-2</v>
      </c>
      <c r="S228" s="3"/>
      <c r="T228" s="3">
        <f>--316528.75</f>
        <v>316528.75</v>
      </c>
      <c r="U228" s="3"/>
      <c r="V228" s="20">
        <f>IF(T$12=0,0,T228/T$12)</f>
        <v>7.4180730729509287E-2</v>
      </c>
      <c r="W228" s="3"/>
      <c r="X228" s="3">
        <f>+P228-T228</f>
        <v>11401.669999999984</v>
      </c>
      <c r="Y228" s="3"/>
      <c r="Z228" s="20">
        <f>IF(T228=0,0,X228/T228)</f>
        <v>3.6020961760977424E-2</v>
      </c>
    </row>
    <row r="229" spans="1:26" s="69" customFormat="1" ht="15" hidden="1" customHeight="1" outlineLevel="1" x14ac:dyDescent="0.3">
      <c r="A229" s="42"/>
      <c r="B229" s="12" t="str">
        <f>CONCATENATE("          ","9151"," - ","MISC. INCOME")</f>
        <v xml:space="preserve">          9151 - MISC. INCOME</v>
      </c>
      <c r="C229" s="12"/>
      <c r="D229" s="3">
        <f>0</f>
        <v>0</v>
      </c>
      <c r="E229" s="3"/>
      <c r="F229" s="20">
        <f>IF(D$12=0,0,D229/D$12)</f>
        <v>0</v>
      </c>
      <c r="G229" s="3"/>
      <c r="H229" s="3">
        <f>-2282.24</f>
        <v>-2282.2399999999998</v>
      </c>
      <c r="I229" s="3"/>
      <c r="J229" s="20">
        <f>IF(H$12=0,0,H229/H$12)</f>
        <v>-1.2403800490034464E-2</v>
      </c>
      <c r="K229" s="3"/>
      <c r="L229" s="3">
        <f>+D229-H229</f>
        <v>2282.2399999999998</v>
      </c>
      <c r="M229" s="3"/>
      <c r="N229" s="20">
        <f>IF(H229=0,0,L229/H229)</f>
        <v>-1</v>
      </c>
      <c r="O229" s="12"/>
      <c r="P229" s="3">
        <f>--323761.7</f>
        <v>323761.7</v>
      </c>
      <c r="Q229" s="3"/>
      <c r="R229" s="20">
        <f>IF(P$12=0,0,P229/P$12)</f>
        <v>5.3108135854346809E-2</v>
      </c>
      <c r="S229" s="3"/>
      <c r="T229" s="3">
        <f>--295628.46</f>
        <v>295628.46000000002</v>
      </c>
      <c r="U229" s="3"/>
      <c r="V229" s="20">
        <f>IF(T$12=0,0,T229/T$12)</f>
        <v>6.9282601303166019E-2</v>
      </c>
      <c r="W229" s="3"/>
      <c r="X229" s="3">
        <f>+P229-T229</f>
        <v>28133.239999999991</v>
      </c>
      <c r="Y229" s="3"/>
      <c r="Z229" s="20">
        <f>IF(T229=0,0,X229/T229)</f>
        <v>9.5164180065748699E-2</v>
      </c>
    </row>
    <row r="230" spans="1:26" s="69" customFormat="1" ht="15" hidden="1" customHeight="1" outlineLevel="1" x14ac:dyDescent="0.3">
      <c r="A230" s="42"/>
      <c r="B230" s="12" t="str">
        <f>CONCATENATE("          ","9152"," - ","MISC. INCOME")</f>
        <v xml:space="preserve">          9152 - MISC. INCOME</v>
      </c>
      <c r="C230" s="12"/>
      <c r="D230" s="3">
        <f>--516.89</f>
        <v>516.89</v>
      </c>
      <c r="E230" s="3"/>
      <c r="F230" s="20">
        <f>IF(D$12=0,0,D230/D$12)</f>
        <v>7.1215044192896677E-4</v>
      </c>
      <c r="G230" s="3"/>
      <c r="H230" s="3">
        <f>--397.11</f>
        <v>397.11</v>
      </c>
      <c r="I230" s="3"/>
      <c r="J230" s="20">
        <f>IF(H$12=0,0,H230/H$12)</f>
        <v>2.1582625896477089E-3</v>
      </c>
      <c r="K230" s="3"/>
      <c r="L230" s="3">
        <f>+D230-H230</f>
        <v>119.77999999999997</v>
      </c>
      <c r="M230" s="3"/>
      <c r="N230" s="20">
        <f>IF(H230=0,0,L230/H230)</f>
        <v>0.30162927148648983</v>
      </c>
      <c r="O230" s="12"/>
      <c r="P230" s="3">
        <f>--4384.52</f>
        <v>4384.5200000000004</v>
      </c>
      <c r="Q230" s="3"/>
      <c r="R230" s="20">
        <f>IF(P$12=0,0,P230/P$12)</f>
        <v>7.1921318616779159E-4</v>
      </c>
      <c r="S230" s="3"/>
      <c r="T230" s="3">
        <f>--3710.56</f>
        <v>3710.56</v>
      </c>
      <c r="U230" s="3"/>
      <c r="V230" s="20">
        <f>IF(T$12=0,0,T230/T$12)</f>
        <v>8.6959573882526618E-4</v>
      </c>
      <c r="W230" s="3"/>
      <c r="X230" s="3">
        <f>+P230-T230</f>
        <v>673.96000000000049</v>
      </c>
      <c r="Y230" s="3"/>
      <c r="Z230" s="20">
        <f>IF(T230=0,0,X230/T230)</f>
        <v>0.18163296106248128</v>
      </c>
    </row>
    <row r="231" spans="1:26" s="69" customFormat="1" ht="15" hidden="1" customHeight="1" outlineLevel="1" x14ac:dyDescent="0.3">
      <c r="A231" s="42"/>
      <c r="B231" s="12" t="str">
        <f>CONCATENATE("          ","9163"," - ","MISC. INCOME")</f>
        <v xml:space="preserve">          9163 - MISC. INCOME</v>
      </c>
      <c r="C231" s="12"/>
      <c r="D231" s="3">
        <f>--175055</f>
        <v>175055</v>
      </c>
      <c r="E231" s="3"/>
      <c r="F231" s="20">
        <f>IF(D$12=0,0,D231/D$12)</f>
        <v>0.24118380237937528</v>
      </c>
      <c r="G231" s="3"/>
      <c r="H231" s="3">
        <f>--175014.7</f>
        <v>175014.7</v>
      </c>
      <c r="I231" s="3"/>
      <c r="J231" s="20">
        <f>IF(H$12=0,0,H231/H$12)</f>
        <v>0.95119155812852074</v>
      </c>
      <c r="K231" s="3"/>
      <c r="L231" s="3">
        <f>+D231-H231</f>
        <v>40.299999999988358</v>
      </c>
      <c r="M231" s="3"/>
      <c r="N231" s="20">
        <f>IF(H231=0,0,L231/H231)</f>
        <v>2.3026637191040728E-4</v>
      </c>
      <c r="O231" s="12"/>
      <c r="P231" s="3">
        <f>--254830.7</f>
        <v>254830.7</v>
      </c>
      <c r="Q231" s="3"/>
      <c r="R231" s="20">
        <f>IF(P$12=0,0,P231/P$12)</f>
        <v>4.180106366953934E-2</v>
      </c>
      <c r="S231" s="3"/>
      <c r="T231" s="3">
        <f>--346434.46</f>
        <v>346434.46</v>
      </c>
      <c r="U231" s="3"/>
      <c r="V231" s="20">
        <f>IF(T$12=0,0,T231/T$12)</f>
        <v>8.1189343440944806E-2</v>
      </c>
      <c r="W231" s="3"/>
      <c r="X231" s="3">
        <f>+P231-T231</f>
        <v>-91603.760000000009</v>
      </c>
      <c r="Y231" s="3"/>
      <c r="Z231" s="20">
        <f>IF(T231=0,0,X231/T231)</f>
        <v>-0.26441873016904843</v>
      </c>
    </row>
    <row r="232" spans="1:26" ht="15" customHeight="1" x14ac:dyDescent="0.3">
      <c r="A232" s="10"/>
      <c r="B232" s="11"/>
      <c r="C232" s="11"/>
      <c r="D232" s="4"/>
      <c r="E232" s="4"/>
      <c r="F232" s="9"/>
      <c r="G232" s="4"/>
      <c r="H232" s="4"/>
      <c r="I232" s="4"/>
      <c r="J232" s="9"/>
      <c r="K232" s="4"/>
      <c r="L232" s="4"/>
      <c r="M232" s="4"/>
      <c r="N232" s="9"/>
      <c r="O232" s="11"/>
      <c r="P232" s="4"/>
      <c r="Q232" s="4"/>
      <c r="R232" s="9"/>
      <c r="S232" s="4"/>
      <c r="T232" s="4"/>
      <c r="U232" s="4"/>
      <c r="V232" s="9"/>
      <c r="W232" s="4"/>
      <c r="X232" s="4"/>
      <c r="Y232" s="4"/>
      <c r="Z232" s="9"/>
    </row>
    <row r="233" spans="1:26" s="62" customFormat="1" ht="15" customHeight="1" x14ac:dyDescent="0.3">
      <c r="A233" s="11"/>
      <c r="B233" s="27" t="s">
        <v>291</v>
      </c>
      <c r="C233" s="27"/>
      <c r="D233" s="22">
        <f>+D132-D134+D227</f>
        <v>229621.38999999981</v>
      </c>
      <c r="E233" s="15"/>
      <c r="F233" s="21">
        <f>IF(D$12=0,0,D233/D$12)</f>
        <v>0.31636319983912148</v>
      </c>
      <c r="G233" s="15"/>
      <c r="H233" s="22">
        <f>+H132-H134+H227</f>
        <v>33778.540000000095</v>
      </c>
      <c r="I233" s="15"/>
      <c r="J233" s="21">
        <f>IF(H$12=0,0,H233/H$12)</f>
        <v>0.18358379092674301</v>
      </c>
      <c r="K233" s="17"/>
      <c r="L233" s="22">
        <f>+D233-H233</f>
        <v>195842.84999999971</v>
      </c>
      <c r="M233" s="17"/>
      <c r="N233" s="21">
        <f>IF(H233=0,0,L233/H233)</f>
        <v>5.79784827881842</v>
      </c>
      <c r="O233" s="28"/>
      <c r="P233" s="22">
        <f>+P132-P134+P227</f>
        <v>428430.4700000009</v>
      </c>
      <c r="Q233" s="15"/>
      <c r="R233" s="21">
        <f>IF(P$12=0,0,P233/P$12)</f>
        <v>7.0277440490650073E-2</v>
      </c>
      <c r="S233" s="15"/>
      <c r="T233" s="22">
        <f>+T132-T134+T227</f>
        <v>-120184.59999999916</v>
      </c>
      <c r="U233" s="15"/>
      <c r="V233" s="21">
        <f>IF(T$12=0,0,T233/T$12)</f>
        <v>-2.8166103238437962E-2</v>
      </c>
      <c r="W233" s="17"/>
      <c r="X233" s="22">
        <f>+P233-T233</f>
        <v>548615.07000000007</v>
      </c>
      <c r="Y233" s="17"/>
      <c r="Z233" s="21">
        <f>IF(T233=0,0,X233/T233)</f>
        <v>-4.564770111977773</v>
      </c>
    </row>
    <row r="234" spans="1:26" ht="15" customHeight="1" x14ac:dyDescent="0.3">
      <c r="A234" s="10"/>
      <c r="B234" s="11"/>
      <c r="C234" s="10"/>
      <c r="D234" s="4"/>
      <c r="E234" s="4"/>
      <c r="F234" s="9"/>
      <c r="G234" s="4"/>
      <c r="H234" s="4"/>
      <c r="I234" s="4"/>
      <c r="J234" s="9"/>
      <c r="K234" s="4"/>
      <c r="L234" s="4"/>
      <c r="M234" s="4"/>
      <c r="N234" s="9"/>
      <c r="P234" s="4"/>
      <c r="Q234" s="4"/>
      <c r="R234" s="9"/>
      <c r="S234" s="4"/>
      <c r="T234" s="4"/>
      <c r="U234" s="4"/>
      <c r="V234" s="9"/>
      <c r="W234" s="4"/>
      <c r="X234" s="4"/>
      <c r="Y234" s="4"/>
      <c r="Z234" s="9"/>
    </row>
    <row r="235" spans="1:26" s="62" customFormat="1" ht="15" customHeight="1" x14ac:dyDescent="0.3">
      <c r="A235" s="48"/>
      <c r="B235" s="11" t="s">
        <v>292</v>
      </c>
      <c r="C235" s="11"/>
      <c r="D235" s="5">
        <v>57220.2</v>
      </c>
      <c r="E235" s="5"/>
      <c r="F235" s="13">
        <f>IF(D$12=0,0,D235/D$12)</f>
        <v>7.8835711113126331E-2</v>
      </c>
      <c r="G235" s="5"/>
      <c r="H235" s="5">
        <v>70811.44</v>
      </c>
      <c r="I235" s="5"/>
      <c r="J235" s="13">
        <f>IF(H$12=0,0,H235/H$12)</f>
        <v>0.38485478046657939</v>
      </c>
      <c r="K235" s="5"/>
      <c r="L235" s="5">
        <f>+D235-H235</f>
        <v>-13591.240000000005</v>
      </c>
      <c r="M235" s="5"/>
      <c r="N235" s="13">
        <f>IF(H235=0,0,L235/H235)</f>
        <v>-0.1919356533351109</v>
      </c>
      <c r="O235" s="11"/>
      <c r="P235" s="5">
        <v>727575.23</v>
      </c>
      <c r="Q235" s="5"/>
      <c r="R235" s="13">
        <f>IF(P$12=0,0,P235/P$12)</f>
        <v>0.11934754530600014</v>
      </c>
      <c r="S235" s="5"/>
      <c r="T235" s="5">
        <v>879391.28</v>
      </c>
      <c r="U235" s="5"/>
      <c r="V235" s="13">
        <f>IF(T$12=0,0,T235/T$12)</f>
        <v>0.20609150905741899</v>
      </c>
      <c r="W235" s="5"/>
      <c r="X235" s="5">
        <f>+P235-T235</f>
        <v>-151816.05000000005</v>
      </c>
      <c r="Y235" s="5"/>
      <c r="Z235" s="13">
        <f>IF(T235=0,0,X235/T235)</f>
        <v>-0.1726376568118802</v>
      </c>
    </row>
    <row r="236" spans="1:26" ht="15" customHeight="1" x14ac:dyDescent="0.3">
      <c r="A236" s="10"/>
      <c r="B236" s="11"/>
      <c r="C236" s="11"/>
      <c r="D236" s="4"/>
      <c r="E236" s="4"/>
      <c r="F236" s="9"/>
      <c r="G236" s="4"/>
      <c r="H236" s="4"/>
      <c r="I236" s="4"/>
      <c r="J236" s="9"/>
      <c r="K236" s="4"/>
      <c r="L236" s="4"/>
      <c r="M236" s="4"/>
      <c r="N236" s="9"/>
      <c r="O236" s="11"/>
      <c r="P236" s="4"/>
      <c r="Q236" s="4"/>
      <c r="R236" s="9"/>
      <c r="S236" s="4"/>
      <c r="T236" s="4"/>
      <c r="U236" s="4"/>
      <c r="V236" s="9"/>
      <c r="W236" s="4"/>
      <c r="X236" s="4"/>
      <c r="Y236" s="4"/>
      <c r="Z236" s="9"/>
    </row>
    <row r="237" spans="1:26" s="62" customFormat="1" ht="15" customHeight="1" x14ac:dyDescent="0.3">
      <c r="A237" s="11"/>
      <c r="B237" s="27" t="s">
        <v>293</v>
      </c>
      <c r="C237" s="27"/>
      <c r="D237" s="34">
        <f>+D233-D235</f>
        <v>172401.18999999983</v>
      </c>
      <c r="E237" s="15"/>
      <c r="F237" s="33">
        <f>IF(D$12=0,0,D237/D$12)</f>
        <v>0.23752748872599519</v>
      </c>
      <c r="G237" s="15"/>
      <c r="H237" s="34">
        <f>+H233-H235</f>
        <v>-37032.899999999907</v>
      </c>
      <c r="I237" s="15"/>
      <c r="J237" s="33">
        <f>IF(H$12=0,0,H237/H$12)</f>
        <v>-0.20127098953983638</v>
      </c>
      <c r="K237" s="17"/>
      <c r="L237" s="34">
        <f>D237-H237</f>
        <v>209434.08999999973</v>
      </c>
      <c r="M237" s="17"/>
      <c r="N237" s="33">
        <f>IF(H237=0,0,L237/H237)</f>
        <v>-5.6553521328332446</v>
      </c>
      <c r="O237" s="28"/>
      <c r="P237" s="34">
        <f>+P233-P235</f>
        <v>-299144.75999999908</v>
      </c>
      <c r="Q237" s="15"/>
      <c r="R237" s="33">
        <f>IF(P$12=0,0,P237/P$12)</f>
        <v>-4.9070104815350062E-2</v>
      </c>
      <c r="S237" s="15"/>
      <c r="T237" s="34">
        <f>+T233-T235</f>
        <v>-999575.87999999919</v>
      </c>
      <c r="U237" s="15"/>
      <c r="V237" s="33">
        <f>IF(T$12=0,0,T237/T$12)</f>
        <v>-0.23425761229585695</v>
      </c>
      <c r="W237" s="17"/>
      <c r="X237" s="34">
        <f>P237-T237</f>
        <v>700431.12000000011</v>
      </c>
      <c r="Y237" s="17"/>
      <c r="Z237" s="33">
        <f>IF(T237=0,0,X237/T237)</f>
        <v>-0.7007283128920645</v>
      </c>
    </row>
    <row r="238" spans="1:26" ht="15" customHeight="1" x14ac:dyDescent="0.3">
      <c r="A238" s="10"/>
      <c r="B238" s="10"/>
      <c r="C238" s="10"/>
      <c r="D238" s="4"/>
      <c r="E238" s="4"/>
      <c r="F238" s="9"/>
      <c r="G238" s="4"/>
      <c r="H238" s="4"/>
      <c r="I238" s="4"/>
      <c r="J238" s="9"/>
      <c r="K238" s="4"/>
      <c r="L238" s="4"/>
      <c r="M238" s="4"/>
      <c r="N238" s="9"/>
      <c r="P238" s="4"/>
      <c r="Q238" s="4"/>
      <c r="R238" s="9"/>
      <c r="S238" s="4"/>
      <c r="T238" s="4"/>
      <c r="U238" s="4"/>
      <c r="V238" s="9"/>
      <c r="W238" s="4"/>
      <c r="X238" s="4"/>
      <c r="Y238" s="4"/>
      <c r="Z238" s="9"/>
    </row>
    <row r="239" spans="1:26" ht="15" customHeight="1" x14ac:dyDescent="0.3">
      <c r="A239" s="10"/>
      <c r="B239" s="10"/>
      <c r="C239" s="10"/>
      <c r="D239" s="4"/>
      <c r="E239" s="4"/>
      <c r="F239" s="9"/>
      <c r="G239" s="4"/>
      <c r="H239" s="4"/>
      <c r="I239" s="4"/>
      <c r="J239" s="9"/>
      <c r="K239" s="4"/>
      <c r="L239" s="4"/>
      <c r="M239" s="4"/>
      <c r="N239" s="9"/>
      <c r="P239" s="4"/>
      <c r="Q239" s="4"/>
      <c r="R239" s="9"/>
      <c r="S239" s="4"/>
      <c r="T239" s="4"/>
      <c r="U239" s="4"/>
      <c r="V239" s="9"/>
      <c r="W239" s="4"/>
      <c r="X239" s="4"/>
      <c r="Y239" s="4"/>
      <c r="Z239" s="9"/>
    </row>
    <row r="240" spans="1:26" s="62" customFormat="1" ht="15" customHeight="1" x14ac:dyDescent="0.3">
      <c r="A240" s="11"/>
      <c r="B240" s="27" t="s">
        <v>296</v>
      </c>
      <c r="C240" s="27"/>
      <c r="D240" s="31">
        <f>SUM(D237:D239)</f>
        <v>172401.18999999983</v>
      </c>
      <c r="E240" s="15"/>
      <c r="F240" s="32">
        <f>IF(D$12=0,0,D240/D$12)</f>
        <v>0.23752748872599519</v>
      </c>
      <c r="G240" s="15"/>
      <c r="H240" s="31">
        <f>SUM(H237:H239)</f>
        <v>-37032.899999999907</v>
      </c>
      <c r="I240" s="15"/>
      <c r="J240" s="32">
        <f>IF(H$12=0,0,H240/H$12)</f>
        <v>-0.20127098953983638</v>
      </c>
      <c r="K240" s="17"/>
      <c r="L240" s="31">
        <f>+D240-H240</f>
        <v>209434.08999999973</v>
      </c>
      <c r="M240" s="17"/>
      <c r="N240" s="32">
        <f>IF(H240=0,0,L240/H240)</f>
        <v>-5.6553521328332446</v>
      </c>
      <c r="O240" s="28"/>
      <c r="P240" s="31">
        <f>SUM(P237:P239)</f>
        <v>-299144.75999999908</v>
      </c>
      <c r="Q240" s="15"/>
      <c r="R240" s="32">
        <f>IF(P$12=0,0,P240/P$12)</f>
        <v>-4.9070104815350062E-2</v>
      </c>
      <c r="S240" s="15"/>
      <c r="T240" s="31">
        <f>SUM(T237:T239)</f>
        <v>-999575.87999999919</v>
      </c>
      <c r="U240" s="15"/>
      <c r="V240" s="32">
        <f>IF(T$12=0,0,T240/T$12)</f>
        <v>-0.23425761229585695</v>
      </c>
      <c r="W240" s="17"/>
      <c r="X240" s="31">
        <f>+P240-T240</f>
        <v>700431.12000000011</v>
      </c>
      <c r="Y240" s="17"/>
      <c r="Z240" s="32">
        <f>IF(T240=0,0,X240/T240)</f>
        <v>-0.7007283128920645</v>
      </c>
    </row>
    <row r="241" spans="1:24" ht="15" customHeight="1" x14ac:dyDescent="0.3">
      <c r="A241" s="10"/>
      <c r="C241" s="10"/>
      <c r="D241" s="19"/>
      <c r="E241" s="19"/>
      <c r="G241" s="19"/>
      <c r="H241" s="19"/>
      <c r="I241" s="19"/>
      <c r="J241" s="40"/>
      <c r="K241" s="19"/>
      <c r="L241" s="19"/>
      <c r="M241" s="19"/>
      <c r="P241" s="19"/>
      <c r="Q241" s="19"/>
      <c r="R241" s="40"/>
      <c r="S241" s="19"/>
      <c r="T241" s="19"/>
      <c r="U241" s="19"/>
      <c r="V241" s="40"/>
      <c r="W241" s="19"/>
      <c r="X241" s="19"/>
    </row>
    <row r="242" spans="1:24" ht="15" customHeight="1" x14ac:dyDescent="0.3">
      <c r="A242" s="10"/>
      <c r="B242" s="56">
        <v>44663.038566585645</v>
      </c>
      <c r="D242" s="19"/>
      <c r="E242" s="19"/>
      <c r="G242" s="19"/>
      <c r="H242" s="19"/>
      <c r="I242" s="19"/>
      <c r="J242" s="40"/>
      <c r="K242" s="19"/>
      <c r="L242" s="19"/>
      <c r="M242" s="19"/>
      <c r="P242" s="19"/>
      <c r="Q242" s="19"/>
      <c r="R242" s="40"/>
      <c r="S242" s="19"/>
      <c r="T242" s="19"/>
      <c r="U242" s="19"/>
      <c r="V242" s="40"/>
      <c r="W242" s="19"/>
      <c r="X242" s="19"/>
    </row>
    <row r="243" spans="1:24" ht="15" customHeight="1" x14ac:dyDescent="0.3">
      <c r="A243" s="10"/>
      <c r="B243" s="57" t="s">
        <v>297</v>
      </c>
      <c r="D243" s="19"/>
      <c r="E243" s="19"/>
      <c r="G243" s="19"/>
      <c r="H243" s="19"/>
      <c r="I243" s="19"/>
      <c r="J243" s="40"/>
      <c r="K243" s="19"/>
      <c r="L243" s="19"/>
      <c r="M243" s="19"/>
      <c r="P243" s="19"/>
      <c r="Q243" s="19"/>
      <c r="R243" s="40"/>
      <c r="S243" s="19"/>
      <c r="T243" s="19"/>
      <c r="U243" s="19"/>
      <c r="V243" s="40"/>
      <c r="W243" s="19"/>
      <c r="X243" s="19"/>
    </row>
    <row r="244" spans="1:24" ht="15" customHeight="1" x14ac:dyDescent="0.3">
      <c r="A244" s="10"/>
      <c r="B244" s="58"/>
      <c r="D244" s="19"/>
      <c r="E244" s="19"/>
      <c r="G244" s="19"/>
      <c r="H244" s="19"/>
      <c r="I244" s="19"/>
      <c r="J244" s="40"/>
      <c r="K244" s="19"/>
      <c r="L244" s="19"/>
      <c r="M244" s="19"/>
      <c r="P244" s="19"/>
      <c r="Q244" s="19"/>
      <c r="R244" s="40"/>
      <c r="S244" s="19"/>
      <c r="T244" s="19"/>
      <c r="U244" s="19"/>
      <c r="V244" s="40"/>
      <c r="W244" s="19"/>
      <c r="X244" s="19"/>
    </row>
    <row r="245" spans="1:24" ht="15" customHeight="1" x14ac:dyDescent="0.3">
      <c r="D245" s="19"/>
      <c r="E245" s="19"/>
      <c r="G245" s="19"/>
      <c r="H245" s="19"/>
      <c r="I245" s="19"/>
      <c r="J245" s="40"/>
      <c r="K245" s="19"/>
      <c r="L245" s="19"/>
      <c r="M245" s="19"/>
      <c r="P245" s="19"/>
      <c r="Q245" s="19"/>
      <c r="R245" s="40"/>
      <c r="S245" s="19"/>
      <c r="T245" s="19"/>
      <c r="U245" s="19"/>
      <c r="V245" s="40"/>
      <c r="W245" s="19"/>
      <c r="X24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F9D0C-B2D9-6768-5F82-183A371B5973}">
  <sheetPr>
    <tabColor rgb="FFFFFF00"/>
    <outlinePr summaryBelow="0" summaryRight="0"/>
  </sheetPr>
  <dimension ref="A2:Z23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301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592882.92999999993</v>
      </c>
      <c r="E12" s="5"/>
      <c r="F12" s="13"/>
      <c r="G12" s="5"/>
      <c r="H12" s="5">
        <f>SUM(OSRRefH13x_0)</f>
        <v>183894.67000000007</v>
      </c>
      <c r="I12" s="5"/>
      <c r="J12" s="13"/>
      <c r="K12" s="5"/>
      <c r="L12" s="5">
        <f t="shared" ref="L12:L43" si="0">+D12-H12</f>
        <v>408988.25999999989</v>
      </c>
      <c r="M12" s="5"/>
      <c r="N12" s="13">
        <f t="shared" ref="N12:N43" si="1">IF(H12=0,0,L12/H12)</f>
        <v>2.2240354220163083</v>
      </c>
      <c r="O12" s="11"/>
      <c r="P12" s="5">
        <f>SUM(OSRRefP13x_0)</f>
        <v>5788233.3700000001</v>
      </c>
      <c r="Q12" s="5"/>
      <c r="R12" s="13"/>
      <c r="S12" s="5"/>
      <c r="T12" s="5">
        <f>SUM(OSRRefT13x_0)</f>
        <v>4264173.2100000028</v>
      </c>
      <c r="U12" s="5"/>
      <c r="V12" s="13"/>
      <c r="W12" s="5"/>
      <c r="X12" s="5">
        <f t="shared" ref="X12:X43" si="2">+P12-T12</f>
        <v>1524060.1599999974</v>
      </c>
      <c r="Y12" s="5"/>
      <c r="Z12" s="13">
        <f t="shared" ref="Z12:Z43" si="3">IF(T12=0,0,X12/T12)</f>
        <v>0.35741047207601501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--524908.18</f>
        <v>524908.18000000005</v>
      </c>
      <c r="E13" s="3"/>
      <c r="F13" s="20"/>
      <c r="G13" s="3"/>
      <c r="H13" s="3">
        <f>-11562.13</f>
        <v>-11562.13</v>
      </c>
      <c r="I13" s="3"/>
      <c r="J13" s="20"/>
      <c r="K13" s="3"/>
      <c r="L13" s="3">
        <f t="shared" si="0"/>
        <v>536470.31000000006</v>
      </c>
      <c r="M13" s="3"/>
      <c r="N13" s="20">
        <f t="shared" si="1"/>
        <v>-46.398916981559637</v>
      </c>
      <c r="O13" s="12"/>
      <c r="P13" s="3">
        <f>--4961415.59</f>
        <v>4961415.59</v>
      </c>
      <c r="Q13" s="3"/>
      <c r="R13" s="20"/>
      <c r="S13" s="3"/>
      <c r="T13" s="3">
        <f>-119923.26</f>
        <v>-119923.26</v>
      </c>
      <c r="U13" s="3"/>
      <c r="V13" s="20"/>
      <c r="W13" s="3"/>
      <c r="X13" s="3">
        <f t="shared" si="2"/>
        <v>5081338.8499999996</v>
      </c>
      <c r="Y13" s="3"/>
      <c r="Z13" s="20">
        <f t="shared" si="3"/>
        <v>-42.371587046582952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--7739.23</f>
        <v>7739.23</v>
      </c>
      <c r="I14" s="3"/>
      <c r="J14" s="20"/>
      <c r="K14" s="3"/>
      <c r="L14" s="3">
        <f t="shared" si="0"/>
        <v>-7739.23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--1232463.24</f>
        <v>1232463.24</v>
      </c>
      <c r="U14" s="3"/>
      <c r="V14" s="20"/>
      <c r="W14" s="3"/>
      <c r="X14" s="3">
        <f t="shared" si="2"/>
        <v>-1232463.24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--1662.85</f>
        <v>1662.85</v>
      </c>
      <c r="I15" s="3"/>
      <c r="J15" s="20"/>
      <c r="K15" s="3"/>
      <c r="L15" s="3">
        <f t="shared" si="0"/>
        <v>-1662.85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--576797.33</f>
        <v>576797.32999999996</v>
      </c>
      <c r="U15" s="3"/>
      <c r="V15" s="20"/>
      <c r="W15" s="3"/>
      <c r="X15" s="3">
        <f t="shared" si="2"/>
        <v>-576797.32999999996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--49.99</f>
        <v>49.99</v>
      </c>
      <c r="I16" s="3"/>
      <c r="J16" s="20"/>
      <c r="K16" s="3"/>
      <c r="L16" s="3">
        <f t="shared" si="0"/>
        <v>-49.99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--17977.88</f>
        <v>17977.88</v>
      </c>
      <c r="U16" s="3"/>
      <c r="V16" s="20"/>
      <c r="W16" s="3"/>
      <c r="X16" s="3">
        <f t="shared" si="2"/>
        <v>-17977.88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--29.21</f>
        <v>29.21</v>
      </c>
      <c r="I18" s="3"/>
      <c r="J18" s="20"/>
      <c r="K18" s="3"/>
      <c r="L18" s="3">
        <f t="shared" si="0"/>
        <v>-29.21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--1202.02</f>
        <v>1202.02</v>
      </c>
      <c r="U18" s="3"/>
      <c r="V18" s="20"/>
      <c r="W18" s="3"/>
      <c r="X18" s="3">
        <f t="shared" si="2"/>
        <v>-1202.02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--35.82</f>
        <v>35.82</v>
      </c>
      <c r="I19" s="3"/>
      <c r="J19" s="20"/>
      <c r="K19" s="3"/>
      <c r="L19" s="3">
        <f t="shared" si="0"/>
        <v>-35.82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--447.7</f>
        <v>447.7</v>
      </c>
      <c r="U19" s="3"/>
      <c r="V19" s="20"/>
      <c r="W19" s="3"/>
      <c r="X19" s="3">
        <f t="shared" si="2"/>
        <v>-447.7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--67.3</f>
        <v>67.3</v>
      </c>
      <c r="I20" s="3"/>
      <c r="J20" s="20"/>
      <c r="K20" s="3"/>
      <c r="L20" s="3">
        <f t="shared" si="0"/>
        <v>-67.3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--400.14</f>
        <v>400.14</v>
      </c>
      <c r="U20" s="3"/>
      <c r="V20" s="20"/>
      <c r="W20" s="3"/>
      <c r="X20" s="3">
        <f t="shared" si="2"/>
        <v>-400.14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--16.37</f>
        <v>16.37</v>
      </c>
      <c r="I21" s="3"/>
      <c r="J21" s="20"/>
      <c r="K21" s="3"/>
      <c r="L21" s="3">
        <f t="shared" si="0"/>
        <v>-16.37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--464.75</f>
        <v>464.75</v>
      </c>
      <c r="U21" s="3"/>
      <c r="V21" s="20"/>
      <c r="W21" s="3"/>
      <c r="X21" s="3">
        <f t="shared" si="2"/>
        <v>-464.75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--3028</f>
        <v>3028</v>
      </c>
      <c r="I22" s="3"/>
      <c r="J22" s="20"/>
      <c r="K22" s="3"/>
      <c r="L22" s="3">
        <f t="shared" si="0"/>
        <v>-3028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--57512.32</f>
        <v>57512.32</v>
      </c>
      <c r="U22" s="3"/>
      <c r="V22" s="20"/>
      <c r="W22" s="3"/>
      <c r="X22" s="3">
        <f t="shared" si="2"/>
        <v>-57512.32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--3372.76</f>
        <v>3372.76</v>
      </c>
      <c r="I23" s="3"/>
      <c r="J23" s="20"/>
      <c r="K23" s="3"/>
      <c r="L23" s="3">
        <f t="shared" si="0"/>
        <v>-3372.76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--44249.38</f>
        <v>44249.38</v>
      </c>
      <c r="U23" s="3"/>
      <c r="V23" s="20"/>
      <c r="W23" s="3"/>
      <c r="X23" s="3">
        <f t="shared" si="2"/>
        <v>-44249.38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--434.03</f>
        <v>434.03</v>
      </c>
      <c r="I24" s="3"/>
      <c r="J24" s="20"/>
      <c r="K24" s="3"/>
      <c r="L24" s="3">
        <f t="shared" si="0"/>
        <v>-434.03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--3614.87</f>
        <v>3614.87</v>
      </c>
      <c r="U24" s="3"/>
      <c r="V24" s="20"/>
      <c r="W24" s="3"/>
      <c r="X24" s="3">
        <f t="shared" si="2"/>
        <v>-3614.87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--82653.17</f>
        <v>82653.17</v>
      </c>
      <c r="I26" s="3"/>
      <c r="J26" s="20"/>
      <c r="K26" s="3"/>
      <c r="L26" s="3">
        <f t="shared" si="0"/>
        <v>-82653.17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--754001.15</f>
        <v>754001.15</v>
      </c>
      <c r="U26" s="3"/>
      <c r="V26" s="20"/>
      <c r="W26" s="3"/>
      <c r="X26" s="3">
        <f t="shared" si="2"/>
        <v>-754001.15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--47817.47</f>
        <v>47817.47</v>
      </c>
      <c r="I27" s="3"/>
      <c r="J27" s="20"/>
      <c r="K27" s="3"/>
      <c r="L27" s="3">
        <f t="shared" si="0"/>
        <v>-47817.47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--324016.78</f>
        <v>324016.78000000003</v>
      </c>
      <c r="U27" s="3"/>
      <c r="V27" s="20"/>
      <c r="W27" s="3"/>
      <c r="X27" s="3">
        <f t="shared" si="2"/>
        <v>-324016.78000000003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--11053.28</f>
        <v>11053.28</v>
      </c>
      <c r="I28" s="3"/>
      <c r="J28" s="20"/>
      <c r="K28" s="3"/>
      <c r="L28" s="3">
        <f t="shared" si="0"/>
        <v>-11053.28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--90048.2</f>
        <v>90048.2</v>
      </c>
      <c r="U28" s="3"/>
      <c r="V28" s="20"/>
      <c r="W28" s="3"/>
      <c r="X28" s="3">
        <f t="shared" si="2"/>
        <v>-90048.2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--8285.51</f>
        <v>8285.51</v>
      </c>
      <c r="I29" s="3"/>
      <c r="J29" s="20"/>
      <c r="K29" s="3"/>
      <c r="L29" s="3">
        <f t="shared" si="0"/>
        <v>-8285.51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--132436.17</f>
        <v>132436.17000000001</v>
      </c>
      <c r="U29" s="3"/>
      <c r="V29" s="20"/>
      <c r="W29" s="3"/>
      <c r="X29" s="3">
        <f t="shared" si="2"/>
        <v>-132436.17000000001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--1774.45</f>
        <v>1774.45</v>
      </c>
      <c r="I30" s="3"/>
      <c r="J30" s="20"/>
      <c r="K30" s="3"/>
      <c r="L30" s="3">
        <f t="shared" si="0"/>
        <v>-1774.45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--31346.85</f>
        <v>31346.85</v>
      </c>
      <c r="U30" s="3"/>
      <c r="V30" s="20"/>
      <c r="W30" s="3"/>
      <c r="X30" s="3">
        <f t="shared" si="2"/>
        <v>-31346.85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--8707.87</f>
        <v>8707.8700000000008</v>
      </c>
      <c r="I31" s="3"/>
      <c r="J31" s="20"/>
      <c r="K31" s="3"/>
      <c r="L31" s="3">
        <f t="shared" si="0"/>
        <v>-8707.8700000000008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--144197.44</f>
        <v>144197.44</v>
      </c>
      <c r="U31" s="3"/>
      <c r="V31" s="20"/>
      <c r="W31" s="3"/>
      <c r="X31" s="3">
        <f t="shared" si="2"/>
        <v>-144197.44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--71.95</f>
        <v>71.95</v>
      </c>
      <c r="U32" s="3"/>
      <c r="V32" s="20"/>
      <c r="W32" s="3"/>
      <c r="X32" s="3">
        <f t="shared" si="2"/>
        <v>-71.95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","4083"," - ","TAXABLE SALES-COMPUTER EQUIPME")</f>
        <v xml:space="preserve">          4083 - TAXABLE SALES-COMPUTER EQUIPME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--9.99</f>
        <v>9.99</v>
      </c>
      <c r="U33" s="3"/>
      <c r="V33" s="20"/>
      <c r="W33" s="3"/>
      <c r="X33" s="3">
        <f t="shared" si="2"/>
        <v>-9.99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","4095"," - ","TAXABLE SALES-CUSTOMER SERVICE")</f>
        <v xml:space="preserve">          4095 - TAXABLE SALES-CUSTOMER SERVICE</v>
      </c>
      <c r="C34" s="12"/>
      <c r="D34" s="3">
        <f>0</f>
        <v>0</v>
      </c>
      <c r="E34" s="3"/>
      <c r="F34" s="20"/>
      <c r="G34" s="3"/>
      <c r="H34" s="3">
        <f>--775.28</f>
        <v>775.28</v>
      </c>
      <c r="I34" s="3"/>
      <c r="J34" s="20"/>
      <c r="K34" s="3"/>
      <c r="L34" s="3">
        <f t="shared" si="0"/>
        <v>-775.28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--915.13</f>
        <v>915.13</v>
      </c>
      <c r="U34" s="3"/>
      <c r="V34" s="20"/>
      <c r="W34" s="3"/>
      <c r="X34" s="3">
        <f t="shared" si="2"/>
        <v>-915.13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","4100"," - ","NON-TAXABLE SALES")</f>
        <v xml:space="preserve">          4100 - NON-TAXABLE SALES</v>
      </c>
      <c r="C35" s="12"/>
      <c r="D35" s="3">
        <f>--97229.47</f>
        <v>97229.47</v>
      </c>
      <c r="E35" s="3"/>
      <c r="F35" s="20"/>
      <c r="G35" s="3"/>
      <c r="H35" s="3">
        <f>--2050.54</f>
        <v>2050.54</v>
      </c>
      <c r="I35" s="3"/>
      <c r="J35" s="20"/>
      <c r="K35" s="3"/>
      <c r="L35" s="3">
        <f t="shared" si="0"/>
        <v>95178.930000000008</v>
      </c>
      <c r="M35" s="3"/>
      <c r="N35" s="20">
        <f t="shared" si="1"/>
        <v>46.416519550947562</v>
      </c>
      <c r="O35" s="12"/>
      <c r="P35" s="3">
        <f>--1101380.13</f>
        <v>1101380.1299999999</v>
      </c>
      <c r="Q35" s="3"/>
      <c r="R35" s="20"/>
      <c r="S35" s="3"/>
      <c r="T35" s="3">
        <f>--286224.1</f>
        <v>286224.09999999998</v>
      </c>
      <c r="U35" s="3"/>
      <c r="V35" s="20"/>
      <c r="W35" s="3"/>
      <c r="X35" s="3">
        <f t="shared" si="2"/>
        <v>815156.02999999991</v>
      </c>
      <c r="Y35" s="3"/>
      <c r="Z35" s="20">
        <f t="shared" si="3"/>
        <v>2.8479643398302237</v>
      </c>
    </row>
    <row r="36" spans="1:26" s="69" customFormat="1" ht="15" hidden="1" customHeight="1" outlineLevel="1" x14ac:dyDescent="0.3">
      <c r="A36" s="42"/>
      <c r="B36" s="12" t="str">
        <f>CONCATENATE("          ","4101"," - ","NON-TAXABLE SALES-NEW TEXT")</f>
        <v xml:space="preserve">          4101 - NON-TAXABLE SALES-NEW TEXT</v>
      </c>
      <c r="C36" s="12"/>
      <c r="D36" s="3">
        <f>0</f>
        <v>0</v>
      </c>
      <c r="E36" s="3"/>
      <c r="F36" s="20"/>
      <c r="G36" s="3"/>
      <c r="H36" s="3">
        <f>--1044.17</f>
        <v>1044.17</v>
      </c>
      <c r="I36" s="3"/>
      <c r="J36" s="20"/>
      <c r="K36" s="3"/>
      <c r="L36" s="3">
        <f t="shared" si="0"/>
        <v>-1044.17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--112055.71</f>
        <v>112055.71</v>
      </c>
      <c r="U36" s="3"/>
      <c r="V36" s="20"/>
      <c r="W36" s="3"/>
      <c r="X36" s="3">
        <f t="shared" si="2"/>
        <v>-112055.71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","4102"," - ","NON-TAXABLE SALES-USED TEXT")</f>
        <v xml:space="preserve">          4102 - NON-TAXABLE SALES-USED TEXT</v>
      </c>
      <c r="C37" s="12"/>
      <c r="D37" s="3">
        <f>0</f>
        <v>0</v>
      </c>
      <c r="E37" s="3"/>
      <c r="F37" s="20"/>
      <c r="G37" s="3"/>
      <c r="H37" s="3">
        <f>--1572.06</f>
        <v>1572.06</v>
      </c>
      <c r="I37" s="3"/>
      <c r="J37" s="20"/>
      <c r="K37" s="3"/>
      <c r="L37" s="3">
        <f t="shared" si="0"/>
        <v>-1572.06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--47959.43</f>
        <v>47959.43</v>
      </c>
      <c r="U37" s="3"/>
      <c r="V37" s="20"/>
      <c r="W37" s="3"/>
      <c r="X37" s="3">
        <f t="shared" si="2"/>
        <v>-47959.43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","4103"," - ","NON-TAXABLE SALES-RENTAL TEXT")</f>
        <v xml:space="preserve">          4103 - NON-TAXABLE SALES-RENTAL TEXT</v>
      </c>
      <c r="C38" s="12"/>
      <c r="D38" s="3">
        <f>0</f>
        <v>0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0</v>
      </c>
      <c r="M38" s="3"/>
      <c r="N38" s="20">
        <f t="shared" si="1"/>
        <v>0</v>
      </c>
      <c r="O38" s="12"/>
      <c r="P38" s="3">
        <f>0</f>
        <v>0</v>
      </c>
      <c r="Q38" s="3"/>
      <c r="R38" s="20"/>
      <c r="S38" s="3"/>
      <c r="T38" s="3">
        <f>--1138.95</f>
        <v>1138.95</v>
      </c>
      <c r="U38" s="3"/>
      <c r="V38" s="20"/>
      <c r="W38" s="3"/>
      <c r="X38" s="3">
        <f t="shared" si="2"/>
        <v>-1138.95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","4104"," - ","NON-TAXABLE SALES-DIGITAL TEXT")</f>
        <v xml:space="preserve">          4104 - NON-TAXABLE SALES-DIGITAL TEXT</v>
      </c>
      <c r="C39" s="12"/>
      <c r="D39" s="3">
        <f>0</f>
        <v>0</v>
      </c>
      <c r="E39" s="3"/>
      <c r="F39" s="20"/>
      <c r="G39" s="3"/>
      <c r="H39" s="3">
        <f>--1097.13</f>
        <v>1097.1300000000001</v>
      </c>
      <c r="I39" s="3"/>
      <c r="J39" s="20"/>
      <c r="K39" s="3"/>
      <c r="L39" s="3">
        <f t="shared" si="0"/>
        <v>-1097.1300000000001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--476971.18</f>
        <v>476971.18</v>
      </c>
      <c r="U39" s="3"/>
      <c r="V39" s="20"/>
      <c r="W39" s="3"/>
      <c r="X39" s="3">
        <f t="shared" si="2"/>
        <v>-476971.18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","4113"," - ","NON-TAXABLE SALES-TRADE BOOKS")</f>
        <v xml:space="preserve">          4113 - NON-TAXABLE SALES-TRADE BOOKS</v>
      </c>
      <c r="C40" s="12"/>
      <c r="D40" s="3">
        <f>0</f>
        <v>0</v>
      </c>
      <c r="E40" s="3"/>
      <c r="F40" s="20"/>
      <c r="G40" s="3"/>
      <c r="H40" s="3">
        <f>--1250</f>
        <v>1250</v>
      </c>
      <c r="I40" s="3"/>
      <c r="J40" s="20"/>
      <c r="K40" s="3"/>
      <c r="L40" s="3">
        <f t="shared" si="0"/>
        <v>-1250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--11389.25</f>
        <v>11389.25</v>
      </c>
      <c r="U40" s="3"/>
      <c r="V40" s="20"/>
      <c r="W40" s="3"/>
      <c r="X40" s="3">
        <f t="shared" si="2"/>
        <v>-11389.25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","4118"," - ","NON-TAXABLE SALES-STUDY GUIDES")</f>
        <v xml:space="preserve">          4118 - NON-TAXABLE SALES-STUDY GUIDES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--771.73</f>
        <v>771.73</v>
      </c>
      <c r="U41" s="3"/>
      <c r="V41" s="20"/>
      <c r="W41" s="3"/>
      <c r="X41" s="3">
        <f t="shared" si="2"/>
        <v>-771.73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","4126"," - ","NON-TAXABLE SALES-WRITING INST")</f>
        <v xml:space="preserve">          4126 - NON-TAXABLE SALES-WRITING INST</v>
      </c>
      <c r="C42" s="12"/>
      <c r="D42" s="3">
        <f>0</f>
        <v>0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0</v>
      </c>
      <c r="M42" s="3"/>
      <c r="N42" s="20">
        <f t="shared" si="1"/>
        <v>0</v>
      </c>
      <c r="O42" s="12"/>
      <c r="P42" s="3">
        <f>0</f>
        <v>0</v>
      </c>
      <c r="Q42" s="3"/>
      <c r="R42" s="20"/>
      <c r="S42" s="3"/>
      <c r="T42" s="3">
        <f>--52.68</f>
        <v>52.68</v>
      </c>
      <c r="U42" s="3"/>
      <c r="V42" s="20"/>
      <c r="W42" s="3"/>
      <c r="X42" s="3">
        <f t="shared" si="2"/>
        <v>-52.68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","4127"," - ","NON-TAXABLE SALES-SCHOOL SUPPL")</f>
        <v xml:space="preserve">          4127 - NON-TAXABLE SALES-SCHOOL SUPPL</v>
      </c>
      <c r="C43" s="12"/>
      <c r="D43" s="3">
        <f>0</f>
        <v>0</v>
      </c>
      <c r="E43" s="3"/>
      <c r="F43" s="20"/>
      <c r="G43" s="3"/>
      <c r="H43" s="3">
        <f>--389.95</f>
        <v>389.95</v>
      </c>
      <c r="I43" s="3"/>
      <c r="J43" s="20"/>
      <c r="K43" s="3"/>
      <c r="L43" s="3">
        <f t="shared" si="0"/>
        <v>-389.95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--6607.31</f>
        <v>6607.31</v>
      </c>
      <c r="U43" s="3"/>
      <c r="V43" s="20"/>
      <c r="W43" s="3"/>
      <c r="X43" s="3">
        <f t="shared" si="2"/>
        <v>-6607.31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","4128"," - ","NON-TAXABLE SALES-ART/TECH")</f>
        <v xml:space="preserve">          4128 - NON-TAXABLE SALES-ART/TECH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80" si="4">+D44-H44</f>
        <v>0</v>
      </c>
      <c r="M44" s="3"/>
      <c r="N44" s="20">
        <f t="shared" ref="N44:N80" si="5">IF(H44=0,0,L44/H44)</f>
        <v>0</v>
      </c>
      <c r="O44" s="12"/>
      <c r="P44" s="3">
        <f>0</f>
        <v>0</v>
      </c>
      <c r="Q44" s="3"/>
      <c r="R44" s="20"/>
      <c r="S44" s="3"/>
      <c r="T44" s="3">
        <f>--38.58</f>
        <v>38.58</v>
      </c>
      <c r="U44" s="3"/>
      <c r="V44" s="20"/>
      <c r="W44" s="3"/>
      <c r="X44" s="3">
        <f t="shared" ref="X44:X80" si="6">+P44-T44</f>
        <v>-38.58</v>
      </c>
      <c r="Y44" s="3"/>
      <c r="Z44" s="20">
        <f t="shared" ref="Z44:Z80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","4131"," - ","NON-TAXABLE SALES-FOOD")</f>
        <v xml:space="preserve">          4131 - NON-TAXABLE SALES-FOOD</v>
      </c>
      <c r="C45" s="12"/>
      <c r="D45" s="3">
        <f>0</f>
        <v>0</v>
      </c>
      <c r="E45" s="3"/>
      <c r="F45" s="20"/>
      <c r="G45" s="3"/>
      <c r="H45" s="3">
        <f>--829.28</f>
        <v>829.28</v>
      </c>
      <c r="I45" s="3"/>
      <c r="J45" s="20"/>
      <c r="K45" s="3"/>
      <c r="L45" s="3">
        <f t="shared" si="4"/>
        <v>-829.28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--10404.43</f>
        <v>10404.43</v>
      </c>
      <c r="U45" s="3"/>
      <c r="V45" s="20"/>
      <c r="W45" s="3"/>
      <c r="X45" s="3">
        <f t="shared" si="6"/>
        <v>-10404.43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","4132"," - ","NON-TAXABLE SALES-JUICE")</f>
        <v xml:space="preserve">          4132 - NON-TAXABLE SALES-JUICE</v>
      </c>
      <c r="C46" s="12"/>
      <c r="D46" s="3">
        <f>0</f>
        <v>0</v>
      </c>
      <c r="E46" s="3"/>
      <c r="F46" s="20"/>
      <c r="G46" s="3"/>
      <c r="H46" s="3">
        <f>0</f>
        <v>0</v>
      </c>
      <c r="I46" s="3"/>
      <c r="J46" s="20"/>
      <c r="K46" s="3"/>
      <c r="L46" s="3">
        <f t="shared" si="4"/>
        <v>0</v>
      </c>
      <c r="M46" s="3"/>
      <c r="N46" s="20">
        <f t="shared" si="5"/>
        <v>0</v>
      </c>
      <c r="O46" s="12"/>
      <c r="P46" s="3">
        <f>0</f>
        <v>0</v>
      </c>
      <c r="Q46" s="3"/>
      <c r="R46" s="20"/>
      <c r="S46" s="3"/>
      <c r="T46" s="3">
        <f>--22.49</f>
        <v>22.49</v>
      </c>
      <c r="U46" s="3"/>
      <c r="V46" s="20"/>
      <c r="W46" s="3"/>
      <c r="X46" s="3">
        <f t="shared" si="6"/>
        <v>-22.49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","4133"," - ","NON-TAXABLE SALES-CANDY")</f>
        <v xml:space="preserve">          4133 - NON-TAXABLE SALES-CANDY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--80.71</f>
        <v>80.709999999999994</v>
      </c>
      <c r="U47" s="3"/>
      <c r="V47" s="20"/>
      <c r="W47" s="3"/>
      <c r="X47" s="3">
        <f t="shared" si="6"/>
        <v>-80.709999999999994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","4134"," - ","NON-TAXABLE SALES-SODA")</f>
        <v xml:space="preserve">          4134 - NON-TAXABLE SALES-SODA</v>
      </c>
      <c r="C48" s="12"/>
      <c r="D48" s="3">
        <f>0</f>
        <v>0</v>
      </c>
      <c r="E48" s="3"/>
      <c r="F48" s="20"/>
      <c r="G48" s="3"/>
      <c r="H48" s="3">
        <f>0</f>
        <v>0</v>
      </c>
      <c r="I48" s="3"/>
      <c r="J48" s="20"/>
      <c r="K48" s="3"/>
      <c r="L48" s="3">
        <f t="shared" si="4"/>
        <v>0</v>
      </c>
      <c r="M48" s="3"/>
      <c r="N48" s="20">
        <f t="shared" si="5"/>
        <v>0</v>
      </c>
      <c r="O48" s="12"/>
      <c r="P48" s="3">
        <f>0</f>
        <v>0</v>
      </c>
      <c r="Q48" s="3"/>
      <c r="R48" s="20"/>
      <c r="S48" s="3"/>
      <c r="T48" s="3">
        <f>--45.53</f>
        <v>45.53</v>
      </c>
      <c r="U48" s="3"/>
      <c r="V48" s="20"/>
      <c r="W48" s="3"/>
      <c r="X48" s="3">
        <f t="shared" si="6"/>
        <v>-45.53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","4137"," - ","NON-TAXABLE SALES-WATER")</f>
        <v xml:space="preserve">          4137 - NON-TAXABLE SALES-WATER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--68.25</f>
        <v>68.25</v>
      </c>
      <c r="U49" s="3"/>
      <c r="V49" s="20"/>
      <c r="W49" s="3"/>
      <c r="X49" s="3">
        <f t="shared" si="6"/>
        <v>-68.25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","4140"," - ","NON-TAXABLE SALES-LOGO CLOTHIN")</f>
        <v xml:space="preserve">          4140 - NON-TAXABLE SALES-LOGO CLOTHIN</v>
      </c>
      <c r="C50" s="12"/>
      <c r="D50" s="3">
        <f>0</f>
        <v>0</v>
      </c>
      <c r="E50" s="3"/>
      <c r="F50" s="20"/>
      <c r="G50" s="3"/>
      <c r="H50" s="3">
        <f>--16626.41</f>
        <v>16626.41</v>
      </c>
      <c r="I50" s="3"/>
      <c r="J50" s="20"/>
      <c r="K50" s="3"/>
      <c r="L50" s="3">
        <f t="shared" si="4"/>
        <v>-16626.41</v>
      </c>
      <c r="M50" s="3"/>
      <c r="N50" s="20">
        <f t="shared" si="5"/>
        <v>-1</v>
      </c>
      <c r="O50" s="12"/>
      <c r="P50" s="3">
        <f>0</f>
        <v>0</v>
      </c>
      <c r="Q50" s="3"/>
      <c r="R50" s="20"/>
      <c r="S50" s="3"/>
      <c r="T50" s="3">
        <f>--131751.69</f>
        <v>131751.69</v>
      </c>
      <c r="U50" s="3"/>
      <c r="V50" s="20"/>
      <c r="W50" s="3"/>
      <c r="X50" s="3">
        <f t="shared" si="6"/>
        <v>-131751.69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","4141"," - ","NON-TAXABLE SALES-LOGO GIFTS")</f>
        <v xml:space="preserve">          4141 - NON-TAXABLE SALES-LOGO GIFTS</v>
      </c>
      <c r="C51" s="12"/>
      <c r="D51" s="3">
        <f>0</f>
        <v>0</v>
      </c>
      <c r="E51" s="3"/>
      <c r="F51" s="20"/>
      <c r="G51" s="3"/>
      <c r="H51" s="3">
        <f>--1055.22</f>
        <v>1055.22</v>
      </c>
      <c r="I51" s="3"/>
      <c r="J51" s="20"/>
      <c r="K51" s="3"/>
      <c r="L51" s="3">
        <f t="shared" si="4"/>
        <v>-1055.22</v>
      </c>
      <c r="M51" s="3"/>
      <c r="N51" s="20">
        <f t="shared" si="5"/>
        <v>-1</v>
      </c>
      <c r="O51" s="12"/>
      <c r="P51" s="3">
        <f>0</f>
        <v>0</v>
      </c>
      <c r="Q51" s="3"/>
      <c r="R51" s="20"/>
      <c r="S51" s="3"/>
      <c r="T51" s="3">
        <f>--9568.24</f>
        <v>9568.24</v>
      </c>
      <c r="U51" s="3"/>
      <c r="V51" s="20"/>
      <c r="W51" s="3"/>
      <c r="X51" s="3">
        <f t="shared" si="6"/>
        <v>-9568.24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","4142"," - ","NON-TAXABLE SALES-EVERYDAY GIF")</f>
        <v xml:space="preserve">          4142 - NON-TAXABLE SALES-EVERYDAY GIF</v>
      </c>
      <c r="C52" s="12"/>
      <c r="D52" s="3">
        <f>0</f>
        <v>0</v>
      </c>
      <c r="E52" s="3"/>
      <c r="F52" s="20"/>
      <c r="G52" s="3"/>
      <c r="H52" s="3">
        <f>--16.9</f>
        <v>16.899999999999999</v>
      </c>
      <c r="I52" s="3"/>
      <c r="J52" s="20"/>
      <c r="K52" s="3"/>
      <c r="L52" s="3">
        <f t="shared" si="4"/>
        <v>-16.899999999999999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--2281.37</f>
        <v>2281.37</v>
      </c>
      <c r="U52" s="3"/>
      <c r="V52" s="20"/>
      <c r="W52" s="3"/>
      <c r="X52" s="3">
        <f t="shared" si="6"/>
        <v>-2281.37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","4143"," - ","NON-TAXABLE SALES-CARDS")</f>
        <v xml:space="preserve">          4143 - NON-TAXABLE SALES-CARDS</v>
      </c>
      <c r="C53" s="12"/>
      <c r="D53" s="3">
        <f>0</f>
        <v>0</v>
      </c>
      <c r="E53" s="3"/>
      <c r="F53" s="20"/>
      <c r="G53" s="3"/>
      <c r="H53" s="3">
        <f>--261.82</f>
        <v>261.82</v>
      </c>
      <c r="I53" s="3"/>
      <c r="J53" s="20"/>
      <c r="K53" s="3"/>
      <c r="L53" s="3">
        <f t="shared" si="4"/>
        <v>-261.82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--2381.48</f>
        <v>2381.48</v>
      </c>
      <c r="U53" s="3"/>
      <c r="V53" s="20"/>
      <c r="W53" s="3"/>
      <c r="X53" s="3">
        <f t="shared" si="6"/>
        <v>-2381.48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","4144"," - ","NON-TAXABLE SALES-ACCESSORIES")</f>
        <v xml:space="preserve">          4144 - NON-TAXABLE SALES-ACCESSORIES</v>
      </c>
      <c r="C54" s="12"/>
      <c r="D54" s="3">
        <f>0</f>
        <v>0</v>
      </c>
      <c r="E54" s="3"/>
      <c r="F54" s="20"/>
      <c r="G54" s="3"/>
      <c r="H54" s="3">
        <f>--29.9</f>
        <v>29.9</v>
      </c>
      <c r="I54" s="3"/>
      <c r="J54" s="20"/>
      <c r="K54" s="3"/>
      <c r="L54" s="3">
        <f t="shared" si="4"/>
        <v>-29.9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--679.25</f>
        <v>679.25</v>
      </c>
      <c r="U54" s="3"/>
      <c r="V54" s="20"/>
      <c r="W54" s="3"/>
      <c r="X54" s="3">
        <f t="shared" si="6"/>
        <v>-679.25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","4145"," - ","NON-TAXABLE SALES-SPECIAL ORDE")</f>
        <v xml:space="preserve">          4145 - NON-TAXABLE SALES-SPECIAL ORDE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--53716.09</f>
        <v>53716.09</v>
      </c>
      <c r="U55" s="3"/>
      <c r="V55" s="20"/>
      <c r="W55" s="3"/>
      <c r="X55" s="3">
        <f t="shared" si="6"/>
        <v>-53716.09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","4146"," - ","NON-TAXABLE SALES-COIN OP MACH")</f>
        <v xml:space="preserve">          4146 - NON-TAXABLE SALES-COIN OP MACH</v>
      </c>
      <c r="C56" s="12"/>
      <c r="D56" s="3">
        <f>0</f>
        <v>0</v>
      </c>
      <c r="E56" s="3"/>
      <c r="F56" s="20"/>
      <c r="G56" s="3"/>
      <c r="H56" s="3">
        <f>--90.7</f>
        <v>90.7</v>
      </c>
      <c r="I56" s="3"/>
      <c r="J56" s="20"/>
      <c r="K56" s="3"/>
      <c r="L56" s="3">
        <f t="shared" si="4"/>
        <v>-90.7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--299.1</f>
        <v>299.10000000000002</v>
      </c>
      <c r="U56" s="3"/>
      <c r="V56" s="20"/>
      <c r="W56" s="3"/>
      <c r="X56" s="3">
        <f t="shared" si="6"/>
        <v>-299.10000000000002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","4147"," - ","NON-TAXABLE SALES-MISC")</f>
        <v xml:space="preserve">          4147 - NON-TAXABLE SALES-MISC</v>
      </c>
      <c r="C57" s="12"/>
      <c r="D57" s="3">
        <f>0</f>
        <v>0</v>
      </c>
      <c r="E57" s="3"/>
      <c r="F57" s="20"/>
      <c r="G57" s="3"/>
      <c r="H57" s="3">
        <f>--11</f>
        <v>11</v>
      </c>
      <c r="I57" s="3"/>
      <c r="J57" s="20"/>
      <c r="K57" s="3"/>
      <c r="L57" s="3">
        <f t="shared" si="4"/>
        <v>-11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--143.5</f>
        <v>143.5</v>
      </c>
      <c r="U57" s="3"/>
      <c r="V57" s="20"/>
      <c r="W57" s="3"/>
      <c r="X57" s="3">
        <f t="shared" si="6"/>
        <v>-143.5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","4200"," - ","TAXABLE RETURNS")</f>
        <v xml:space="preserve">          4200 - TAXABLE RETURNS</v>
      </c>
      <c r="C58" s="12"/>
      <c r="D58" s="3">
        <f>-19894.68</f>
        <v>-19894.68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-19894.68</v>
      </c>
      <c r="M58" s="3"/>
      <c r="N58" s="20">
        <f t="shared" si="5"/>
        <v>0</v>
      </c>
      <c r="O58" s="12"/>
      <c r="P58" s="3">
        <f>-151408.01</f>
        <v>-151408.01</v>
      </c>
      <c r="Q58" s="3"/>
      <c r="R58" s="20"/>
      <c r="S58" s="3"/>
      <c r="T58" s="3">
        <f>0</f>
        <v>0</v>
      </c>
      <c r="U58" s="3"/>
      <c r="V58" s="20"/>
      <c r="W58" s="3"/>
      <c r="X58" s="3">
        <f t="shared" si="6"/>
        <v>-151408.01</v>
      </c>
      <c r="Y58" s="3"/>
      <c r="Z58" s="20">
        <f t="shared" si="7"/>
        <v>0</v>
      </c>
    </row>
    <row r="59" spans="1:26" s="69" customFormat="1" ht="15" hidden="1" customHeight="1" outlineLevel="1" x14ac:dyDescent="0.3">
      <c r="A59" s="42"/>
      <c r="B59" s="12" t="str">
        <f>CONCATENATE("          ","4201"," - ","SALES RETURN TAXABLE-NEW TEXT")</f>
        <v xml:space="preserve">          4201 - SALES RETURN TAXABLE-NEW TEXT</v>
      </c>
      <c r="C59" s="12"/>
      <c r="D59" s="3">
        <f>0</f>
        <v>0</v>
      </c>
      <c r="E59" s="3"/>
      <c r="F59" s="20"/>
      <c r="G59" s="3"/>
      <c r="H59" s="3">
        <f>-596.94</f>
        <v>-596.94000000000005</v>
      </c>
      <c r="I59" s="3"/>
      <c r="J59" s="20"/>
      <c r="K59" s="3"/>
      <c r="L59" s="3">
        <f t="shared" si="4"/>
        <v>596.94000000000005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-51261.17</f>
        <v>-51261.17</v>
      </c>
      <c r="U59" s="3"/>
      <c r="V59" s="20"/>
      <c r="W59" s="3"/>
      <c r="X59" s="3">
        <f t="shared" si="6"/>
        <v>51261.17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","4202"," - ","SALES RETURN TAXABLE-USED TEXT")</f>
        <v xml:space="preserve">          4202 - SALES RETURN TAXABLE-USED TEXT</v>
      </c>
      <c r="C60" s="12"/>
      <c r="D60" s="3">
        <f>0</f>
        <v>0</v>
      </c>
      <c r="E60" s="3"/>
      <c r="F60" s="20"/>
      <c r="G60" s="3"/>
      <c r="H60" s="3">
        <f>-153.8</f>
        <v>-153.80000000000001</v>
      </c>
      <c r="I60" s="3"/>
      <c r="J60" s="20"/>
      <c r="K60" s="3"/>
      <c r="L60" s="3">
        <f t="shared" si="4"/>
        <v>153.80000000000001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-19889.31</f>
        <v>-19889.310000000001</v>
      </c>
      <c r="U60" s="3"/>
      <c r="V60" s="20"/>
      <c r="W60" s="3"/>
      <c r="X60" s="3">
        <f t="shared" si="6"/>
        <v>19889.310000000001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","4204"," - ","SALES RETURN TAXABLE-DIGITAL T")</f>
        <v xml:space="preserve">          4204 - SALES RETURN TAXABLE-DIGITAL T</v>
      </c>
      <c r="C61" s="12"/>
      <c r="D61" s="3">
        <f>0</f>
        <v>0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0</v>
      </c>
      <c r="M61" s="3"/>
      <c r="N61" s="20">
        <f t="shared" si="5"/>
        <v>0</v>
      </c>
      <c r="O61" s="12"/>
      <c r="P61" s="3">
        <f>0</f>
        <v>0</v>
      </c>
      <c r="Q61" s="3"/>
      <c r="R61" s="20"/>
      <c r="S61" s="3"/>
      <c r="T61" s="3">
        <f>-1763.1</f>
        <v>-1763.1</v>
      </c>
      <c r="U61" s="3"/>
      <c r="V61" s="20"/>
      <c r="W61" s="3"/>
      <c r="X61" s="3">
        <f t="shared" si="6"/>
        <v>1763.1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","4213"," - ","NON-TAXABLE SALES-TRADE BOOKS")</f>
        <v xml:space="preserve">          4213 - NON-TAXABLE SALES-TRADE BOOKS</v>
      </c>
      <c r="C62" s="12"/>
      <c r="D62" s="3">
        <f>0</f>
        <v>0</v>
      </c>
      <c r="E62" s="3"/>
      <c r="F62" s="20"/>
      <c r="G62" s="3"/>
      <c r="H62" s="3">
        <f>0</f>
        <v>0</v>
      </c>
      <c r="I62" s="3"/>
      <c r="J62" s="20"/>
      <c r="K62" s="3"/>
      <c r="L62" s="3">
        <f t="shared" si="4"/>
        <v>0</v>
      </c>
      <c r="M62" s="3"/>
      <c r="N62" s="20">
        <f t="shared" si="5"/>
        <v>0</v>
      </c>
      <c r="O62" s="12"/>
      <c r="P62" s="3">
        <f>0</f>
        <v>0</v>
      </c>
      <c r="Q62" s="3"/>
      <c r="R62" s="20"/>
      <c r="S62" s="3"/>
      <c r="T62" s="3">
        <f>-69.93</f>
        <v>-69.930000000000007</v>
      </c>
      <c r="U62" s="3"/>
      <c r="V62" s="20"/>
      <c r="W62" s="3"/>
      <c r="X62" s="3">
        <f t="shared" si="6"/>
        <v>69.930000000000007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","4218"," - ","SALES RETURN TAXABLE-STUDY GUI")</f>
        <v xml:space="preserve">          4218 - SALES RETURN TAXABLE-STUDY GUI</v>
      </c>
      <c r="C63" s="12"/>
      <c r="D63" s="3">
        <f>0</f>
        <v>0</v>
      </c>
      <c r="E63" s="3"/>
      <c r="F63" s="20"/>
      <c r="G63" s="3"/>
      <c r="H63" s="3">
        <f>-5.21</f>
        <v>-5.21</v>
      </c>
      <c r="I63" s="3"/>
      <c r="J63" s="20"/>
      <c r="K63" s="3"/>
      <c r="L63" s="3">
        <f t="shared" si="4"/>
        <v>5.21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-5.21</f>
        <v>-5.21</v>
      </c>
      <c r="U63" s="3"/>
      <c r="V63" s="20"/>
      <c r="W63" s="3"/>
      <c r="X63" s="3">
        <f t="shared" si="6"/>
        <v>5.21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","4226"," - ","SALES RETURN TAXABLE-WRITING I")</f>
        <v xml:space="preserve">          4226 - SALES RETURN TAXABLE-WRITING I</v>
      </c>
      <c r="C64" s="12"/>
      <c r="D64" s="3">
        <f>0</f>
        <v>0</v>
      </c>
      <c r="E64" s="3"/>
      <c r="F64" s="20"/>
      <c r="G64" s="3"/>
      <c r="H64" s="3">
        <f>0</f>
        <v>0</v>
      </c>
      <c r="I64" s="3"/>
      <c r="J64" s="20"/>
      <c r="K64" s="3"/>
      <c r="L64" s="3">
        <f t="shared" si="4"/>
        <v>0</v>
      </c>
      <c r="M64" s="3"/>
      <c r="N64" s="20">
        <f t="shared" si="5"/>
        <v>0</v>
      </c>
      <c r="O64" s="12"/>
      <c r="P64" s="3">
        <f>0</f>
        <v>0</v>
      </c>
      <c r="Q64" s="3"/>
      <c r="R64" s="20"/>
      <c r="S64" s="3"/>
      <c r="T64" s="3">
        <f>-34.23</f>
        <v>-34.229999999999997</v>
      </c>
      <c r="U64" s="3"/>
      <c r="V64" s="20"/>
      <c r="W64" s="3"/>
      <c r="X64" s="3">
        <f t="shared" si="6"/>
        <v>34.229999999999997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","4227"," - ","SALES RETURN TAXABLE-SCHOOL SU")</f>
        <v xml:space="preserve">          4227 - SALES RETURN TAXABLE-SCHOOL SU</v>
      </c>
      <c r="C65" s="12"/>
      <c r="D65" s="3">
        <f>0</f>
        <v>0</v>
      </c>
      <c r="E65" s="3"/>
      <c r="F65" s="20"/>
      <c r="G65" s="3"/>
      <c r="H65" s="3">
        <f>-64.39</f>
        <v>-64.39</v>
      </c>
      <c r="I65" s="3"/>
      <c r="J65" s="20"/>
      <c r="K65" s="3"/>
      <c r="L65" s="3">
        <f t="shared" si="4"/>
        <v>64.39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-846.12</f>
        <v>-846.12</v>
      </c>
      <c r="U65" s="3"/>
      <c r="V65" s="20"/>
      <c r="W65" s="3"/>
      <c r="X65" s="3">
        <f t="shared" si="6"/>
        <v>846.12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","4228"," - ","SALES RETURN TAXABLE-ART/TECH")</f>
        <v xml:space="preserve">          4228 - SALES RETURN TAXABLE-ART/TECH</v>
      </c>
      <c r="C66" s="12"/>
      <c r="D66" s="3">
        <f>0</f>
        <v>0</v>
      </c>
      <c r="E66" s="3"/>
      <c r="F66" s="20"/>
      <c r="G66" s="3"/>
      <c r="H66" s="3">
        <f>-98.38</f>
        <v>-98.38</v>
      </c>
      <c r="I66" s="3"/>
      <c r="J66" s="20"/>
      <c r="K66" s="3"/>
      <c r="L66" s="3">
        <f t="shared" si="4"/>
        <v>98.38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-12837.62</f>
        <v>-12837.62</v>
      </c>
      <c r="U66" s="3"/>
      <c r="V66" s="20"/>
      <c r="W66" s="3"/>
      <c r="X66" s="3">
        <f t="shared" si="6"/>
        <v>12837.62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","4240"," - ","SALES RETURN TAXABLE-LOGO CLOT")</f>
        <v xml:space="preserve">          4240 - SALES RETURN TAXABLE-LOGO CLOT</v>
      </c>
      <c r="C67" s="12"/>
      <c r="D67" s="3">
        <f>0</f>
        <v>0</v>
      </c>
      <c r="E67" s="3"/>
      <c r="F67" s="20"/>
      <c r="G67" s="3"/>
      <c r="H67" s="3">
        <f>-3924.84</f>
        <v>-3924.84</v>
      </c>
      <c r="I67" s="3"/>
      <c r="J67" s="20"/>
      <c r="K67" s="3"/>
      <c r="L67" s="3">
        <f t="shared" si="4"/>
        <v>3924.84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-35054.35</f>
        <v>-35054.35</v>
      </c>
      <c r="U67" s="3"/>
      <c r="V67" s="20"/>
      <c r="W67" s="3"/>
      <c r="X67" s="3">
        <f t="shared" si="6"/>
        <v>35054.35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","4241"," - ","SALES RETURN TAXABLE-LOGO GIFT")</f>
        <v xml:space="preserve">          4241 - SALES RETURN TAXABLE-LOGO GIFT</v>
      </c>
      <c r="C68" s="12"/>
      <c r="D68" s="3">
        <f>0</f>
        <v>0</v>
      </c>
      <c r="E68" s="3"/>
      <c r="F68" s="20"/>
      <c r="G68" s="3"/>
      <c r="H68" s="3">
        <f>-1222.82</f>
        <v>-1222.82</v>
      </c>
      <c r="I68" s="3"/>
      <c r="J68" s="20"/>
      <c r="K68" s="3"/>
      <c r="L68" s="3">
        <f t="shared" si="4"/>
        <v>1222.82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-6518.34</f>
        <v>-6518.34</v>
      </c>
      <c r="U68" s="3"/>
      <c r="V68" s="20"/>
      <c r="W68" s="3"/>
      <c r="X68" s="3">
        <f t="shared" si="6"/>
        <v>6518.34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","4242"," - ","SALES RETURN TAXABLE-EVERYDAY")</f>
        <v xml:space="preserve">          4242 - SALES RETURN TAXABLE-EVERYDAY</v>
      </c>
      <c r="C69" s="12"/>
      <c r="D69" s="3">
        <f>0</f>
        <v>0</v>
      </c>
      <c r="E69" s="3"/>
      <c r="F69" s="20"/>
      <c r="G69" s="3"/>
      <c r="H69" s="3">
        <f>-565.08</f>
        <v>-565.08000000000004</v>
      </c>
      <c r="I69" s="3"/>
      <c r="J69" s="20"/>
      <c r="K69" s="3"/>
      <c r="L69" s="3">
        <f t="shared" si="4"/>
        <v>565.08000000000004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-2303.82</f>
        <v>-2303.8200000000002</v>
      </c>
      <c r="U69" s="3"/>
      <c r="V69" s="20"/>
      <c r="W69" s="3"/>
      <c r="X69" s="3">
        <f t="shared" si="6"/>
        <v>2303.8200000000002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","4243"," - ","SALES RETURN TAXABLE-CARDS")</f>
        <v xml:space="preserve">          4243 - SALES RETURN TAXABLE-CARDS</v>
      </c>
      <c r="C70" s="12"/>
      <c r="D70" s="3">
        <f>0</f>
        <v>0</v>
      </c>
      <c r="E70" s="3"/>
      <c r="F70" s="20"/>
      <c r="G70" s="3"/>
      <c r="H70" s="3">
        <f>-572.63</f>
        <v>-572.63</v>
      </c>
      <c r="I70" s="3"/>
      <c r="J70" s="20"/>
      <c r="K70" s="3"/>
      <c r="L70" s="3">
        <f t="shared" si="4"/>
        <v>572.63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-5942.23</f>
        <v>-5942.23</v>
      </c>
      <c r="U70" s="3"/>
      <c r="V70" s="20"/>
      <c r="W70" s="3"/>
      <c r="X70" s="3">
        <f t="shared" si="6"/>
        <v>5942.23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","4244"," - ","SALES RETURN TAXABLE-ACCESSORI")</f>
        <v xml:space="preserve">          4244 - SALES RETURN TAXABLE-ACCESSORI</v>
      </c>
      <c r="C71" s="12"/>
      <c r="D71" s="3">
        <f>0</f>
        <v>0</v>
      </c>
      <c r="E71" s="3"/>
      <c r="F71" s="20"/>
      <c r="G71" s="3"/>
      <c r="H71" s="3">
        <f>-240.42</f>
        <v>-240.42</v>
      </c>
      <c r="I71" s="3"/>
      <c r="J71" s="20"/>
      <c r="K71" s="3"/>
      <c r="L71" s="3">
        <f t="shared" si="4"/>
        <v>240.42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-1235.26</f>
        <v>-1235.26</v>
      </c>
      <c r="U71" s="3"/>
      <c r="V71" s="20"/>
      <c r="W71" s="3"/>
      <c r="X71" s="3">
        <f t="shared" si="6"/>
        <v>1235.26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","4245"," - ","SALES RETURN TAXABLE-SPECIAL O")</f>
        <v xml:space="preserve">          4245 - SALES RETURN TAXABLE-SPECIAL O</v>
      </c>
      <c r="C72" s="12"/>
      <c r="D72" s="3">
        <f>0</f>
        <v>0</v>
      </c>
      <c r="E72" s="3"/>
      <c r="F72" s="20"/>
      <c r="G72" s="3"/>
      <c r="H72" s="3">
        <f>0</f>
        <v>0</v>
      </c>
      <c r="I72" s="3"/>
      <c r="J72" s="20"/>
      <c r="K72" s="3"/>
      <c r="L72" s="3">
        <f t="shared" si="4"/>
        <v>0</v>
      </c>
      <c r="M72" s="3"/>
      <c r="N72" s="20">
        <f t="shared" si="5"/>
        <v>0</v>
      </c>
      <c r="O72" s="12"/>
      <c r="P72" s="3">
        <f>0</f>
        <v>0</v>
      </c>
      <c r="Q72" s="3"/>
      <c r="R72" s="20"/>
      <c r="S72" s="3"/>
      <c r="T72" s="3">
        <f>-11353.59</f>
        <v>-11353.59</v>
      </c>
      <c r="U72" s="3"/>
      <c r="V72" s="20"/>
      <c r="W72" s="3"/>
      <c r="X72" s="3">
        <f t="shared" si="6"/>
        <v>11353.59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","4300"," - ","NON-TAX RETURNS")</f>
        <v xml:space="preserve">          4300 - NON-TAX RETURNS</v>
      </c>
      <c r="C73" s="12"/>
      <c r="D73" s="3">
        <f>0</f>
        <v>0</v>
      </c>
      <c r="E73" s="3"/>
      <c r="F73" s="20"/>
      <c r="G73" s="3"/>
      <c r="H73" s="3">
        <f>0</f>
        <v>0</v>
      </c>
      <c r="I73" s="3"/>
      <c r="J73" s="20"/>
      <c r="K73" s="3"/>
      <c r="L73" s="3">
        <f t="shared" si="4"/>
        <v>0</v>
      </c>
      <c r="M73" s="3"/>
      <c r="N73" s="20">
        <f t="shared" si="5"/>
        <v>0</v>
      </c>
      <c r="O73" s="12"/>
      <c r="P73" s="3">
        <f>-31247.2</f>
        <v>-31247.200000000001</v>
      </c>
      <c r="Q73" s="3"/>
      <c r="R73" s="20"/>
      <c r="S73" s="3"/>
      <c r="T73" s="3">
        <f>0</f>
        <v>0</v>
      </c>
      <c r="U73" s="3"/>
      <c r="V73" s="20"/>
      <c r="W73" s="3"/>
      <c r="X73" s="3">
        <f t="shared" si="6"/>
        <v>-31247.200000000001</v>
      </c>
      <c r="Y73" s="3"/>
      <c r="Z73" s="20">
        <f t="shared" si="7"/>
        <v>0</v>
      </c>
    </row>
    <row r="74" spans="1:26" s="69" customFormat="1" ht="15" hidden="1" customHeight="1" outlineLevel="1" x14ac:dyDescent="0.3">
      <c r="A74" s="42"/>
      <c r="B74" s="12" t="str">
        <f>CONCATENATE("          ","4301"," - ","SALES RETURN NON TAXABLE-NEW T")</f>
        <v xml:space="preserve">          4301 - SALES RETURN NON TAXABLE-NEW T</v>
      </c>
      <c r="C74" s="12"/>
      <c r="D74" s="3">
        <f>0</f>
        <v>0</v>
      </c>
      <c r="E74" s="3"/>
      <c r="F74" s="20"/>
      <c r="G74" s="3"/>
      <c r="H74" s="3">
        <f>0</f>
        <v>0</v>
      </c>
      <c r="I74" s="3"/>
      <c r="J74" s="20"/>
      <c r="K74" s="3"/>
      <c r="L74" s="3">
        <f t="shared" si="4"/>
        <v>0</v>
      </c>
      <c r="M74" s="3"/>
      <c r="N74" s="20">
        <f t="shared" si="5"/>
        <v>0</v>
      </c>
      <c r="O74" s="12"/>
      <c r="P74" s="3">
        <f>0</f>
        <v>0</v>
      </c>
      <c r="Q74" s="3"/>
      <c r="R74" s="20"/>
      <c r="S74" s="3"/>
      <c r="T74" s="3">
        <f>-3237.29</f>
        <v>-3237.29</v>
      </c>
      <c r="U74" s="3"/>
      <c r="V74" s="20"/>
      <c r="W74" s="3"/>
      <c r="X74" s="3">
        <f t="shared" si="6"/>
        <v>3237.29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","4302"," - ","SALES RETURN NON TAXABLE-TEXT")</f>
        <v xml:space="preserve">          4302 - SALES RETURN NON TAXABLE-TEXT</v>
      </c>
      <c r="C75" s="12"/>
      <c r="D75" s="3">
        <f>0</f>
        <v>0</v>
      </c>
      <c r="E75" s="3"/>
      <c r="F75" s="20"/>
      <c r="G75" s="3"/>
      <c r="H75" s="3">
        <f>-270.87</f>
        <v>-270.87</v>
      </c>
      <c r="I75" s="3"/>
      <c r="J75" s="20"/>
      <c r="K75" s="3"/>
      <c r="L75" s="3">
        <f t="shared" si="4"/>
        <v>270.87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-2344.35</f>
        <v>-2344.35</v>
      </c>
      <c r="U75" s="3"/>
      <c r="V75" s="20"/>
      <c r="W75" s="3"/>
      <c r="X75" s="3">
        <f t="shared" si="6"/>
        <v>2344.35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","4304"," - ","SALES RETURN NON TAXABLE-DIGIT")</f>
        <v xml:space="preserve">          4304 - SALES RETURN NON TAXABLE-DIGIT</v>
      </c>
      <c r="C76" s="12"/>
      <c r="D76" s="3">
        <f>0</f>
        <v>0</v>
      </c>
      <c r="E76" s="3"/>
      <c r="F76" s="20"/>
      <c r="G76" s="3"/>
      <c r="H76" s="3">
        <f>-275.04</f>
        <v>-275.04000000000002</v>
      </c>
      <c r="I76" s="3"/>
      <c r="J76" s="20"/>
      <c r="K76" s="3"/>
      <c r="L76" s="3">
        <f t="shared" si="4"/>
        <v>275.04000000000002</v>
      </c>
      <c r="M76" s="3"/>
      <c r="N76" s="20">
        <f t="shared" si="5"/>
        <v>-1</v>
      </c>
      <c r="O76" s="12"/>
      <c r="P76" s="3">
        <f>0</f>
        <v>0</v>
      </c>
      <c r="Q76" s="3"/>
      <c r="R76" s="20"/>
      <c r="S76" s="3"/>
      <c r="T76" s="3">
        <f>-27543.76</f>
        <v>-27543.759999999998</v>
      </c>
      <c r="U76" s="3"/>
      <c r="V76" s="20"/>
      <c r="W76" s="3"/>
      <c r="X76" s="3">
        <f t="shared" si="6"/>
        <v>27543.759999999998</v>
      </c>
      <c r="Y76" s="3"/>
      <c r="Z76" s="20">
        <f t="shared" si="7"/>
        <v>-1</v>
      </c>
    </row>
    <row r="77" spans="1:26" s="69" customFormat="1" ht="15" hidden="1" customHeight="1" outlineLevel="1" x14ac:dyDescent="0.3">
      <c r="A77" s="42"/>
      <c r="B77" s="12" t="str">
        <f>CONCATENATE("          ","4340"," - ","SALES RETURN NON TAXABLE-LOGO")</f>
        <v xml:space="preserve">          4340 - SALES RETURN NON TAXABLE-LOGO</v>
      </c>
      <c r="C77" s="12"/>
      <c r="D77" s="3">
        <f>0</f>
        <v>0</v>
      </c>
      <c r="E77" s="3"/>
      <c r="F77" s="20"/>
      <c r="G77" s="3"/>
      <c r="H77" s="3">
        <f>-350.55</f>
        <v>-350.55</v>
      </c>
      <c r="I77" s="3"/>
      <c r="J77" s="20"/>
      <c r="K77" s="3"/>
      <c r="L77" s="3">
        <f t="shared" si="4"/>
        <v>350.55</v>
      </c>
      <c r="M77" s="3"/>
      <c r="N77" s="20">
        <f t="shared" si="5"/>
        <v>-1</v>
      </c>
      <c r="O77" s="12"/>
      <c r="P77" s="3">
        <f>0</f>
        <v>0</v>
      </c>
      <c r="Q77" s="3"/>
      <c r="R77" s="20"/>
      <c r="S77" s="3"/>
      <c r="T77" s="3">
        <f>-2643.39</f>
        <v>-2643.39</v>
      </c>
      <c r="U77" s="3"/>
      <c r="V77" s="20"/>
      <c r="W77" s="3"/>
      <c r="X77" s="3">
        <f t="shared" si="6"/>
        <v>2643.39</v>
      </c>
      <c r="Y77" s="3"/>
      <c r="Z77" s="20">
        <f t="shared" si="7"/>
        <v>-1</v>
      </c>
    </row>
    <row r="78" spans="1:26" s="69" customFormat="1" ht="15" hidden="1" customHeight="1" outlineLevel="1" x14ac:dyDescent="0.3">
      <c r="A78" s="42"/>
      <c r="B78" s="12" t="str">
        <f>CONCATENATE("          ","4341"," - ","SALES RETURN NON TAXABLE-LOGO")</f>
        <v xml:space="preserve">          4341 - SALES RETURN NON TAXABLE-LOGO</v>
      </c>
      <c r="C78" s="12"/>
      <c r="D78" s="3">
        <f>0</f>
        <v>0</v>
      </c>
      <c r="E78" s="3"/>
      <c r="F78" s="20"/>
      <c r="G78" s="3"/>
      <c r="H78" s="3">
        <f>-29.9</f>
        <v>-29.9</v>
      </c>
      <c r="I78" s="3"/>
      <c r="J78" s="20"/>
      <c r="K78" s="3"/>
      <c r="L78" s="3">
        <f t="shared" si="4"/>
        <v>29.9</v>
      </c>
      <c r="M78" s="3"/>
      <c r="N78" s="20">
        <f t="shared" si="5"/>
        <v>-1</v>
      </c>
      <c r="O78" s="12"/>
      <c r="P78" s="3">
        <f>0</f>
        <v>0</v>
      </c>
      <c r="Q78" s="3"/>
      <c r="R78" s="20"/>
      <c r="S78" s="3"/>
      <c r="T78" s="3">
        <f>-392.54</f>
        <v>-392.54</v>
      </c>
      <c r="U78" s="3"/>
      <c r="V78" s="20"/>
      <c r="W78" s="3"/>
      <c r="X78" s="3">
        <f t="shared" si="6"/>
        <v>392.54</v>
      </c>
      <c r="Y78" s="3"/>
      <c r="Z78" s="20">
        <f t="shared" si="7"/>
        <v>-1</v>
      </c>
    </row>
    <row r="79" spans="1:26" s="69" customFormat="1" ht="15" hidden="1" customHeight="1" outlineLevel="1" x14ac:dyDescent="0.3">
      <c r="A79" s="42"/>
      <c r="B79" s="12" t="str">
        <f>CONCATENATE("          ","4342"," - ","SALES RETURN NON TAXABLE-EVERY")</f>
        <v xml:space="preserve">          4342 - SALES RETURN NON TAXABLE-EVERY</v>
      </c>
      <c r="C79" s="12"/>
      <c r="D79" s="3">
        <f>0</f>
        <v>0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4"/>
        <v>0</v>
      </c>
      <c r="M79" s="3"/>
      <c r="N79" s="20">
        <f t="shared" si="5"/>
        <v>0</v>
      </c>
      <c r="O79" s="12"/>
      <c r="P79" s="3">
        <f>0</f>
        <v>0</v>
      </c>
      <c r="Q79" s="3"/>
      <c r="R79" s="20"/>
      <c r="S79" s="3"/>
      <c r="T79" s="3">
        <f>-118.7</f>
        <v>-118.7</v>
      </c>
      <c r="U79" s="3"/>
      <c r="V79" s="20"/>
      <c r="W79" s="3"/>
      <c r="X79" s="3">
        <f t="shared" si="6"/>
        <v>118.7</v>
      </c>
      <c r="Y79" s="3"/>
      <c r="Z79" s="20">
        <f t="shared" si="7"/>
        <v>-1</v>
      </c>
    </row>
    <row r="80" spans="1:26" s="69" customFormat="1" ht="15" hidden="1" customHeight="1" outlineLevel="1" x14ac:dyDescent="0.3">
      <c r="A80" s="42"/>
      <c r="B80" s="12" t="str">
        <f>CONCATENATE("          ","4500"," - ","SALES DISCOUNT")</f>
        <v xml:space="preserve">          4500 - SALES DISCOUNT</v>
      </c>
      <c r="C80" s="12"/>
      <c r="D80" s="3">
        <f>-9360.04</f>
        <v>-9360.0400000000009</v>
      </c>
      <c r="E80" s="3"/>
      <c r="F80" s="20"/>
      <c r="G80" s="3"/>
      <c r="H80" s="3">
        <f>0</f>
        <v>0</v>
      </c>
      <c r="I80" s="3"/>
      <c r="J80" s="20"/>
      <c r="K80" s="3"/>
      <c r="L80" s="3">
        <f t="shared" si="4"/>
        <v>-9360.0400000000009</v>
      </c>
      <c r="M80" s="3"/>
      <c r="N80" s="20">
        <f t="shared" si="5"/>
        <v>0</v>
      </c>
      <c r="O80" s="12"/>
      <c r="P80" s="3">
        <f>-91907.14</f>
        <v>-91907.14</v>
      </c>
      <c r="Q80" s="3"/>
      <c r="R80" s="20"/>
      <c r="S80" s="3"/>
      <c r="T80" s="3">
        <f>0</f>
        <v>0</v>
      </c>
      <c r="U80" s="3"/>
      <c r="V80" s="20"/>
      <c r="W80" s="3"/>
      <c r="X80" s="3">
        <f t="shared" si="6"/>
        <v>-91907.14</v>
      </c>
      <c r="Y80" s="3"/>
      <c r="Z80" s="20">
        <f t="shared" si="7"/>
        <v>0</v>
      </c>
    </row>
    <row r="81" spans="1:26" ht="15" customHeight="1" x14ac:dyDescent="0.3">
      <c r="A81" s="10"/>
      <c r="B81" s="11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collapsed="1" x14ac:dyDescent="0.3">
      <c r="A82" s="11"/>
      <c r="B82" s="28" t="s">
        <v>287</v>
      </c>
      <c r="C82" s="11"/>
      <c r="D82" s="5">
        <f>SUM(OSRRefD16x_0)</f>
        <v>259262.7</v>
      </c>
      <c r="E82" s="5"/>
      <c r="F82" s="13">
        <f t="shared" ref="F82:F123" si="8">IF(D$12=0,0,D82/D$12)</f>
        <v>0.43729155771106454</v>
      </c>
      <c r="G82" s="5"/>
      <c r="H82" s="5">
        <f>SUM(OSRRefH16x_0)</f>
        <v>98448.850000000049</v>
      </c>
      <c r="I82" s="5"/>
      <c r="J82" s="13">
        <f t="shared" ref="J82:J123" si="9">IF(H$12=0,0,H82/H$12)</f>
        <v>0.5353545592158816</v>
      </c>
      <c r="K82" s="5"/>
      <c r="L82" s="5">
        <f t="shared" ref="L82:L123" si="10">+D82-H82</f>
        <v>160813.84999999998</v>
      </c>
      <c r="M82" s="5"/>
      <c r="N82" s="13">
        <f t="shared" ref="N82:N123" si="11">IF(H82=0,0,L82/H82)</f>
        <v>1.6334761655418006</v>
      </c>
      <c r="O82" s="11"/>
      <c r="P82" s="5">
        <f>SUM(OSRRefP16x_0)</f>
        <v>3319535.3400000003</v>
      </c>
      <c r="Q82" s="5"/>
      <c r="R82" s="13">
        <f t="shared" ref="R82:R123" si="12">IF(P$12=0,0,P82/P$12)</f>
        <v>0.57349714978751798</v>
      </c>
      <c r="S82" s="5"/>
      <c r="T82" s="5">
        <f>SUM(OSRRefT16x_0)</f>
        <v>2720975.7600000002</v>
      </c>
      <c r="U82" s="5"/>
      <c r="V82" s="13">
        <f t="shared" ref="V82:V123" si="13">IF(T$12=0,0,T82/T$12)</f>
        <v>0.63810160281927164</v>
      </c>
      <c r="W82" s="5"/>
      <c r="X82" s="5">
        <f t="shared" ref="X82:X123" si="14">+P82-T82</f>
        <v>598559.58000000007</v>
      </c>
      <c r="Y82" s="5"/>
      <c r="Z82" s="13">
        <f t="shared" ref="Z82:Z123" si="15">IF(T82=0,0,X82/T82)</f>
        <v>0.21997975461567509</v>
      </c>
    </row>
    <row r="83" spans="1:26" s="69" customFormat="1" ht="15" hidden="1" customHeight="1" outlineLevel="1" x14ac:dyDescent="0.3">
      <c r="A83" s="42"/>
      <c r="B83" s="12" t="str">
        <f>CONCATENATE("          ","5000"," - ","PURCHASES @ COST")</f>
        <v xml:space="preserve">          5000 - PURCHASES @ COST</v>
      </c>
      <c r="C83" s="12"/>
      <c r="D83" s="3">
        <v>115773.52</v>
      </c>
      <c r="E83" s="3"/>
      <c r="F83" s="20">
        <f t="shared" si="8"/>
        <v>0.19527214251218197</v>
      </c>
      <c r="G83" s="3"/>
      <c r="H83" s="3">
        <v>0</v>
      </c>
      <c r="I83" s="3"/>
      <c r="J83" s="20">
        <f t="shared" si="9"/>
        <v>0</v>
      </c>
      <c r="K83" s="3"/>
      <c r="L83" s="3">
        <f t="shared" si="10"/>
        <v>115773.52</v>
      </c>
      <c r="M83" s="3"/>
      <c r="N83" s="20">
        <f t="shared" si="11"/>
        <v>0</v>
      </c>
      <c r="O83" s="12"/>
      <c r="P83" s="3">
        <v>3527143.49</v>
      </c>
      <c r="Q83" s="3"/>
      <c r="R83" s="20">
        <f t="shared" si="12"/>
        <v>0.60936442339746233</v>
      </c>
      <c r="S83" s="3"/>
      <c r="T83" s="3">
        <v>0</v>
      </c>
      <c r="U83" s="3"/>
      <c r="V83" s="20">
        <f t="shared" si="13"/>
        <v>0</v>
      </c>
      <c r="W83" s="3"/>
      <c r="X83" s="3">
        <f t="shared" si="14"/>
        <v>3527143.49</v>
      </c>
      <c r="Y83" s="3"/>
      <c r="Z83" s="20">
        <f t="shared" si="15"/>
        <v>0</v>
      </c>
    </row>
    <row r="84" spans="1:26" s="69" customFormat="1" ht="15" hidden="1" customHeight="1" outlineLevel="1" x14ac:dyDescent="0.3">
      <c r="A84" s="42"/>
      <c r="B84" s="12" t="str">
        <f>CONCATENATE("          ","5001"," - ","PURCHASES @ COST-NEW TEXT")</f>
        <v xml:space="preserve">          5001 - PURCHASES @ COST-NEW TEXT</v>
      </c>
      <c r="C84" s="12"/>
      <c r="D84" s="3"/>
      <c r="E84" s="3"/>
      <c r="F84" s="20">
        <f t="shared" si="8"/>
        <v>0</v>
      </c>
      <c r="G84" s="3"/>
      <c r="H84" s="3">
        <v>-290899.24</v>
      </c>
      <c r="I84" s="3"/>
      <c r="J84" s="20">
        <f t="shared" si="9"/>
        <v>-1.5818796705744647</v>
      </c>
      <c r="K84" s="3"/>
      <c r="L84" s="3">
        <f t="shared" si="10"/>
        <v>290899.24</v>
      </c>
      <c r="M84" s="3"/>
      <c r="N84" s="20">
        <f t="shared" si="11"/>
        <v>-1</v>
      </c>
      <c r="O84" s="12"/>
      <c r="P84" s="3">
        <v>0</v>
      </c>
      <c r="Q84" s="3"/>
      <c r="R84" s="20">
        <f t="shared" si="12"/>
        <v>0</v>
      </c>
      <c r="S84" s="3"/>
      <c r="T84" s="3">
        <v>1035516.4</v>
      </c>
      <c r="U84" s="3"/>
      <c r="V84" s="20">
        <f t="shared" si="13"/>
        <v>0.24284107352196402</v>
      </c>
      <c r="W84" s="3"/>
      <c r="X84" s="3">
        <f t="shared" si="14"/>
        <v>-1035516.4</v>
      </c>
      <c r="Y84" s="3"/>
      <c r="Z84" s="20">
        <f t="shared" si="15"/>
        <v>-1</v>
      </c>
    </row>
    <row r="85" spans="1:26" s="69" customFormat="1" ht="15" hidden="1" customHeight="1" outlineLevel="1" x14ac:dyDescent="0.3">
      <c r="A85" s="42"/>
      <c r="B85" s="12" t="str">
        <f>CONCATENATE("          ","5002"," - ","PURCHASES @ COST-USED TEXT")</f>
        <v xml:space="preserve">          5002 - PURCHASES @ COST-USED TEXT</v>
      </c>
      <c r="C85" s="12"/>
      <c r="D85" s="3"/>
      <c r="E85" s="3"/>
      <c r="F85" s="20">
        <f t="shared" si="8"/>
        <v>0</v>
      </c>
      <c r="G85" s="3"/>
      <c r="H85" s="3">
        <v>14728.45</v>
      </c>
      <c r="I85" s="3"/>
      <c r="J85" s="20">
        <f t="shared" si="9"/>
        <v>8.0091772099756861E-2</v>
      </c>
      <c r="K85" s="3"/>
      <c r="L85" s="3">
        <f t="shared" si="10"/>
        <v>-14728.45</v>
      </c>
      <c r="M85" s="3"/>
      <c r="N85" s="20">
        <f t="shared" si="11"/>
        <v>-1</v>
      </c>
      <c r="O85" s="12"/>
      <c r="P85" s="3">
        <v>0</v>
      </c>
      <c r="Q85" s="3"/>
      <c r="R85" s="20">
        <f t="shared" si="12"/>
        <v>0</v>
      </c>
      <c r="S85" s="3"/>
      <c r="T85" s="3">
        <v>397052.67</v>
      </c>
      <c r="U85" s="3"/>
      <c r="V85" s="20">
        <f t="shared" si="13"/>
        <v>9.3113635503563358E-2</v>
      </c>
      <c r="W85" s="3"/>
      <c r="X85" s="3">
        <f t="shared" si="14"/>
        <v>-397052.67</v>
      </c>
      <c r="Y85" s="3"/>
      <c r="Z85" s="20">
        <f t="shared" si="15"/>
        <v>-1</v>
      </c>
    </row>
    <row r="86" spans="1:26" s="69" customFormat="1" ht="15" hidden="1" customHeight="1" outlineLevel="1" x14ac:dyDescent="0.3">
      <c r="A86" s="42"/>
      <c r="B86" s="12" t="str">
        <f>CONCATENATE("          ","5003"," - ","PURCHASES @ COST-RENTAL TEXT")</f>
        <v xml:space="preserve">          5003 - PURCHASES @ COST-RENTAL TEXT</v>
      </c>
      <c r="C86" s="12"/>
      <c r="D86" s="3"/>
      <c r="E86" s="3"/>
      <c r="F86" s="20">
        <f t="shared" si="8"/>
        <v>0</v>
      </c>
      <c r="G86" s="3"/>
      <c r="H86" s="3"/>
      <c r="I86" s="3"/>
      <c r="J86" s="20">
        <f t="shared" si="9"/>
        <v>0</v>
      </c>
      <c r="K86" s="3"/>
      <c r="L86" s="3">
        <f t="shared" si="10"/>
        <v>0</v>
      </c>
      <c r="M86" s="3"/>
      <c r="N86" s="20">
        <f t="shared" si="11"/>
        <v>0</v>
      </c>
      <c r="O86" s="12"/>
      <c r="P86" s="3"/>
      <c r="Q86" s="3"/>
      <c r="R86" s="20">
        <f t="shared" si="12"/>
        <v>0</v>
      </c>
      <c r="S86" s="3"/>
      <c r="T86" s="3">
        <v>32.520000000000003</v>
      </c>
      <c r="U86" s="3"/>
      <c r="V86" s="20">
        <f t="shared" si="13"/>
        <v>7.6263318581282445E-6</v>
      </c>
      <c r="W86" s="3"/>
      <c r="X86" s="3">
        <f t="shared" si="14"/>
        <v>-32.520000000000003</v>
      </c>
      <c r="Y86" s="3"/>
      <c r="Z86" s="20">
        <f t="shared" si="15"/>
        <v>-1</v>
      </c>
    </row>
    <row r="87" spans="1:26" s="69" customFormat="1" ht="15" hidden="1" customHeight="1" outlineLevel="1" x14ac:dyDescent="0.3">
      <c r="A87" s="42"/>
      <c r="B87" s="12" t="str">
        <f>CONCATENATE("          ","5004"," - ","PURCHASES @ COST-DIGITAL TEXT")</f>
        <v xml:space="preserve">          5004 - PURCHASES @ COST-DIGITAL TEXT</v>
      </c>
      <c r="C87" s="12"/>
      <c r="D87" s="3"/>
      <c r="E87" s="3"/>
      <c r="F87" s="20">
        <f t="shared" si="8"/>
        <v>0</v>
      </c>
      <c r="G87" s="3"/>
      <c r="H87" s="3">
        <v>-13446.08</v>
      </c>
      <c r="I87" s="3"/>
      <c r="J87" s="20">
        <f t="shared" si="9"/>
        <v>-7.3118378036731546E-2</v>
      </c>
      <c r="K87" s="3"/>
      <c r="L87" s="3">
        <f t="shared" si="10"/>
        <v>13446.08</v>
      </c>
      <c r="M87" s="3"/>
      <c r="N87" s="20">
        <f t="shared" si="11"/>
        <v>-1</v>
      </c>
      <c r="O87" s="12"/>
      <c r="P87" s="3">
        <v>0</v>
      </c>
      <c r="Q87" s="3"/>
      <c r="R87" s="20">
        <f t="shared" si="12"/>
        <v>0</v>
      </c>
      <c r="S87" s="3"/>
      <c r="T87" s="3">
        <v>206562.5</v>
      </c>
      <c r="U87" s="3"/>
      <c r="V87" s="20">
        <f t="shared" si="13"/>
        <v>4.8441395278124702E-2</v>
      </c>
      <c r="W87" s="3"/>
      <c r="X87" s="3">
        <f t="shared" si="14"/>
        <v>-206562.5</v>
      </c>
      <c r="Y87" s="3"/>
      <c r="Z87" s="20">
        <f t="shared" si="15"/>
        <v>-1</v>
      </c>
    </row>
    <row r="88" spans="1:26" s="69" customFormat="1" ht="15" hidden="1" customHeight="1" outlineLevel="1" x14ac:dyDescent="0.3">
      <c r="A88" s="42"/>
      <c r="B88" s="12" t="str">
        <f>CONCATENATE("          ","5011"," - ","PURCHASES @ COST-NO VALUE TEXT")</f>
        <v xml:space="preserve">          5011 - PURCHASES @ COST-NO VALUE TEXT</v>
      </c>
      <c r="C88" s="12"/>
      <c r="D88" s="3"/>
      <c r="E88" s="3"/>
      <c r="F88" s="20">
        <f t="shared" si="8"/>
        <v>0</v>
      </c>
      <c r="G88" s="3"/>
      <c r="H88" s="3"/>
      <c r="I88" s="3"/>
      <c r="J88" s="20">
        <f t="shared" si="9"/>
        <v>0</v>
      </c>
      <c r="K88" s="3"/>
      <c r="L88" s="3">
        <f t="shared" si="10"/>
        <v>0</v>
      </c>
      <c r="M88" s="3"/>
      <c r="N88" s="20">
        <f t="shared" si="11"/>
        <v>0</v>
      </c>
      <c r="O88" s="12"/>
      <c r="P88" s="3"/>
      <c r="Q88" s="3"/>
      <c r="R88" s="20">
        <f t="shared" si="12"/>
        <v>0</v>
      </c>
      <c r="S88" s="3"/>
      <c r="T88" s="3">
        <v>67.17</v>
      </c>
      <c r="U88" s="3"/>
      <c r="V88" s="20">
        <f t="shared" si="13"/>
        <v>1.5752174382240904E-5</v>
      </c>
      <c r="W88" s="3"/>
      <c r="X88" s="3">
        <f t="shared" si="14"/>
        <v>-67.17</v>
      </c>
      <c r="Y88" s="3"/>
      <c r="Z88" s="20">
        <f t="shared" si="15"/>
        <v>-1</v>
      </c>
    </row>
    <row r="89" spans="1:26" s="69" customFormat="1" ht="15" hidden="1" customHeight="1" outlineLevel="1" x14ac:dyDescent="0.3">
      <c r="A89" s="42"/>
      <c r="B89" s="12" t="str">
        <f>CONCATENATE("          ","5013"," - ","PURCHASES @ COST-TRADE BOOKS")</f>
        <v xml:space="preserve">          5013 - PURCHASES @ COST-TRADE BOOKS</v>
      </c>
      <c r="C89" s="12"/>
      <c r="D89" s="3"/>
      <c r="E89" s="3"/>
      <c r="F89" s="20">
        <f t="shared" si="8"/>
        <v>0</v>
      </c>
      <c r="G89" s="3"/>
      <c r="H89" s="3">
        <v>2907.93</v>
      </c>
      <c r="I89" s="3"/>
      <c r="J89" s="20">
        <f t="shared" si="9"/>
        <v>1.5813019485556589E-2</v>
      </c>
      <c r="K89" s="3"/>
      <c r="L89" s="3">
        <f t="shared" si="10"/>
        <v>-2907.93</v>
      </c>
      <c r="M89" s="3"/>
      <c r="N89" s="20">
        <f t="shared" si="11"/>
        <v>-1</v>
      </c>
      <c r="O89" s="12"/>
      <c r="P89" s="3"/>
      <c r="Q89" s="3"/>
      <c r="R89" s="20">
        <f t="shared" si="12"/>
        <v>0</v>
      </c>
      <c r="S89" s="3"/>
      <c r="T89" s="3">
        <v>8870.02</v>
      </c>
      <c r="U89" s="3"/>
      <c r="V89" s="20">
        <f t="shared" si="13"/>
        <v>2.0801265715939326E-3</v>
      </c>
      <c r="W89" s="3"/>
      <c r="X89" s="3">
        <f t="shared" si="14"/>
        <v>-8870.02</v>
      </c>
      <c r="Y89" s="3"/>
      <c r="Z89" s="20">
        <f t="shared" si="15"/>
        <v>-1</v>
      </c>
    </row>
    <row r="90" spans="1:26" s="69" customFormat="1" ht="15" hidden="1" customHeight="1" outlineLevel="1" x14ac:dyDescent="0.3">
      <c r="A90" s="42"/>
      <c r="B90" s="12" t="str">
        <f>CONCATENATE("          ","5014"," - ","PURCHASES @ COST-REMAINDERS")</f>
        <v xml:space="preserve">          5014 - PURCHASES @ COST-REMAINDERS</v>
      </c>
      <c r="C90" s="12"/>
      <c r="D90" s="3"/>
      <c r="E90" s="3"/>
      <c r="F90" s="20">
        <f t="shared" si="8"/>
        <v>0</v>
      </c>
      <c r="G90" s="3"/>
      <c r="H90" s="3"/>
      <c r="I90" s="3"/>
      <c r="J90" s="20">
        <f t="shared" si="9"/>
        <v>0</v>
      </c>
      <c r="K90" s="3"/>
      <c r="L90" s="3">
        <f t="shared" si="10"/>
        <v>0</v>
      </c>
      <c r="M90" s="3"/>
      <c r="N90" s="20">
        <f t="shared" si="11"/>
        <v>0</v>
      </c>
      <c r="O90" s="12"/>
      <c r="P90" s="3"/>
      <c r="Q90" s="3"/>
      <c r="R90" s="20">
        <f t="shared" si="12"/>
        <v>0</v>
      </c>
      <c r="S90" s="3"/>
      <c r="T90" s="3">
        <v>111.57</v>
      </c>
      <c r="U90" s="3"/>
      <c r="V90" s="20">
        <f t="shared" si="13"/>
        <v>2.6164509391493486E-5</v>
      </c>
      <c r="W90" s="3"/>
      <c r="X90" s="3">
        <f t="shared" si="14"/>
        <v>-111.57</v>
      </c>
      <c r="Y90" s="3"/>
      <c r="Z90" s="20">
        <f t="shared" si="15"/>
        <v>-1</v>
      </c>
    </row>
    <row r="91" spans="1:26" s="69" customFormat="1" ht="15" hidden="1" customHeight="1" outlineLevel="1" x14ac:dyDescent="0.3">
      <c r="A91" s="42"/>
      <c r="B91" s="12" t="str">
        <f>CONCATENATE("          ","5018"," - ","PURCHASES @ COST-STUDY GUIDES")</f>
        <v xml:space="preserve">          5018 - PURCHASES @ COST-STUDY GUIDES</v>
      </c>
      <c r="C91" s="12"/>
      <c r="D91" s="3"/>
      <c r="E91" s="3"/>
      <c r="F91" s="20">
        <f t="shared" si="8"/>
        <v>0</v>
      </c>
      <c r="G91" s="3"/>
      <c r="H91" s="3">
        <v>444.87</v>
      </c>
      <c r="I91" s="3"/>
      <c r="J91" s="20">
        <f t="shared" si="9"/>
        <v>2.4191565747936025E-3</v>
      </c>
      <c r="K91" s="3"/>
      <c r="L91" s="3">
        <f t="shared" si="10"/>
        <v>-444.87</v>
      </c>
      <c r="M91" s="3"/>
      <c r="N91" s="20">
        <f t="shared" si="11"/>
        <v>-1</v>
      </c>
      <c r="O91" s="12"/>
      <c r="P91" s="3"/>
      <c r="Q91" s="3"/>
      <c r="R91" s="20">
        <f t="shared" si="12"/>
        <v>0</v>
      </c>
      <c r="S91" s="3"/>
      <c r="T91" s="3">
        <v>967.21</v>
      </c>
      <c r="U91" s="3"/>
      <c r="V91" s="20">
        <f t="shared" si="13"/>
        <v>2.268223996463782E-4</v>
      </c>
      <c r="W91" s="3"/>
      <c r="X91" s="3">
        <f t="shared" si="14"/>
        <v>-967.21</v>
      </c>
      <c r="Y91" s="3"/>
      <c r="Z91" s="20">
        <f t="shared" si="15"/>
        <v>-1</v>
      </c>
    </row>
    <row r="92" spans="1:26" s="69" customFormat="1" ht="15" hidden="1" customHeight="1" outlineLevel="1" x14ac:dyDescent="0.3">
      <c r="A92" s="42"/>
      <c r="B92" s="12" t="str">
        <f>CONCATENATE("          ","5025"," - ","PURCHASES @ COST-TEST FORMS")</f>
        <v xml:space="preserve">          5025 - PURCHASES @ COST-TEST FORMS</v>
      </c>
      <c r="C92" s="12"/>
      <c r="D92" s="3"/>
      <c r="E92" s="3"/>
      <c r="F92" s="20">
        <f t="shared" si="8"/>
        <v>0</v>
      </c>
      <c r="G92" s="3"/>
      <c r="H92" s="3"/>
      <c r="I92" s="3"/>
      <c r="J92" s="20">
        <f t="shared" si="9"/>
        <v>0</v>
      </c>
      <c r="K92" s="3"/>
      <c r="L92" s="3">
        <f t="shared" si="10"/>
        <v>0</v>
      </c>
      <c r="M92" s="3"/>
      <c r="N92" s="20">
        <f t="shared" si="11"/>
        <v>0</v>
      </c>
      <c r="O92" s="12"/>
      <c r="P92" s="3"/>
      <c r="Q92" s="3"/>
      <c r="R92" s="20">
        <f t="shared" si="12"/>
        <v>0</v>
      </c>
      <c r="S92" s="3"/>
      <c r="T92" s="3">
        <v>599.29</v>
      </c>
      <c r="U92" s="3"/>
      <c r="V92" s="20">
        <f t="shared" si="13"/>
        <v>1.4054072629943651E-4</v>
      </c>
      <c r="W92" s="3"/>
      <c r="X92" s="3">
        <f t="shared" si="14"/>
        <v>-599.29</v>
      </c>
      <c r="Y92" s="3"/>
      <c r="Z92" s="20">
        <f t="shared" si="15"/>
        <v>-1</v>
      </c>
    </row>
    <row r="93" spans="1:26" s="69" customFormat="1" ht="15" hidden="1" customHeight="1" outlineLevel="1" x14ac:dyDescent="0.3">
      <c r="A93" s="42"/>
      <c r="B93" s="12" t="str">
        <f>CONCATENATE("          ","5026"," - ","PURCHASES @ COST-WRITING INSTR")</f>
        <v xml:space="preserve">          5026 - PURCHASES @ COST-WRITING INSTR</v>
      </c>
      <c r="C93" s="12"/>
      <c r="D93" s="3"/>
      <c r="E93" s="3"/>
      <c r="F93" s="20">
        <f t="shared" si="8"/>
        <v>0</v>
      </c>
      <c r="G93" s="3"/>
      <c r="H93" s="3">
        <v>209.64</v>
      </c>
      <c r="I93" s="3"/>
      <c r="J93" s="20">
        <f t="shared" si="9"/>
        <v>1.1400004143676372E-3</v>
      </c>
      <c r="K93" s="3"/>
      <c r="L93" s="3">
        <f t="shared" si="10"/>
        <v>-209.64</v>
      </c>
      <c r="M93" s="3"/>
      <c r="N93" s="20">
        <f t="shared" si="11"/>
        <v>-1</v>
      </c>
      <c r="O93" s="12"/>
      <c r="P93" s="3">
        <v>0</v>
      </c>
      <c r="Q93" s="3"/>
      <c r="R93" s="20">
        <f t="shared" si="12"/>
        <v>0</v>
      </c>
      <c r="S93" s="3"/>
      <c r="T93" s="3">
        <v>584.54999999999995</v>
      </c>
      <c r="U93" s="3"/>
      <c r="V93" s="20">
        <f t="shared" si="13"/>
        <v>1.3708401868600445E-4</v>
      </c>
      <c r="W93" s="3"/>
      <c r="X93" s="3">
        <f t="shared" si="14"/>
        <v>-584.54999999999995</v>
      </c>
      <c r="Y93" s="3"/>
      <c r="Z93" s="20">
        <f t="shared" si="15"/>
        <v>-1</v>
      </c>
    </row>
    <row r="94" spans="1:26" s="69" customFormat="1" ht="15" hidden="1" customHeight="1" outlineLevel="1" x14ac:dyDescent="0.3">
      <c r="A94" s="42"/>
      <c r="B94" s="12" t="str">
        <f>CONCATENATE("          ","5027"," - ","PURCHASES @ COST-SCHOOL SUPPLI")</f>
        <v xml:space="preserve">          5027 - PURCHASES @ COST-SCHOOL SUPPLI</v>
      </c>
      <c r="C94" s="12"/>
      <c r="D94" s="3"/>
      <c r="E94" s="3"/>
      <c r="F94" s="20">
        <f t="shared" si="8"/>
        <v>0</v>
      </c>
      <c r="G94" s="3"/>
      <c r="H94" s="3">
        <v>2824.53</v>
      </c>
      <c r="I94" s="3"/>
      <c r="J94" s="20">
        <f t="shared" si="9"/>
        <v>1.5359499000161338E-2</v>
      </c>
      <c r="K94" s="3"/>
      <c r="L94" s="3">
        <f t="shared" si="10"/>
        <v>-2824.53</v>
      </c>
      <c r="M94" s="3"/>
      <c r="N94" s="20">
        <f t="shared" si="11"/>
        <v>-1</v>
      </c>
      <c r="O94" s="12"/>
      <c r="P94" s="3">
        <v>0</v>
      </c>
      <c r="Q94" s="3"/>
      <c r="R94" s="20">
        <f t="shared" si="12"/>
        <v>0</v>
      </c>
      <c r="S94" s="3"/>
      <c r="T94" s="3">
        <v>21895.88</v>
      </c>
      <c r="U94" s="3"/>
      <c r="V94" s="20">
        <f t="shared" si="13"/>
        <v>5.1348477000539069E-3</v>
      </c>
      <c r="W94" s="3"/>
      <c r="X94" s="3">
        <f t="shared" si="14"/>
        <v>-21895.88</v>
      </c>
      <c r="Y94" s="3"/>
      <c r="Z94" s="20">
        <f t="shared" si="15"/>
        <v>-1</v>
      </c>
    </row>
    <row r="95" spans="1:26" s="69" customFormat="1" ht="15" hidden="1" customHeight="1" outlineLevel="1" x14ac:dyDescent="0.3">
      <c r="A95" s="42"/>
      <c r="B95" s="12" t="str">
        <f>CONCATENATE("          ","5028"," - ","PURCHASES @ COST-ART/TECH")</f>
        <v xml:space="preserve">          5028 - PURCHASES @ COST-ART/TECH</v>
      </c>
      <c r="C95" s="12"/>
      <c r="D95" s="3"/>
      <c r="E95" s="3"/>
      <c r="F95" s="20">
        <f t="shared" si="8"/>
        <v>0</v>
      </c>
      <c r="G95" s="3"/>
      <c r="H95" s="3">
        <v>3443.78</v>
      </c>
      <c r="I95" s="3"/>
      <c r="J95" s="20">
        <f t="shared" si="9"/>
        <v>1.8726915793698638E-2</v>
      </c>
      <c r="K95" s="3"/>
      <c r="L95" s="3">
        <f t="shared" si="10"/>
        <v>-3443.78</v>
      </c>
      <c r="M95" s="3"/>
      <c r="N95" s="20">
        <f t="shared" si="11"/>
        <v>-1</v>
      </c>
      <c r="O95" s="12"/>
      <c r="P95" s="3">
        <v>0</v>
      </c>
      <c r="Q95" s="3"/>
      <c r="R95" s="20">
        <f t="shared" si="12"/>
        <v>0</v>
      </c>
      <c r="S95" s="3"/>
      <c r="T95" s="3">
        <v>45635.360000000001</v>
      </c>
      <c r="U95" s="3"/>
      <c r="V95" s="20">
        <f t="shared" si="13"/>
        <v>1.0702041815041554E-2</v>
      </c>
      <c r="W95" s="3"/>
      <c r="X95" s="3">
        <f t="shared" si="14"/>
        <v>-45635.360000000001</v>
      </c>
      <c r="Y95" s="3"/>
      <c r="Z95" s="20">
        <f t="shared" si="15"/>
        <v>-1</v>
      </c>
    </row>
    <row r="96" spans="1:26" s="69" customFormat="1" ht="15" hidden="1" customHeight="1" outlineLevel="1" x14ac:dyDescent="0.3">
      <c r="A96" s="42"/>
      <c r="B96" s="12" t="str">
        <f>CONCATENATE("          ","5031"," - ","PURCHASES @ COST-FOOD")</f>
        <v xml:space="preserve">          5031 - PURCHASES @ COST-FOOD</v>
      </c>
      <c r="C96" s="12"/>
      <c r="D96" s="3"/>
      <c r="E96" s="3"/>
      <c r="F96" s="20">
        <f t="shared" si="8"/>
        <v>0</v>
      </c>
      <c r="G96" s="3"/>
      <c r="H96" s="3"/>
      <c r="I96" s="3"/>
      <c r="J96" s="20">
        <f t="shared" si="9"/>
        <v>0</v>
      </c>
      <c r="K96" s="3"/>
      <c r="L96" s="3">
        <f t="shared" si="10"/>
        <v>0</v>
      </c>
      <c r="M96" s="3"/>
      <c r="N96" s="20">
        <f t="shared" si="11"/>
        <v>0</v>
      </c>
      <c r="O96" s="12"/>
      <c r="P96" s="3">
        <v>0</v>
      </c>
      <c r="Q96" s="3"/>
      <c r="R96" s="20">
        <f t="shared" si="12"/>
        <v>0</v>
      </c>
      <c r="S96" s="3"/>
      <c r="T96" s="3">
        <v>7785.72</v>
      </c>
      <c r="U96" s="3"/>
      <c r="V96" s="20">
        <f t="shared" si="13"/>
        <v>1.825845156041397E-3</v>
      </c>
      <c r="W96" s="3"/>
      <c r="X96" s="3">
        <f t="shared" si="14"/>
        <v>-7785.72</v>
      </c>
      <c r="Y96" s="3"/>
      <c r="Z96" s="20">
        <f t="shared" si="15"/>
        <v>-1</v>
      </c>
    </row>
    <row r="97" spans="1:26" s="69" customFormat="1" ht="15" hidden="1" customHeight="1" outlineLevel="1" x14ac:dyDescent="0.3">
      <c r="A97" s="42"/>
      <c r="B97" s="12" t="str">
        <f>CONCATENATE("          ","5040"," - ","PURCHASES @ COST-LOGO CLOTHING")</f>
        <v xml:space="preserve">          5040 - PURCHASES @ COST-LOGO CLOTHING</v>
      </c>
      <c r="C97" s="12"/>
      <c r="D97" s="3"/>
      <c r="E97" s="3"/>
      <c r="F97" s="20">
        <f t="shared" si="8"/>
        <v>0</v>
      </c>
      <c r="G97" s="3"/>
      <c r="H97" s="3">
        <v>45900.51</v>
      </c>
      <c r="I97" s="3"/>
      <c r="J97" s="20">
        <f t="shared" si="9"/>
        <v>0.24960217715934879</v>
      </c>
      <c r="K97" s="3"/>
      <c r="L97" s="3">
        <f t="shared" si="10"/>
        <v>-45900.51</v>
      </c>
      <c r="M97" s="3"/>
      <c r="N97" s="20">
        <f t="shared" si="11"/>
        <v>-1</v>
      </c>
      <c r="O97" s="12"/>
      <c r="P97" s="3">
        <v>0</v>
      </c>
      <c r="Q97" s="3"/>
      <c r="R97" s="20">
        <f t="shared" si="12"/>
        <v>0</v>
      </c>
      <c r="S97" s="3"/>
      <c r="T97" s="3">
        <v>239871.6</v>
      </c>
      <c r="U97" s="3"/>
      <c r="V97" s="20">
        <f t="shared" si="13"/>
        <v>5.6252780594716945E-2</v>
      </c>
      <c r="W97" s="3"/>
      <c r="X97" s="3">
        <f t="shared" si="14"/>
        <v>-239871.6</v>
      </c>
      <c r="Y97" s="3"/>
      <c r="Z97" s="20">
        <f t="shared" si="15"/>
        <v>-1</v>
      </c>
    </row>
    <row r="98" spans="1:26" s="69" customFormat="1" ht="15" hidden="1" customHeight="1" outlineLevel="1" x14ac:dyDescent="0.3">
      <c r="A98" s="42"/>
      <c r="B98" s="12" t="str">
        <f>CONCATENATE("          ","5041"," - ","PURCHASES @ COST-LOGO GIFTS")</f>
        <v xml:space="preserve">          5041 - PURCHASES @ COST-LOGO GIFTS</v>
      </c>
      <c r="C98" s="12"/>
      <c r="D98" s="3"/>
      <c r="E98" s="3"/>
      <c r="F98" s="20">
        <f t="shared" si="8"/>
        <v>0</v>
      </c>
      <c r="G98" s="3"/>
      <c r="H98" s="3">
        <v>899.63</v>
      </c>
      <c r="I98" s="3"/>
      <c r="J98" s="20">
        <f t="shared" si="9"/>
        <v>4.8920939361646511E-3</v>
      </c>
      <c r="K98" s="3"/>
      <c r="L98" s="3">
        <f t="shared" si="10"/>
        <v>-899.63</v>
      </c>
      <c r="M98" s="3"/>
      <c r="N98" s="20">
        <f t="shared" si="11"/>
        <v>-1</v>
      </c>
      <c r="O98" s="12"/>
      <c r="P98" s="3">
        <v>0</v>
      </c>
      <c r="Q98" s="3"/>
      <c r="R98" s="20">
        <f t="shared" si="12"/>
        <v>0</v>
      </c>
      <c r="S98" s="3"/>
      <c r="T98" s="3">
        <v>68463.44</v>
      </c>
      <c r="U98" s="3"/>
      <c r="V98" s="20">
        <f t="shared" si="13"/>
        <v>1.6055501647879816E-2</v>
      </c>
      <c r="W98" s="3"/>
      <c r="X98" s="3">
        <f t="shared" si="14"/>
        <v>-68463.44</v>
      </c>
      <c r="Y98" s="3"/>
      <c r="Z98" s="20">
        <f t="shared" si="15"/>
        <v>-1</v>
      </c>
    </row>
    <row r="99" spans="1:26" s="69" customFormat="1" ht="15" hidden="1" customHeight="1" outlineLevel="1" x14ac:dyDescent="0.3">
      <c r="A99" s="42"/>
      <c r="B99" s="12" t="str">
        <f>CONCATENATE("          ","5042"," - ","PURCHASES @ COST-EVERYDAY GIFT")</f>
        <v xml:space="preserve">          5042 - PURCHASES @ COST-EVERYDAY GIFT</v>
      </c>
      <c r="C99" s="12"/>
      <c r="D99" s="3"/>
      <c r="E99" s="3"/>
      <c r="F99" s="20">
        <f t="shared" si="8"/>
        <v>0</v>
      </c>
      <c r="G99" s="3"/>
      <c r="H99" s="3">
        <v>-270</v>
      </c>
      <c r="I99" s="3"/>
      <c r="J99" s="20">
        <f t="shared" si="9"/>
        <v>-1.4682317872508207E-3</v>
      </c>
      <c r="K99" s="3"/>
      <c r="L99" s="3">
        <f t="shared" si="10"/>
        <v>270</v>
      </c>
      <c r="M99" s="3"/>
      <c r="N99" s="20">
        <f t="shared" si="11"/>
        <v>-1</v>
      </c>
      <c r="O99" s="12"/>
      <c r="P99" s="3">
        <v>0</v>
      </c>
      <c r="Q99" s="3"/>
      <c r="R99" s="20">
        <f t="shared" si="12"/>
        <v>0</v>
      </c>
      <c r="S99" s="3"/>
      <c r="T99" s="3">
        <v>18748.18</v>
      </c>
      <c r="U99" s="3"/>
      <c r="V99" s="20">
        <f t="shared" si="13"/>
        <v>4.3966741210308361E-3</v>
      </c>
      <c r="W99" s="3"/>
      <c r="X99" s="3">
        <f t="shared" si="14"/>
        <v>-18748.18</v>
      </c>
      <c r="Y99" s="3"/>
      <c r="Z99" s="20">
        <f t="shared" si="15"/>
        <v>-1</v>
      </c>
    </row>
    <row r="100" spans="1:26" s="69" customFormat="1" ht="15" hidden="1" customHeight="1" outlineLevel="1" x14ac:dyDescent="0.3">
      <c r="A100" s="42"/>
      <c r="B100" s="12" t="str">
        <f>CONCATENATE("          ","5043"," - ","PURCHASES @ COST-CARDS")</f>
        <v xml:space="preserve">          5043 - PURCHASES @ COST-CARDS</v>
      </c>
      <c r="C100" s="12"/>
      <c r="D100" s="3"/>
      <c r="E100" s="3"/>
      <c r="F100" s="20">
        <f t="shared" si="8"/>
        <v>0</v>
      </c>
      <c r="G100" s="3"/>
      <c r="H100" s="3"/>
      <c r="I100" s="3"/>
      <c r="J100" s="20">
        <f t="shared" si="9"/>
        <v>0</v>
      </c>
      <c r="K100" s="3"/>
      <c r="L100" s="3">
        <f t="shared" si="10"/>
        <v>0</v>
      </c>
      <c r="M100" s="3"/>
      <c r="N100" s="20">
        <f t="shared" si="11"/>
        <v>0</v>
      </c>
      <c r="O100" s="12"/>
      <c r="P100" s="3">
        <v>0</v>
      </c>
      <c r="Q100" s="3"/>
      <c r="R100" s="20">
        <f t="shared" si="12"/>
        <v>0</v>
      </c>
      <c r="S100" s="3"/>
      <c r="T100" s="3">
        <v>55364.33</v>
      </c>
      <c r="U100" s="3"/>
      <c r="V100" s="20">
        <f t="shared" si="13"/>
        <v>1.2983602511775071E-2</v>
      </c>
      <c r="W100" s="3"/>
      <c r="X100" s="3">
        <f t="shared" si="14"/>
        <v>-55364.33</v>
      </c>
      <c r="Y100" s="3"/>
      <c r="Z100" s="20">
        <f t="shared" si="15"/>
        <v>-1</v>
      </c>
    </row>
    <row r="101" spans="1:26" s="69" customFormat="1" ht="15" hidden="1" customHeight="1" outlineLevel="1" x14ac:dyDescent="0.3">
      <c r="A101" s="42"/>
      <c r="B101" s="12" t="str">
        <f>CONCATENATE("          ","5044"," - ","PURCHASES @ COST-ACCESSORIES")</f>
        <v xml:space="preserve">          5044 - PURCHASES @ COST-ACCESSORIES</v>
      </c>
      <c r="C101" s="12"/>
      <c r="D101" s="3"/>
      <c r="E101" s="3"/>
      <c r="F101" s="20">
        <f t="shared" si="8"/>
        <v>0</v>
      </c>
      <c r="G101" s="3"/>
      <c r="H101" s="3"/>
      <c r="I101" s="3"/>
      <c r="J101" s="20">
        <f t="shared" si="9"/>
        <v>0</v>
      </c>
      <c r="K101" s="3"/>
      <c r="L101" s="3">
        <f t="shared" si="10"/>
        <v>0</v>
      </c>
      <c r="M101" s="3"/>
      <c r="N101" s="20">
        <f t="shared" si="11"/>
        <v>0</v>
      </c>
      <c r="O101" s="12"/>
      <c r="P101" s="3">
        <v>0</v>
      </c>
      <c r="Q101" s="3"/>
      <c r="R101" s="20">
        <f t="shared" si="12"/>
        <v>0</v>
      </c>
      <c r="S101" s="3"/>
      <c r="T101" s="3">
        <v>1064.83</v>
      </c>
      <c r="U101" s="3"/>
      <c r="V101" s="20">
        <f t="shared" si="13"/>
        <v>2.4971546594374839E-4</v>
      </c>
      <c r="W101" s="3"/>
      <c r="X101" s="3">
        <f t="shared" si="14"/>
        <v>-1064.83</v>
      </c>
      <c r="Y101" s="3"/>
      <c r="Z101" s="20">
        <f t="shared" si="15"/>
        <v>-1</v>
      </c>
    </row>
    <row r="102" spans="1:26" s="69" customFormat="1" ht="15" hidden="1" customHeight="1" outlineLevel="1" x14ac:dyDescent="0.3">
      <c r="A102" s="42"/>
      <c r="B102" s="12" t="str">
        <f>CONCATENATE("          ","5045"," - ","PURCHASES @ COST-SPECIAL ORDER")</f>
        <v xml:space="preserve">          5045 - PURCHASES @ COST-SPECIAL ORDER</v>
      </c>
      <c r="C102" s="12"/>
      <c r="D102" s="3"/>
      <c r="E102" s="3"/>
      <c r="F102" s="20">
        <f t="shared" si="8"/>
        <v>0</v>
      </c>
      <c r="G102" s="3"/>
      <c r="H102" s="3">
        <v>13853.18</v>
      </c>
      <c r="I102" s="3"/>
      <c r="J102" s="20">
        <f t="shared" si="9"/>
        <v>7.5332145298175279E-2</v>
      </c>
      <c r="K102" s="3"/>
      <c r="L102" s="3">
        <f t="shared" si="10"/>
        <v>-13853.18</v>
      </c>
      <c r="M102" s="3"/>
      <c r="N102" s="20">
        <f t="shared" si="11"/>
        <v>-1</v>
      </c>
      <c r="O102" s="12"/>
      <c r="P102" s="3">
        <v>0</v>
      </c>
      <c r="Q102" s="3"/>
      <c r="R102" s="20">
        <f t="shared" si="12"/>
        <v>0</v>
      </c>
      <c r="S102" s="3"/>
      <c r="T102" s="3">
        <v>109226.69</v>
      </c>
      <c r="U102" s="3"/>
      <c r="V102" s="20">
        <f t="shared" si="13"/>
        <v>2.5614974960175205E-2</v>
      </c>
      <c r="W102" s="3"/>
      <c r="X102" s="3">
        <f t="shared" si="14"/>
        <v>-109226.69</v>
      </c>
      <c r="Y102" s="3"/>
      <c r="Z102" s="20">
        <f t="shared" si="15"/>
        <v>-1</v>
      </c>
    </row>
    <row r="103" spans="1:26" s="69" customFormat="1" ht="15" hidden="1" customHeight="1" outlineLevel="1" x14ac:dyDescent="0.3">
      <c r="A103" s="42"/>
      <c r="B103" s="12" t="str">
        <f>CONCATENATE("          ","5086"," - ","PURCHASES @ COST-COMPUTER SUPP")</f>
        <v xml:space="preserve">          5086 - PURCHASES @ COST-COMPUTER SUPP</v>
      </c>
      <c r="C103" s="12"/>
      <c r="D103" s="3"/>
      <c r="E103" s="3"/>
      <c r="F103" s="20">
        <f t="shared" si="8"/>
        <v>0</v>
      </c>
      <c r="G103" s="3"/>
      <c r="H103" s="3"/>
      <c r="I103" s="3"/>
      <c r="J103" s="20">
        <f t="shared" si="9"/>
        <v>0</v>
      </c>
      <c r="K103" s="3"/>
      <c r="L103" s="3">
        <f t="shared" si="10"/>
        <v>0</v>
      </c>
      <c r="M103" s="3"/>
      <c r="N103" s="20">
        <f t="shared" si="11"/>
        <v>0</v>
      </c>
      <c r="O103" s="12"/>
      <c r="P103" s="3"/>
      <c r="Q103" s="3"/>
      <c r="R103" s="20">
        <f t="shared" si="12"/>
        <v>0</v>
      </c>
      <c r="S103" s="3"/>
      <c r="T103" s="3">
        <v>13.21</v>
      </c>
      <c r="U103" s="3"/>
      <c r="V103" s="20">
        <f t="shared" si="13"/>
        <v>3.097904177302402E-6</v>
      </c>
      <c r="W103" s="3"/>
      <c r="X103" s="3">
        <f t="shared" si="14"/>
        <v>-13.21</v>
      </c>
      <c r="Y103" s="3"/>
      <c r="Z103" s="20">
        <f t="shared" si="15"/>
        <v>-1</v>
      </c>
    </row>
    <row r="104" spans="1:26" s="69" customFormat="1" ht="15" hidden="1" customHeight="1" outlineLevel="1" x14ac:dyDescent="0.3">
      <c r="A104" s="42"/>
      <c r="B104" s="12" t="str">
        <f>CONCATENATE("          ","5092"," - ","PURCHASES @ COST-GRAD MERCH")</f>
        <v xml:space="preserve">          5092 - PURCHASES @ COST-GRAD MERCH</v>
      </c>
      <c r="C104" s="12"/>
      <c r="D104" s="3"/>
      <c r="E104" s="3"/>
      <c r="F104" s="20">
        <f t="shared" si="8"/>
        <v>0</v>
      </c>
      <c r="G104" s="3"/>
      <c r="H104" s="3"/>
      <c r="I104" s="3"/>
      <c r="J104" s="20">
        <f t="shared" si="9"/>
        <v>0</v>
      </c>
      <c r="K104" s="3"/>
      <c r="L104" s="3">
        <f t="shared" si="10"/>
        <v>0</v>
      </c>
      <c r="M104" s="3"/>
      <c r="N104" s="20">
        <f t="shared" si="11"/>
        <v>0</v>
      </c>
      <c r="O104" s="12"/>
      <c r="P104" s="3"/>
      <c r="Q104" s="3"/>
      <c r="R104" s="20">
        <f t="shared" si="12"/>
        <v>0</v>
      </c>
      <c r="S104" s="3"/>
      <c r="T104" s="3">
        <v>0</v>
      </c>
      <c r="U104" s="3"/>
      <c r="V104" s="20">
        <f t="shared" si="13"/>
        <v>0</v>
      </c>
      <c r="W104" s="3"/>
      <c r="X104" s="3">
        <f t="shared" si="14"/>
        <v>0</v>
      </c>
      <c r="Y104" s="3"/>
      <c r="Z104" s="20">
        <f t="shared" si="15"/>
        <v>0</v>
      </c>
    </row>
    <row r="105" spans="1:26" s="69" customFormat="1" ht="15" hidden="1" customHeight="1" outlineLevel="1" x14ac:dyDescent="0.3">
      <c r="A105" s="42"/>
      <c r="B105" s="12" t="str">
        <f>CONCATENATE("          ","5200"," - ","PURCHASES OFFSET")</f>
        <v xml:space="preserve">          5200 - PURCHASES OFFSET</v>
      </c>
      <c r="C105" s="12"/>
      <c r="D105" s="3">
        <v>-141093.01</v>
      </c>
      <c r="E105" s="3"/>
      <c r="F105" s="20">
        <f t="shared" si="8"/>
        <v>-0.23797785846187211</v>
      </c>
      <c r="G105" s="3"/>
      <c r="H105" s="3">
        <v>217068.52</v>
      </c>
      <c r="I105" s="3"/>
      <c r="J105" s="20">
        <f t="shared" si="9"/>
        <v>1.1803959299092242</v>
      </c>
      <c r="K105" s="3"/>
      <c r="L105" s="3">
        <f t="shared" si="10"/>
        <v>-358161.53</v>
      </c>
      <c r="M105" s="3"/>
      <c r="N105" s="20">
        <f t="shared" si="11"/>
        <v>-1.6499929607480626</v>
      </c>
      <c r="O105" s="12"/>
      <c r="P105" s="3">
        <v>-3353138.65</v>
      </c>
      <c r="Q105" s="3"/>
      <c r="R105" s="20">
        <f t="shared" si="12"/>
        <v>-0.57930260161573266</v>
      </c>
      <c r="S105" s="3"/>
      <c r="T105" s="3">
        <v>-1763948.92</v>
      </c>
      <c r="U105" s="3"/>
      <c r="V105" s="20">
        <f t="shared" si="13"/>
        <v>-0.41366727689750643</v>
      </c>
      <c r="W105" s="3"/>
      <c r="X105" s="3">
        <f t="shared" si="14"/>
        <v>-1589189.73</v>
      </c>
      <c r="Y105" s="3"/>
      <c r="Z105" s="20">
        <f t="shared" si="15"/>
        <v>0.90092729555910267</v>
      </c>
    </row>
    <row r="106" spans="1:26" s="69" customFormat="1" ht="15" hidden="1" customHeight="1" outlineLevel="1" x14ac:dyDescent="0.3">
      <c r="A106" s="42"/>
      <c r="B106" s="12" t="str">
        <f>CONCATENATE("          ","5300"," - ","COG$ OFFSET")</f>
        <v xml:space="preserve">          5300 - COG$ OFFSET</v>
      </c>
      <c r="C106" s="12"/>
      <c r="D106" s="3">
        <v>260255.56</v>
      </c>
      <c r="E106" s="3"/>
      <c r="F106" s="20">
        <f t="shared" si="8"/>
        <v>0.43896618848513658</v>
      </c>
      <c r="G106" s="3"/>
      <c r="H106" s="3">
        <v>97595</v>
      </c>
      <c r="I106" s="3"/>
      <c r="J106" s="20">
        <f t="shared" si="9"/>
        <v>0.5307114121360883</v>
      </c>
      <c r="K106" s="3"/>
      <c r="L106" s="3">
        <f t="shared" si="10"/>
        <v>162660.56</v>
      </c>
      <c r="M106" s="3"/>
      <c r="N106" s="20">
        <f t="shared" si="11"/>
        <v>1.6666894820431375</v>
      </c>
      <c r="O106" s="12"/>
      <c r="P106" s="3">
        <v>2997414.09</v>
      </c>
      <c r="Q106" s="3"/>
      <c r="R106" s="20">
        <f t="shared" si="12"/>
        <v>0.51784610232465456</v>
      </c>
      <c r="S106" s="3"/>
      <c r="T106" s="3">
        <v>2177508</v>
      </c>
      <c r="U106" s="3"/>
      <c r="V106" s="20">
        <f t="shared" si="13"/>
        <v>0.51065186444431476</v>
      </c>
      <c r="W106" s="3"/>
      <c r="X106" s="3">
        <f t="shared" si="14"/>
        <v>819906.08999999985</v>
      </c>
      <c r="Y106" s="3"/>
      <c r="Z106" s="20">
        <f t="shared" si="15"/>
        <v>0.3765341344325715</v>
      </c>
    </row>
    <row r="107" spans="1:26" s="69" customFormat="1" ht="15" hidden="1" customHeight="1" outlineLevel="1" x14ac:dyDescent="0.3">
      <c r="A107" s="42"/>
      <c r="B107" s="12" t="str">
        <f>CONCATENATE("          ","5500"," - ","FREIGHT-IN")</f>
        <v xml:space="preserve">          5500 - FREIGHT-IN</v>
      </c>
      <c r="C107" s="12"/>
      <c r="D107" s="3">
        <v>24326.63</v>
      </c>
      <c r="E107" s="3"/>
      <c r="F107" s="20">
        <f t="shared" si="8"/>
        <v>4.1031085175618064E-2</v>
      </c>
      <c r="G107" s="3"/>
      <c r="H107" s="3"/>
      <c r="I107" s="3"/>
      <c r="J107" s="20">
        <f t="shared" si="9"/>
        <v>0</v>
      </c>
      <c r="K107" s="3"/>
      <c r="L107" s="3">
        <f t="shared" si="10"/>
        <v>24326.63</v>
      </c>
      <c r="M107" s="3"/>
      <c r="N107" s="20">
        <f t="shared" si="11"/>
        <v>0</v>
      </c>
      <c r="O107" s="12"/>
      <c r="P107" s="3">
        <v>148116.41</v>
      </c>
      <c r="Q107" s="3"/>
      <c r="R107" s="20">
        <f t="shared" si="12"/>
        <v>2.5589225681133861E-2</v>
      </c>
      <c r="S107" s="3"/>
      <c r="T107" s="3">
        <v>0</v>
      </c>
      <c r="U107" s="3"/>
      <c r="V107" s="20">
        <f t="shared" si="13"/>
        <v>0</v>
      </c>
      <c r="W107" s="3"/>
      <c r="X107" s="3">
        <f t="shared" si="14"/>
        <v>148116.41</v>
      </c>
      <c r="Y107" s="3"/>
      <c r="Z107" s="20">
        <f t="shared" si="15"/>
        <v>0</v>
      </c>
    </row>
    <row r="108" spans="1:26" s="69" customFormat="1" ht="15" hidden="1" customHeight="1" outlineLevel="1" x14ac:dyDescent="0.3">
      <c r="A108" s="42"/>
      <c r="B108" s="12" t="str">
        <f>CONCATENATE("          ","5501"," - ","FREIGHT-IN-NEW TEXT")</f>
        <v xml:space="preserve">          5501 - FREIGHT-IN-NEW TEXT</v>
      </c>
      <c r="C108" s="12"/>
      <c r="D108" s="3"/>
      <c r="E108" s="3"/>
      <c r="F108" s="20">
        <f t="shared" si="8"/>
        <v>0</v>
      </c>
      <c r="G108" s="3"/>
      <c r="H108" s="3">
        <v>785.54</v>
      </c>
      <c r="I108" s="3"/>
      <c r="J108" s="20">
        <f t="shared" si="9"/>
        <v>4.2716844376185547E-3</v>
      </c>
      <c r="K108" s="3"/>
      <c r="L108" s="3">
        <f t="shared" si="10"/>
        <v>-785.54</v>
      </c>
      <c r="M108" s="3"/>
      <c r="N108" s="20">
        <f t="shared" si="11"/>
        <v>-1</v>
      </c>
      <c r="O108" s="12"/>
      <c r="P108" s="3">
        <v>0</v>
      </c>
      <c r="Q108" s="3"/>
      <c r="R108" s="20">
        <f t="shared" si="12"/>
        <v>0</v>
      </c>
      <c r="S108" s="3"/>
      <c r="T108" s="3">
        <v>50042.46</v>
      </c>
      <c r="U108" s="3"/>
      <c r="V108" s="20">
        <f t="shared" si="13"/>
        <v>1.1735559869529776E-2</v>
      </c>
      <c r="W108" s="3"/>
      <c r="X108" s="3">
        <f t="shared" si="14"/>
        <v>-50042.46</v>
      </c>
      <c r="Y108" s="3"/>
      <c r="Z108" s="20">
        <f t="shared" si="15"/>
        <v>-1</v>
      </c>
    </row>
    <row r="109" spans="1:26" s="69" customFormat="1" ht="15" hidden="1" customHeight="1" outlineLevel="1" x14ac:dyDescent="0.3">
      <c r="A109" s="42"/>
      <c r="B109" s="12" t="str">
        <f>CONCATENATE("          ","5502"," - ","FREIGHT-IN-USED TEXT")</f>
        <v xml:space="preserve">          5502 - FREIGHT-IN-USED TEXT</v>
      </c>
      <c r="C109" s="12"/>
      <c r="D109" s="3"/>
      <c r="E109" s="3"/>
      <c r="F109" s="20">
        <f t="shared" si="8"/>
        <v>0</v>
      </c>
      <c r="G109" s="3"/>
      <c r="H109" s="3">
        <v>663.37</v>
      </c>
      <c r="I109" s="3"/>
      <c r="J109" s="20">
        <f t="shared" si="9"/>
        <v>3.6073367433651E-3</v>
      </c>
      <c r="K109" s="3"/>
      <c r="L109" s="3">
        <f t="shared" si="10"/>
        <v>-663.37</v>
      </c>
      <c r="M109" s="3"/>
      <c r="N109" s="20">
        <f t="shared" si="11"/>
        <v>-1</v>
      </c>
      <c r="O109" s="12"/>
      <c r="P109" s="3">
        <v>0</v>
      </c>
      <c r="Q109" s="3"/>
      <c r="R109" s="20">
        <f t="shared" si="12"/>
        <v>0</v>
      </c>
      <c r="S109" s="3"/>
      <c r="T109" s="3">
        <v>17800.13</v>
      </c>
      <c r="U109" s="3"/>
      <c r="V109" s="20">
        <f t="shared" si="13"/>
        <v>4.1743449722578202E-3</v>
      </c>
      <c r="W109" s="3"/>
      <c r="X109" s="3">
        <f t="shared" si="14"/>
        <v>-17800.13</v>
      </c>
      <c r="Y109" s="3"/>
      <c r="Z109" s="20">
        <f t="shared" si="15"/>
        <v>-1</v>
      </c>
    </row>
    <row r="110" spans="1:26" s="69" customFormat="1" ht="15" hidden="1" customHeight="1" outlineLevel="1" x14ac:dyDescent="0.3">
      <c r="A110" s="42"/>
      <c r="B110" s="12" t="str">
        <f>CONCATENATE("          ","5504"," - ","FREIGHT-IN-DIGITAL TEXT")</f>
        <v xml:space="preserve">          5504 - FREIGHT-IN-DIGITAL TEXT</v>
      </c>
      <c r="C110" s="12"/>
      <c r="D110" s="3"/>
      <c r="E110" s="3"/>
      <c r="F110" s="20">
        <f t="shared" si="8"/>
        <v>0</v>
      </c>
      <c r="G110" s="3"/>
      <c r="H110" s="3"/>
      <c r="I110" s="3"/>
      <c r="J110" s="20">
        <f t="shared" si="9"/>
        <v>0</v>
      </c>
      <c r="K110" s="3"/>
      <c r="L110" s="3">
        <f t="shared" si="10"/>
        <v>0</v>
      </c>
      <c r="M110" s="3"/>
      <c r="N110" s="20">
        <f t="shared" si="11"/>
        <v>0</v>
      </c>
      <c r="O110" s="12"/>
      <c r="P110" s="3"/>
      <c r="Q110" s="3"/>
      <c r="R110" s="20">
        <f t="shared" si="12"/>
        <v>0</v>
      </c>
      <c r="S110" s="3"/>
      <c r="T110" s="3">
        <v>28.92</v>
      </c>
      <c r="U110" s="3"/>
      <c r="V110" s="20">
        <f t="shared" si="13"/>
        <v>6.7820884789996562E-6</v>
      </c>
      <c r="W110" s="3"/>
      <c r="X110" s="3">
        <f t="shared" si="14"/>
        <v>-28.92</v>
      </c>
      <c r="Y110" s="3"/>
      <c r="Z110" s="20">
        <f t="shared" si="15"/>
        <v>-1</v>
      </c>
    </row>
    <row r="111" spans="1:26" s="69" customFormat="1" ht="15" hidden="1" customHeight="1" outlineLevel="1" x14ac:dyDescent="0.3">
      <c r="A111" s="42"/>
      <c r="B111" s="12" t="str">
        <f>CONCATENATE("          ","5513"," - ","FREIGHT-IN-TRADE BOOKS")</f>
        <v xml:space="preserve">          5513 - FREIGHT-IN-TRADE BOOKS</v>
      </c>
      <c r="C111" s="12"/>
      <c r="D111" s="3"/>
      <c r="E111" s="3"/>
      <c r="F111" s="20">
        <f t="shared" si="8"/>
        <v>0</v>
      </c>
      <c r="G111" s="3"/>
      <c r="H111" s="3">
        <v>51.76</v>
      </c>
      <c r="I111" s="3"/>
      <c r="J111" s="20">
        <f t="shared" si="9"/>
        <v>2.8146547151149066E-4</v>
      </c>
      <c r="K111" s="3"/>
      <c r="L111" s="3">
        <f t="shared" si="10"/>
        <v>-51.76</v>
      </c>
      <c r="M111" s="3"/>
      <c r="N111" s="20">
        <f t="shared" si="11"/>
        <v>-1</v>
      </c>
      <c r="O111" s="12"/>
      <c r="P111" s="3"/>
      <c r="Q111" s="3"/>
      <c r="R111" s="20">
        <f t="shared" si="12"/>
        <v>0</v>
      </c>
      <c r="S111" s="3"/>
      <c r="T111" s="3">
        <v>85.28</v>
      </c>
      <c r="U111" s="3"/>
      <c r="V111" s="20">
        <f t="shared" si="13"/>
        <v>1.9999187603357216E-5</v>
      </c>
      <c r="W111" s="3"/>
      <c r="X111" s="3">
        <f t="shared" si="14"/>
        <v>-85.28</v>
      </c>
      <c r="Y111" s="3"/>
      <c r="Z111" s="20">
        <f t="shared" si="15"/>
        <v>-1</v>
      </c>
    </row>
    <row r="112" spans="1:26" s="69" customFormat="1" ht="15" hidden="1" customHeight="1" outlineLevel="1" x14ac:dyDescent="0.3">
      <c r="A112" s="42"/>
      <c r="B112" s="12" t="str">
        <f>CONCATENATE("          ","5518"," - ","FREIGHT-IN-STUDY GUIDES")</f>
        <v xml:space="preserve">          5518 - FREIGHT-IN-STUDY GUIDES</v>
      </c>
      <c r="C112" s="12"/>
      <c r="D112" s="3"/>
      <c r="E112" s="3"/>
      <c r="F112" s="20">
        <f t="shared" si="8"/>
        <v>0</v>
      </c>
      <c r="G112" s="3"/>
      <c r="H112" s="3"/>
      <c r="I112" s="3"/>
      <c r="J112" s="20">
        <f t="shared" si="9"/>
        <v>0</v>
      </c>
      <c r="K112" s="3"/>
      <c r="L112" s="3">
        <f t="shared" si="10"/>
        <v>0</v>
      </c>
      <c r="M112" s="3"/>
      <c r="N112" s="20">
        <f t="shared" si="11"/>
        <v>0</v>
      </c>
      <c r="O112" s="12"/>
      <c r="P112" s="3">
        <v>0</v>
      </c>
      <c r="Q112" s="3"/>
      <c r="R112" s="20">
        <f t="shared" si="12"/>
        <v>0</v>
      </c>
      <c r="S112" s="3"/>
      <c r="T112" s="3"/>
      <c r="U112" s="3"/>
      <c r="V112" s="20">
        <f t="shared" si="13"/>
        <v>0</v>
      </c>
      <c r="W112" s="3"/>
      <c r="X112" s="3">
        <f t="shared" si="14"/>
        <v>0</v>
      </c>
      <c r="Y112" s="3"/>
      <c r="Z112" s="20">
        <f t="shared" si="15"/>
        <v>0</v>
      </c>
    </row>
    <row r="113" spans="1:26" s="69" customFormat="1" ht="15" hidden="1" customHeight="1" outlineLevel="1" x14ac:dyDescent="0.3">
      <c r="A113" s="42"/>
      <c r="B113" s="12" t="str">
        <f>CONCATENATE("          ","5525"," - ","FREIGHT-IN-TEST FORMS")</f>
        <v xml:space="preserve">          5525 - FREIGHT-IN-TEST FORMS</v>
      </c>
      <c r="C113" s="12"/>
      <c r="D113" s="3"/>
      <c r="E113" s="3"/>
      <c r="F113" s="20">
        <f t="shared" si="8"/>
        <v>0</v>
      </c>
      <c r="G113" s="3"/>
      <c r="H113" s="3"/>
      <c r="I113" s="3"/>
      <c r="J113" s="20">
        <f t="shared" si="9"/>
        <v>0</v>
      </c>
      <c r="K113" s="3"/>
      <c r="L113" s="3">
        <f t="shared" si="10"/>
        <v>0</v>
      </c>
      <c r="M113" s="3"/>
      <c r="N113" s="20">
        <f t="shared" si="11"/>
        <v>0</v>
      </c>
      <c r="O113" s="12"/>
      <c r="P113" s="3"/>
      <c r="Q113" s="3"/>
      <c r="R113" s="20">
        <f t="shared" si="12"/>
        <v>0</v>
      </c>
      <c r="S113" s="3"/>
      <c r="T113" s="3">
        <v>48.14</v>
      </c>
      <c r="U113" s="3"/>
      <c r="V113" s="20">
        <f t="shared" si="13"/>
        <v>1.1289410075347284E-5</v>
      </c>
      <c r="W113" s="3"/>
      <c r="X113" s="3">
        <f t="shared" si="14"/>
        <v>-48.14</v>
      </c>
      <c r="Y113" s="3"/>
      <c r="Z113" s="20">
        <f t="shared" si="15"/>
        <v>-1</v>
      </c>
    </row>
    <row r="114" spans="1:26" s="69" customFormat="1" ht="15" hidden="1" customHeight="1" outlineLevel="1" x14ac:dyDescent="0.3">
      <c r="A114" s="42"/>
      <c r="B114" s="12" t="str">
        <f>CONCATENATE("          ","5526"," - ","FREIGHT-IN-WRITING INSTRUMENTS")</f>
        <v xml:space="preserve">          5526 - FREIGHT-IN-WRITING INSTRUMENTS</v>
      </c>
      <c r="C114" s="12"/>
      <c r="D114" s="3"/>
      <c r="E114" s="3"/>
      <c r="F114" s="20">
        <f t="shared" si="8"/>
        <v>0</v>
      </c>
      <c r="G114" s="3"/>
      <c r="H114" s="3"/>
      <c r="I114" s="3"/>
      <c r="J114" s="20">
        <f t="shared" si="9"/>
        <v>0</v>
      </c>
      <c r="K114" s="3"/>
      <c r="L114" s="3">
        <f t="shared" si="10"/>
        <v>0</v>
      </c>
      <c r="M114" s="3"/>
      <c r="N114" s="20">
        <f t="shared" si="11"/>
        <v>0</v>
      </c>
      <c r="O114" s="12"/>
      <c r="P114" s="3"/>
      <c r="Q114" s="3"/>
      <c r="R114" s="20">
        <f t="shared" si="12"/>
        <v>0</v>
      </c>
      <c r="S114" s="3"/>
      <c r="T114" s="3">
        <v>0</v>
      </c>
      <c r="U114" s="3"/>
      <c r="V114" s="20">
        <f t="shared" si="13"/>
        <v>0</v>
      </c>
      <c r="W114" s="3"/>
      <c r="X114" s="3">
        <f t="shared" si="14"/>
        <v>0</v>
      </c>
      <c r="Y114" s="3"/>
      <c r="Z114" s="20">
        <f t="shared" si="15"/>
        <v>0</v>
      </c>
    </row>
    <row r="115" spans="1:26" s="69" customFormat="1" ht="15" hidden="1" customHeight="1" outlineLevel="1" x14ac:dyDescent="0.3">
      <c r="A115" s="42"/>
      <c r="B115" s="12" t="str">
        <f>CONCATENATE("          ","5527"," - ","FREIGHT-IN-SCHOOL SUPPLIES")</f>
        <v xml:space="preserve">          5527 - FREIGHT-IN-SCHOOL SUPPLIES</v>
      </c>
      <c r="C115" s="12"/>
      <c r="D115" s="3"/>
      <c r="E115" s="3"/>
      <c r="F115" s="20">
        <f t="shared" si="8"/>
        <v>0</v>
      </c>
      <c r="G115" s="3"/>
      <c r="H115" s="3">
        <v>41.12</v>
      </c>
      <c r="I115" s="3"/>
      <c r="J115" s="20">
        <f t="shared" si="9"/>
        <v>2.2360626330279165E-4</v>
      </c>
      <c r="K115" s="3"/>
      <c r="L115" s="3">
        <f t="shared" si="10"/>
        <v>-41.12</v>
      </c>
      <c r="M115" s="3"/>
      <c r="N115" s="20">
        <f t="shared" si="11"/>
        <v>-1</v>
      </c>
      <c r="O115" s="12"/>
      <c r="P115" s="3">
        <v>0</v>
      </c>
      <c r="Q115" s="3"/>
      <c r="R115" s="20">
        <f t="shared" si="12"/>
        <v>0</v>
      </c>
      <c r="S115" s="3"/>
      <c r="T115" s="3">
        <v>218.62</v>
      </c>
      <c r="U115" s="3"/>
      <c r="V115" s="20">
        <f t="shared" si="13"/>
        <v>5.1269024318081077E-5</v>
      </c>
      <c r="W115" s="3"/>
      <c r="X115" s="3">
        <f t="shared" si="14"/>
        <v>-218.62</v>
      </c>
      <c r="Y115" s="3"/>
      <c r="Z115" s="20">
        <f t="shared" si="15"/>
        <v>-1</v>
      </c>
    </row>
    <row r="116" spans="1:26" s="69" customFormat="1" ht="15" hidden="1" customHeight="1" outlineLevel="1" x14ac:dyDescent="0.3">
      <c r="A116" s="42"/>
      <c r="B116" s="12" t="str">
        <f>CONCATENATE("          ","5528"," - ","FREIGHT-IN-ART/TECH")</f>
        <v xml:space="preserve">          5528 - FREIGHT-IN-ART/TECH</v>
      </c>
      <c r="C116" s="12"/>
      <c r="D116" s="3"/>
      <c r="E116" s="3"/>
      <c r="F116" s="20">
        <f t="shared" si="8"/>
        <v>0</v>
      </c>
      <c r="G116" s="3"/>
      <c r="H116" s="3">
        <v>103.71</v>
      </c>
      <c r="I116" s="3"/>
      <c r="J116" s="20">
        <f t="shared" si="9"/>
        <v>5.639641431695652E-4</v>
      </c>
      <c r="K116" s="3"/>
      <c r="L116" s="3">
        <f t="shared" si="10"/>
        <v>-103.71</v>
      </c>
      <c r="M116" s="3"/>
      <c r="N116" s="20">
        <f t="shared" si="11"/>
        <v>-1</v>
      </c>
      <c r="O116" s="12"/>
      <c r="P116" s="3">
        <v>0</v>
      </c>
      <c r="Q116" s="3"/>
      <c r="R116" s="20">
        <f t="shared" si="12"/>
        <v>0</v>
      </c>
      <c r="S116" s="3"/>
      <c r="T116" s="3">
        <v>455.21</v>
      </c>
      <c r="U116" s="3"/>
      <c r="V116" s="20">
        <f t="shared" si="13"/>
        <v>1.0675223017031236E-4</v>
      </c>
      <c r="W116" s="3"/>
      <c r="X116" s="3">
        <f t="shared" si="14"/>
        <v>-455.21</v>
      </c>
      <c r="Y116" s="3"/>
      <c r="Z116" s="20">
        <f t="shared" si="15"/>
        <v>-1</v>
      </c>
    </row>
    <row r="117" spans="1:26" s="69" customFormat="1" ht="15" hidden="1" customHeight="1" outlineLevel="1" x14ac:dyDescent="0.3">
      <c r="A117" s="42"/>
      <c r="B117" s="12" t="str">
        <f>CONCATENATE("          ","5540"," - ","FREIGHT-IN-LOGO CLOTHING")</f>
        <v xml:space="preserve">          5540 - FREIGHT-IN-LOGO CLOTHING</v>
      </c>
      <c r="C117" s="12"/>
      <c r="D117" s="3"/>
      <c r="E117" s="3"/>
      <c r="F117" s="20">
        <f t="shared" si="8"/>
        <v>0</v>
      </c>
      <c r="G117" s="3"/>
      <c r="H117" s="3">
        <v>1167.1400000000001</v>
      </c>
      <c r="I117" s="3"/>
      <c r="J117" s="20">
        <f t="shared" si="9"/>
        <v>6.3467853635997152E-3</v>
      </c>
      <c r="K117" s="3"/>
      <c r="L117" s="3">
        <f t="shared" si="10"/>
        <v>-1167.1400000000001</v>
      </c>
      <c r="M117" s="3"/>
      <c r="N117" s="20">
        <f t="shared" si="11"/>
        <v>-1</v>
      </c>
      <c r="O117" s="12"/>
      <c r="P117" s="3">
        <v>0</v>
      </c>
      <c r="Q117" s="3"/>
      <c r="R117" s="20">
        <f t="shared" si="12"/>
        <v>0</v>
      </c>
      <c r="S117" s="3"/>
      <c r="T117" s="3">
        <v>7108.37</v>
      </c>
      <c r="U117" s="3"/>
      <c r="V117" s="20">
        <f t="shared" si="13"/>
        <v>1.6669984191378555E-3</v>
      </c>
      <c r="W117" s="3"/>
      <c r="X117" s="3">
        <f t="shared" si="14"/>
        <v>-7108.37</v>
      </c>
      <c r="Y117" s="3"/>
      <c r="Z117" s="20">
        <f t="shared" si="15"/>
        <v>-1</v>
      </c>
    </row>
    <row r="118" spans="1:26" s="69" customFormat="1" ht="15" hidden="1" customHeight="1" outlineLevel="1" x14ac:dyDescent="0.3">
      <c r="A118" s="42"/>
      <c r="B118" s="12" t="str">
        <f>CONCATENATE("          ","5541"," - ","FREIGHT-IN-LOGO GIFTS")</f>
        <v xml:space="preserve">          5541 - FREIGHT-IN-LOGO GIFTS</v>
      </c>
      <c r="C118" s="12"/>
      <c r="D118" s="3"/>
      <c r="E118" s="3"/>
      <c r="F118" s="20">
        <f t="shared" si="8"/>
        <v>0</v>
      </c>
      <c r="G118" s="3"/>
      <c r="H118" s="3">
        <v>60.07</v>
      </c>
      <c r="I118" s="3"/>
      <c r="J118" s="20">
        <f t="shared" si="9"/>
        <v>3.2665438318576595E-4</v>
      </c>
      <c r="K118" s="3"/>
      <c r="L118" s="3">
        <f t="shared" si="10"/>
        <v>-60.07</v>
      </c>
      <c r="M118" s="3"/>
      <c r="N118" s="20">
        <f t="shared" si="11"/>
        <v>-1</v>
      </c>
      <c r="O118" s="12"/>
      <c r="P118" s="3">
        <v>0</v>
      </c>
      <c r="Q118" s="3"/>
      <c r="R118" s="20">
        <f t="shared" si="12"/>
        <v>0</v>
      </c>
      <c r="S118" s="3"/>
      <c r="T118" s="3">
        <v>2138</v>
      </c>
      <c r="U118" s="3"/>
      <c r="V118" s="20">
        <f t="shared" si="13"/>
        <v>5.0138676238247804E-4</v>
      </c>
      <c r="W118" s="3"/>
      <c r="X118" s="3">
        <f t="shared" si="14"/>
        <v>-2138</v>
      </c>
      <c r="Y118" s="3"/>
      <c r="Z118" s="20">
        <f t="shared" si="15"/>
        <v>-1</v>
      </c>
    </row>
    <row r="119" spans="1:26" s="69" customFormat="1" ht="15" hidden="1" customHeight="1" outlineLevel="1" x14ac:dyDescent="0.3">
      <c r="A119" s="42"/>
      <c r="B119" s="12" t="str">
        <f>CONCATENATE("          ","5542"," - ","FREIGHT-IN-EVERYDAY GIFTS")</f>
        <v xml:space="preserve">          5542 - FREIGHT-IN-EVERYDAY GIFTS</v>
      </c>
      <c r="C119" s="12"/>
      <c r="D119" s="3"/>
      <c r="E119" s="3"/>
      <c r="F119" s="20">
        <f t="shared" si="8"/>
        <v>0</v>
      </c>
      <c r="G119" s="3"/>
      <c r="H119" s="3">
        <v>297.79000000000002</v>
      </c>
      <c r="I119" s="3"/>
      <c r="J119" s="20">
        <f t="shared" si="9"/>
        <v>1.6193509034274887E-3</v>
      </c>
      <c r="K119" s="3"/>
      <c r="L119" s="3">
        <f t="shared" si="10"/>
        <v>-297.79000000000002</v>
      </c>
      <c r="M119" s="3"/>
      <c r="N119" s="20">
        <f t="shared" si="11"/>
        <v>-1</v>
      </c>
      <c r="O119" s="12"/>
      <c r="P119" s="3">
        <v>0</v>
      </c>
      <c r="Q119" s="3"/>
      <c r="R119" s="20">
        <f t="shared" si="12"/>
        <v>0</v>
      </c>
      <c r="S119" s="3"/>
      <c r="T119" s="3">
        <v>681.72</v>
      </c>
      <c r="U119" s="3"/>
      <c r="V119" s="20">
        <f t="shared" si="13"/>
        <v>1.598715545609836E-4</v>
      </c>
      <c r="W119" s="3"/>
      <c r="X119" s="3">
        <f t="shared" si="14"/>
        <v>-681.72</v>
      </c>
      <c r="Y119" s="3"/>
      <c r="Z119" s="20">
        <f t="shared" si="15"/>
        <v>-1</v>
      </c>
    </row>
    <row r="120" spans="1:26" s="69" customFormat="1" ht="15" hidden="1" customHeight="1" outlineLevel="1" x14ac:dyDescent="0.3">
      <c r="A120" s="42"/>
      <c r="B120" s="12" t="str">
        <f>CONCATENATE("          ","5543"," - ","FREIGHT-IN-CARDS")</f>
        <v xml:space="preserve">          5543 - FREIGHT-IN-CARDS</v>
      </c>
      <c r="C120" s="12"/>
      <c r="D120" s="3"/>
      <c r="E120" s="3"/>
      <c r="F120" s="20">
        <f t="shared" si="8"/>
        <v>0</v>
      </c>
      <c r="G120" s="3"/>
      <c r="H120" s="3"/>
      <c r="I120" s="3"/>
      <c r="J120" s="20">
        <f t="shared" si="9"/>
        <v>0</v>
      </c>
      <c r="K120" s="3"/>
      <c r="L120" s="3">
        <f t="shared" si="10"/>
        <v>0</v>
      </c>
      <c r="M120" s="3"/>
      <c r="N120" s="20">
        <f t="shared" si="11"/>
        <v>0</v>
      </c>
      <c r="O120" s="12"/>
      <c r="P120" s="3"/>
      <c r="Q120" s="3"/>
      <c r="R120" s="20">
        <f t="shared" si="12"/>
        <v>0</v>
      </c>
      <c r="S120" s="3"/>
      <c r="T120" s="3">
        <v>9110.5300000000007</v>
      </c>
      <c r="U120" s="3"/>
      <c r="V120" s="20">
        <f t="shared" si="13"/>
        <v>2.1365290646812151E-3</v>
      </c>
      <c r="W120" s="3"/>
      <c r="X120" s="3">
        <f t="shared" si="14"/>
        <v>-9110.5300000000007</v>
      </c>
      <c r="Y120" s="3"/>
      <c r="Z120" s="20">
        <f t="shared" si="15"/>
        <v>-1</v>
      </c>
    </row>
    <row r="121" spans="1:26" s="69" customFormat="1" ht="15" hidden="1" customHeight="1" outlineLevel="1" x14ac:dyDescent="0.3">
      <c r="A121" s="42"/>
      <c r="B121" s="12" t="str">
        <f>CONCATENATE("          ","5544"," - ","FREIGHT-IN-ACCESSORIES")</f>
        <v xml:space="preserve">          5544 - FREIGHT-IN-ACCESSORIES</v>
      </c>
      <c r="C121" s="12"/>
      <c r="D121" s="3"/>
      <c r="E121" s="3"/>
      <c r="F121" s="20">
        <f t="shared" si="8"/>
        <v>0</v>
      </c>
      <c r="G121" s="3"/>
      <c r="H121" s="3"/>
      <c r="I121" s="3"/>
      <c r="J121" s="20">
        <f t="shared" si="9"/>
        <v>0</v>
      </c>
      <c r="K121" s="3"/>
      <c r="L121" s="3">
        <f t="shared" si="10"/>
        <v>0</v>
      </c>
      <c r="M121" s="3"/>
      <c r="N121" s="20">
        <f t="shared" si="11"/>
        <v>0</v>
      </c>
      <c r="O121" s="12"/>
      <c r="P121" s="3">
        <v>0</v>
      </c>
      <c r="Q121" s="3"/>
      <c r="R121" s="20">
        <f t="shared" si="12"/>
        <v>0</v>
      </c>
      <c r="S121" s="3"/>
      <c r="T121" s="3"/>
      <c r="U121" s="3"/>
      <c r="V121" s="20">
        <f t="shared" si="13"/>
        <v>0</v>
      </c>
      <c r="W121" s="3"/>
      <c r="X121" s="3">
        <f t="shared" si="14"/>
        <v>0</v>
      </c>
      <c r="Y121" s="3"/>
      <c r="Z121" s="20">
        <f t="shared" si="15"/>
        <v>0</v>
      </c>
    </row>
    <row r="122" spans="1:26" s="69" customFormat="1" ht="15" hidden="1" customHeight="1" outlineLevel="1" x14ac:dyDescent="0.3">
      <c r="A122" s="42"/>
      <c r="B122" s="12" t="str">
        <f>CONCATENATE("          ","5545"," - ","FREIGHT-IN-SPECIAL ORDERS")</f>
        <v xml:space="preserve">          5545 - FREIGHT-IN-SPECIAL ORDERS</v>
      </c>
      <c r="C122" s="12"/>
      <c r="D122" s="3"/>
      <c r="E122" s="3"/>
      <c r="F122" s="20">
        <f t="shared" si="8"/>
        <v>0</v>
      </c>
      <c r="G122" s="3"/>
      <c r="H122" s="3">
        <v>17.63</v>
      </c>
      <c r="I122" s="3"/>
      <c r="J122" s="20">
        <f t="shared" si="9"/>
        <v>9.5870097811970249E-5</v>
      </c>
      <c r="K122" s="3"/>
      <c r="L122" s="3">
        <f t="shared" si="10"/>
        <v>-17.63</v>
      </c>
      <c r="M122" s="3"/>
      <c r="N122" s="20">
        <f t="shared" si="11"/>
        <v>-1</v>
      </c>
      <c r="O122" s="12"/>
      <c r="P122" s="3">
        <v>0</v>
      </c>
      <c r="Q122" s="3"/>
      <c r="R122" s="20">
        <f t="shared" si="12"/>
        <v>0</v>
      </c>
      <c r="S122" s="3"/>
      <c r="T122" s="3">
        <v>1266.1600000000001</v>
      </c>
      <c r="U122" s="3"/>
      <c r="V122" s="20">
        <f t="shared" si="13"/>
        <v>2.9692977692151473E-4</v>
      </c>
      <c r="W122" s="3"/>
      <c r="X122" s="3">
        <f t="shared" si="14"/>
        <v>-1266.1600000000001</v>
      </c>
      <c r="Y122" s="3"/>
      <c r="Z122" s="20">
        <f t="shared" si="15"/>
        <v>-1</v>
      </c>
    </row>
    <row r="123" spans="1:26" s="69" customFormat="1" ht="15" hidden="1" customHeight="1" outlineLevel="1" x14ac:dyDescent="0.3">
      <c r="A123" s="42"/>
      <c r="B123" s="12" t="str">
        <f>CONCATENATE("          ","5592"," - ","FREIGHT-IN-GRAD MERCH")</f>
        <v xml:space="preserve">          5592 - FREIGHT-IN-GRAD MERCH</v>
      </c>
      <c r="C123" s="12"/>
      <c r="D123" s="3"/>
      <c r="E123" s="3"/>
      <c r="F123" s="20">
        <f t="shared" si="8"/>
        <v>0</v>
      </c>
      <c r="G123" s="3"/>
      <c r="H123" s="3"/>
      <c r="I123" s="3"/>
      <c r="J123" s="20">
        <f t="shared" si="9"/>
        <v>0</v>
      </c>
      <c r="K123" s="3"/>
      <c r="L123" s="3">
        <f t="shared" si="10"/>
        <v>0</v>
      </c>
      <c r="M123" s="3"/>
      <c r="N123" s="20">
        <f t="shared" si="11"/>
        <v>0</v>
      </c>
      <c r="O123" s="12"/>
      <c r="P123" s="3"/>
      <c r="Q123" s="3"/>
      <c r="R123" s="20">
        <f t="shared" si="12"/>
        <v>0</v>
      </c>
      <c r="S123" s="3"/>
      <c r="T123" s="3">
        <v>0</v>
      </c>
      <c r="U123" s="3"/>
      <c r="V123" s="20">
        <f t="shared" si="13"/>
        <v>0</v>
      </c>
      <c r="W123" s="3"/>
      <c r="X123" s="3">
        <f t="shared" si="14"/>
        <v>0</v>
      </c>
      <c r="Y123" s="3"/>
      <c r="Z123" s="20">
        <f t="shared" si="15"/>
        <v>0</v>
      </c>
    </row>
    <row r="124" spans="1:26" ht="15" customHeight="1" x14ac:dyDescent="0.3">
      <c r="A124" s="10"/>
      <c r="B124" s="11"/>
      <c r="C124" s="11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O124" s="11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s="62" customFormat="1" ht="15" customHeight="1" x14ac:dyDescent="0.3">
      <c r="A125" s="11"/>
      <c r="B125" s="27" t="s">
        <v>288</v>
      </c>
      <c r="C125" s="27"/>
      <c r="D125" s="22">
        <f>D12-D82</f>
        <v>333620.22999999992</v>
      </c>
      <c r="E125" s="15"/>
      <c r="F125" s="21">
        <f>IF(D$12=0,0,D125/D$12)</f>
        <v>0.56270844228893546</v>
      </c>
      <c r="G125" s="15"/>
      <c r="H125" s="22">
        <f>H12-H82</f>
        <v>85445.820000000022</v>
      </c>
      <c r="I125" s="15"/>
      <c r="J125" s="21">
        <f>IF(H$12=0,0,H125/H$12)</f>
        <v>0.46464544078411835</v>
      </c>
      <c r="K125" s="17"/>
      <c r="L125" s="22">
        <f>+D125-H125</f>
        <v>248174.40999999992</v>
      </c>
      <c r="M125" s="17"/>
      <c r="N125" s="21">
        <f>IF(H125=0,0,L125/H125)</f>
        <v>2.904465192094825</v>
      </c>
      <c r="O125" s="28"/>
      <c r="P125" s="22">
        <f>P12-P82</f>
        <v>2468698.0299999998</v>
      </c>
      <c r="Q125" s="15"/>
      <c r="R125" s="21">
        <f>IF(P$12=0,0,P125/P$12)</f>
        <v>0.42650285021248197</v>
      </c>
      <c r="S125" s="15"/>
      <c r="T125" s="22">
        <f>T12-T82</f>
        <v>1543197.4500000025</v>
      </c>
      <c r="U125" s="15"/>
      <c r="V125" s="21">
        <f>IF(T$12=0,0,T125/T$12)</f>
        <v>0.36189839718072836</v>
      </c>
      <c r="W125" s="17"/>
      <c r="X125" s="22">
        <f>+P125-T125</f>
        <v>925500.57999999728</v>
      </c>
      <c r="Y125" s="17"/>
      <c r="Z125" s="21">
        <f>IF(T125=0,0,X125/T125)</f>
        <v>0.59972920509944838</v>
      </c>
    </row>
    <row r="126" spans="1:26" ht="15" customHeight="1" x14ac:dyDescent="0.3">
      <c r="A126" s="10"/>
      <c r="B126" s="11"/>
      <c r="C126" s="10"/>
      <c r="D126" s="2"/>
      <c r="E126" s="2"/>
      <c r="F126" s="6"/>
      <c r="G126" s="2"/>
      <c r="H126" s="2"/>
      <c r="I126" s="2"/>
      <c r="J126" s="6"/>
      <c r="K126" s="2"/>
      <c r="L126" s="2"/>
      <c r="M126" s="2"/>
      <c r="N126" s="6"/>
      <c r="O126" s="36"/>
      <c r="P126" s="2"/>
      <c r="Q126" s="2"/>
      <c r="R126" s="6"/>
      <c r="S126" s="2"/>
      <c r="T126" s="2"/>
      <c r="U126" s="2"/>
      <c r="V126" s="6"/>
      <c r="W126" s="2"/>
      <c r="X126" s="2"/>
      <c r="Y126" s="2"/>
      <c r="Z126" s="6"/>
    </row>
    <row r="127" spans="1:26" s="62" customFormat="1" ht="15" customHeight="1" x14ac:dyDescent="0.3">
      <c r="A127" s="11"/>
      <c r="B127" s="28" t="s">
        <v>289</v>
      </c>
      <c r="C127" s="11"/>
      <c r="D127" s="23" cm="1">
        <f t="array" ref="D127">SUM(OSRRefD22x_0)</f>
        <v>316367.82</v>
      </c>
      <c r="E127" s="23"/>
      <c r="F127" s="35">
        <f t="shared" ref="F127:F158" si="16">IF(D$12=0,0,D127/D$12)</f>
        <v>0.53360925739589105</v>
      </c>
      <c r="G127" s="23"/>
      <c r="H127" s="23" cm="1">
        <f t="array" ref="H127">SUM(OSRRefH22x_0)</f>
        <v>226680.25999999989</v>
      </c>
      <c r="I127" s="23"/>
      <c r="J127" s="35">
        <f t="shared" ref="J127:J158" si="17">IF(H$12=0,0,H127/H$12)</f>
        <v>1.2326635676825206</v>
      </c>
      <c r="K127" s="5"/>
      <c r="L127" s="23">
        <f t="shared" ref="L127:L158" si="18">+D127-H127</f>
        <v>89687.560000000114</v>
      </c>
      <c r="M127" s="5"/>
      <c r="N127" s="35">
        <f t="shared" ref="N127:N158" si="19">IF(H127=0,0,L127/H127)</f>
        <v>0.39565668400062781</v>
      </c>
      <c r="O127" s="11"/>
      <c r="P127" s="23" cm="1">
        <f t="array" ref="P127">SUM(OSRRefP22x_0)</f>
        <v>2854066.21</v>
      </c>
      <c r="Q127" s="23"/>
      <c r="R127" s="35">
        <f t="shared" ref="R127:R158" si="20">IF(P$12=0,0,P127/P$12)</f>
        <v>0.49308070831981676</v>
      </c>
      <c r="S127" s="23"/>
      <c r="T127" s="23" cm="1">
        <f t="array" ref="T127">SUM(OSRRefT22x_0)</f>
        <v>2382755.040000001</v>
      </c>
      <c r="U127" s="23"/>
      <c r="V127" s="35">
        <f t="shared" ref="V127:V158" si="21">IF(T$12=0,0,T127/T$12)</f>
        <v>0.55878476850146508</v>
      </c>
      <c r="W127" s="5"/>
      <c r="X127" s="23">
        <f t="shared" ref="X127:X158" si="22">+P127-T127</f>
        <v>471311.16999999899</v>
      </c>
      <c r="Y127" s="5"/>
      <c r="Z127" s="35">
        <f t="shared" ref="Z127:Z158" si="23">IF(T127=0,0,X127/T127)</f>
        <v>0.19780093299057666</v>
      </c>
    </row>
    <row r="128" spans="1:26" s="68" customFormat="1" ht="15" customHeight="1" outlineLevel="1" collapsed="1" x14ac:dyDescent="0.3">
      <c r="A128" s="26"/>
      <c r="B128" s="14" t="str">
        <f>CONCATENATE("     ","*Benefits                                         ")</f>
        <v xml:space="preserve">     *Benefits                                         </v>
      </c>
      <c r="C128" s="14"/>
      <c r="D128" s="2">
        <f>SUM(OSRRefD22_0x_0)</f>
        <v>42176.249999999993</v>
      </c>
      <c r="E128" s="2"/>
      <c r="F128" s="6">
        <f t="shared" si="16"/>
        <v>7.113756842349972E-2</v>
      </c>
      <c r="G128" s="2"/>
      <c r="H128" s="2">
        <f>SUM(OSRRefH22_0x_0)</f>
        <v>45623.819999999992</v>
      </c>
      <c r="I128" s="2"/>
      <c r="J128" s="6">
        <f t="shared" si="17"/>
        <v>0.24809756585114714</v>
      </c>
      <c r="K128" s="2"/>
      <c r="L128" s="2">
        <f t="shared" si="18"/>
        <v>-3447.5699999999997</v>
      </c>
      <c r="M128" s="2"/>
      <c r="N128" s="6">
        <f t="shared" si="19"/>
        <v>-7.5565132424246811E-2</v>
      </c>
      <c r="O128" s="14"/>
      <c r="P128" s="2">
        <f>SUM(OSRRefP22_0x_0)</f>
        <v>422023.29</v>
      </c>
      <c r="Q128" s="2"/>
      <c r="R128" s="6">
        <f t="shared" si="20"/>
        <v>7.2910551980733276E-2</v>
      </c>
      <c r="S128" s="2"/>
      <c r="T128" s="2">
        <f>SUM(OSRRefT22_0x_0)</f>
        <v>410253.50999999995</v>
      </c>
      <c r="U128" s="2"/>
      <c r="V128" s="6">
        <f t="shared" si="21"/>
        <v>9.6209391550489964E-2</v>
      </c>
      <c r="W128" s="2"/>
      <c r="X128" s="2">
        <f t="shared" si="22"/>
        <v>11769.780000000028</v>
      </c>
      <c r="Y128" s="2"/>
      <c r="Z128" s="6">
        <f t="shared" si="23"/>
        <v>2.8689041563593275E-2</v>
      </c>
    </row>
    <row r="129" spans="1:26" s="69" customFormat="1" ht="15" hidden="1" customHeight="1" outlineLevel="2" x14ac:dyDescent="0.3">
      <c r="A129" s="25"/>
      <c r="B129" s="12" t="str">
        <f>CONCATENATE("          ","6111"," - ","F.I.C.A.")</f>
        <v xml:space="preserve">          6111 - F.I.C.A.</v>
      </c>
      <c r="C129" s="12"/>
      <c r="D129" s="8">
        <v>6717.54</v>
      </c>
      <c r="E129" s="3"/>
      <c r="F129" s="7">
        <f t="shared" si="16"/>
        <v>1.1330297534455918E-2</v>
      </c>
      <c r="G129" s="3"/>
      <c r="H129" s="8">
        <v>7478.02</v>
      </c>
      <c r="I129" s="3"/>
      <c r="J129" s="7">
        <f t="shared" si="17"/>
        <v>4.0664691369249571E-2</v>
      </c>
      <c r="K129" s="3"/>
      <c r="L129" s="8">
        <f t="shared" si="18"/>
        <v>-760.48000000000047</v>
      </c>
      <c r="M129" s="3"/>
      <c r="N129" s="7">
        <f t="shared" si="19"/>
        <v>-0.10169536856012694</v>
      </c>
      <c r="O129" s="12"/>
      <c r="P129" s="8">
        <v>77778.09</v>
      </c>
      <c r="Q129" s="3"/>
      <c r="R129" s="7">
        <f t="shared" si="20"/>
        <v>1.3437276113143309E-2</v>
      </c>
      <c r="S129" s="3"/>
      <c r="T129" s="8">
        <v>78467.86</v>
      </c>
      <c r="U129" s="3"/>
      <c r="V129" s="7">
        <f t="shared" si="21"/>
        <v>1.8401658688719156E-2</v>
      </c>
      <c r="W129" s="3"/>
      <c r="X129" s="8">
        <f t="shared" si="22"/>
        <v>-689.77000000000407</v>
      </c>
      <c r="Y129" s="3"/>
      <c r="Z129" s="7">
        <f t="shared" si="23"/>
        <v>-8.7904780377597146E-3</v>
      </c>
    </row>
    <row r="130" spans="1:26" s="69" customFormat="1" ht="15" hidden="1" customHeight="1" outlineLevel="2" x14ac:dyDescent="0.3">
      <c r="A130" s="25"/>
      <c r="B130" s="12" t="str">
        <f>CONCATENATE("          ","6112"," - ","COMPENSATION INSURANCE")</f>
        <v xml:space="preserve">          6112 - COMPENSATION INSURANCE</v>
      </c>
      <c r="C130" s="12"/>
      <c r="D130" s="8">
        <v>2432.83</v>
      </c>
      <c r="E130" s="3"/>
      <c r="F130" s="7">
        <f t="shared" si="16"/>
        <v>4.1033901920569721E-3</v>
      </c>
      <c r="G130" s="3"/>
      <c r="H130" s="8">
        <v>1716.92</v>
      </c>
      <c r="I130" s="3"/>
      <c r="J130" s="7">
        <f t="shared" si="17"/>
        <v>9.3364315561728865E-3</v>
      </c>
      <c r="K130" s="3"/>
      <c r="L130" s="8">
        <f t="shared" si="18"/>
        <v>715.90999999999985</v>
      </c>
      <c r="M130" s="3"/>
      <c r="N130" s="7">
        <f t="shared" si="19"/>
        <v>0.41697341751508504</v>
      </c>
      <c r="O130" s="12"/>
      <c r="P130" s="8">
        <v>22323.63</v>
      </c>
      <c r="Q130" s="3"/>
      <c r="R130" s="7">
        <f t="shared" si="20"/>
        <v>3.856725977169784E-3</v>
      </c>
      <c r="S130" s="3"/>
      <c r="T130" s="8">
        <v>19978.8</v>
      </c>
      <c r="U130" s="3"/>
      <c r="V130" s="7">
        <f t="shared" si="21"/>
        <v>4.6852693397039531E-3</v>
      </c>
      <c r="W130" s="3"/>
      <c r="X130" s="8">
        <f t="shared" si="22"/>
        <v>2344.8300000000017</v>
      </c>
      <c r="Y130" s="3"/>
      <c r="Z130" s="7">
        <f t="shared" si="23"/>
        <v>0.11736590786233417</v>
      </c>
    </row>
    <row r="131" spans="1:26" s="69" customFormat="1" ht="15" hidden="1" customHeight="1" outlineLevel="2" x14ac:dyDescent="0.3">
      <c r="A131" s="25"/>
      <c r="B131" s="12" t="str">
        <f>CONCATENATE("          ","6113"," - ","GROUP INSURANCE")</f>
        <v xml:space="preserve">          6113 - GROUP INSURANCE</v>
      </c>
      <c r="C131" s="12"/>
      <c r="D131" s="8">
        <v>14256.33</v>
      </c>
      <c r="E131" s="3"/>
      <c r="F131" s="7">
        <f t="shared" si="16"/>
        <v>2.4045775782412897E-2</v>
      </c>
      <c r="G131" s="3"/>
      <c r="H131" s="8">
        <v>18280.3</v>
      </c>
      <c r="I131" s="3"/>
      <c r="J131" s="7">
        <f t="shared" si="17"/>
        <v>9.9406361261041395E-2</v>
      </c>
      <c r="K131" s="3"/>
      <c r="L131" s="8">
        <f t="shared" si="18"/>
        <v>-4023.9699999999993</v>
      </c>
      <c r="M131" s="3"/>
      <c r="N131" s="7">
        <f t="shared" si="19"/>
        <v>-0.22012603731886235</v>
      </c>
      <c r="O131" s="12"/>
      <c r="P131" s="8">
        <v>150290.35</v>
      </c>
      <c r="Q131" s="3"/>
      <c r="R131" s="7">
        <f t="shared" si="20"/>
        <v>2.5964804871024059E-2</v>
      </c>
      <c r="S131" s="3"/>
      <c r="T131" s="8">
        <v>146586.09</v>
      </c>
      <c r="U131" s="3"/>
      <c r="V131" s="7">
        <f t="shared" si="21"/>
        <v>3.4376204431902029E-2</v>
      </c>
      <c r="W131" s="3"/>
      <c r="X131" s="8">
        <f t="shared" si="22"/>
        <v>3704.2600000000093</v>
      </c>
      <c r="Y131" s="3"/>
      <c r="Z131" s="7">
        <f t="shared" si="23"/>
        <v>2.5270201285811016E-2</v>
      </c>
    </row>
    <row r="132" spans="1:26" s="69" customFormat="1" ht="15" hidden="1" customHeight="1" outlineLevel="2" x14ac:dyDescent="0.3">
      <c r="A132" s="25"/>
      <c r="B132" s="12" t="str">
        <f>CONCATENATE("          ","6114"," - ","STATE UNEMPLOYMENT INSURANCE")</f>
        <v xml:space="preserve">          6114 - STATE UNEMPLOYMENT INSURANCE</v>
      </c>
      <c r="C132" s="12"/>
      <c r="D132" s="8">
        <v>436.73</v>
      </c>
      <c r="E132" s="3"/>
      <c r="F132" s="7">
        <f t="shared" si="16"/>
        <v>7.3662097169840946E-4</v>
      </c>
      <c r="G132" s="3"/>
      <c r="H132" s="8">
        <v>305.79000000000002</v>
      </c>
      <c r="I132" s="3"/>
      <c r="J132" s="7">
        <f t="shared" si="17"/>
        <v>1.6628540674941798E-3</v>
      </c>
      <c r="K132" s="3"/>
      <c r="L132" s="8">
        <f t="shared" si="18"/>
        <v>130.94</v>
      </c>
      <c r="M132" s="3"/>
      <c r="N132" s="7">
        <f t="shared" si="19"/>
        <v>0.42820236109748516</v>
      </c>
      <c r="O132" s="12"/>
      <c r="P132" s="8">
        <v>4027.95</v>
      </c>
      <c r="Q132" s="3"/>
      <c r="R132" s="7">
        <f t="shared" si="20"/>
        <v>6.9588590205719363E-4</v>
      </c>
      <c r="S132" s="3"/>
      <c r="T132" s="8">
        <v>3236.34</v>
      </c>
      <c r="U132" s="3"/>
      <c r="V132" s="7">
        <f t="shared" si="21"/>
        <v>7.5896072711361512E-4</v>
      </c>
      <c r="W132" s="3"/>
      <c r="X132" s="8">
        <f t="shared" si="22"/>
        <v>791.60999999999967</v>
      </c>
      <c r="Y132" s="3"/>
      <c r="Z132" s="7">
        <f t="shared" si="23"/>
        <v>0.24460038191290151</v>
      </c>
    </row>
    <row r="133" spans="1:26" s="69" customFormat="1" ht="15" hidden="1" customHeight="1" outlineLevel="2" x14ac:dyDescent="0.3">
      <c r="A133" s="25"/>
      <c r="B133" s="12" t="str">
        <f>CONCATENATE("          ","6115"," - ","P.E.R.S.")</f>
        <v xml:space="preserve">          6115 - P.E.R.S.</v>
      </c>
      <c r="C133" s="12"/>
      <c r="D133" s="8">
        <v>4993</v>
      </c>
      <c r="E133" s="3"/>
      <c r="F133" s="7">
        <f t="shared" si="16"/>
        <v>8.4215614033617062E-3</v>
      </c>
      <c r="G133" s="3"/>
      <c r="H133" s="8">
        <v>6355.43</v>
      </c>
      <c r="I133" s="3"/>
      <c r="J133" s="7">
        <f t="shared" si="17"/>
        <v>3.4560164250546241E-2</v>
      </c>
      <c r="K133" s="3"/>
      <c r="L133" s="8">
        <f t="shared" si="18"/>
        <v>-1362.4300000000003</v>
      </c>
      <c r="M133" s="3"/>
      <c r="N133" s="7">
        <f t="shared" si="19"/>
        <v>-0.21437259162637307</v>
      </c>
      <c r="O133" s="12"/>
      <c r="P133" s="8">
        <v>60249.2</v>
      </c>
      <c r="Q133" s="3"/>
      <c r="R133" s="7">
        <f t="shared" si="20"/>
        <v>1.040890996418135E-2</v>
      </c>
      <c r="S133" s="3"/>
      <c r="T133" s="8">
        <v>62172.14</v>
      </c>
      <c r="U133" s="3"/>
      <c r="V133" s="7">
        <f t="shared" si="21"/>
        <v>1.4580115989237679E-2</v>
      </c>
      <c r="W133" s="3"/>
      <c r="X133" s="8">
        <f t="shared" si="22"/>
        <v>-1922.9400000000023</v>
      </c>
      <c r="Y133" s="3"/>
      <c r="Z133" s="7">
        <f t="shared" si="23"/>
        <v>-3.0929287619824608E-2</v>
      </c>
    </row>
    <row r="134" spans="1:26" s="69" customFormat="1" ht="15" hidden="1" customHeight="1" outlineLevel="2" x14ac:dyDescent="0.3">
      <c r="A134" s="25"/>
      <c r="B134" s="12" t="str">
        <f>CONCATENATE("          ","6116"," - ","EDUCATIONAL BENEFITS")</f>
        <v xml:space="preserve">          6116 - EDUCATIONAL BENEFITS</v>
      </c>
      <c r="C134" s="12"/>
      <c r="D134" s="8"/>
      <c r="E134" s="3"/>
      <c r="F134" s="7">
        <f t="shared" si="16"/>
        <v>0</v>
      </c>
      <c r="G134" s="3"/>
      <c r="H134" s="8"/>
      <c r="I134" s="3"/>
      <c r="J134" s="7">
        <f t="shared" si="17"/>
        <v>0</v>
      </c>
      <c r="K134" s="3"/>
      <c r="L134" s="8">
        <f t="shared" si="18"/>
        <v>0</v>
      </c>
      <c r="M134" s="3"/>
      <c r="N134" s="7">
        <f t="shared" si="19"/>
        <v>0</v>
      </c>
      <c r="O134" s="12"/>
      <c r="P134" s="8"/>
      <c r="Q134" s="3"/>
      <c r="R134" s="7">
        <f t="shared" si="20"/>
        <v>0</v>
      </c>
      <c r="S134" s="3"/>
      <c r="T134" s="8">
        <v>0</v>
      </c>
      <c r="U134" s="3"/>
      <c r="V134" s="7">
        <f t="shared" si="21"/>
        <v>0</v>
      </c>
      <c r="W134" s="3"/>
      <c r="X134" s="8">
        <f t="shared" si="22"/>
        <v>0</v>
      </c>
      <c r="Y134" s="3"/>
      <c r="Z134" s="7">
        <f t="shared" si="23"/>
        <v>0</v>
      </c>
    </row>
    <row r="135" spans="1:26" s="69" customFormat="1" ht="15" hidden="1" customHeight="1" outlineLevel="2" x14ac:dyDescent="0.3">
      <c r="A135" s="25"/>
      <c r="B135" s="12" t="str">
        <f>CONCATENATE("          ","6117"," - ","RETIREMENT STAFF HOURLY")</f>
        <v xml:space="preserve">          6117 - RETIREMENT STAFF HOURLY</v>
      </c>
      <c r="C135" s="12"/>
      <c r="D135" s="8">
        <v>775.07</v>
      </c>
      <c r="E135" s="3"/>
      <c r="F135" s="7">
        <f t="shared" si="16"/>
        <v>1.3072901255564908E-3</v>
      </c>
      <c r="G135" s="3"/>
      <c r="H135" s="8">
        <v>650.84</v>
      </c>
      <c r="I135" s="3"/>
      <c r="J135" s="7">
        <f t="shared" si="17"/>
        <v>3.5391999126456455E-3</v>
      </c>
      <c r="K135" s="3"/>
      <c r="L135" s="8">
        <f t="shared" si="18"/>
        <v>124.23000000000002</v>
      </c>
      <c r="M135" s="3"/>
      <c r="N135" s="7">
        <f t="shared" si="19"/>
        <v>0.19087640587548402</v>
      </c>
      <c r="O135" s="12"/>
      <c r="P135" s="8">
        <v>6139.66</v>
      </c>
      <c r="Q135" s="3"/>
      <c r="R135" s="7">
        <f t="shared" si="20"/>
        <v>1.060713970487337E-3</v>
      </c>
      <c r="S135" s="3"/>
      <c r="T135" s="8">
        <v>3401.26</v>
      </c>
      <c r="U135" s="3"/>
      <c r="V135" s="7">
        <f t="shared" si="21"/>
        <v>7.9763645435969473E-4</v>
      </c>
      <c r="W135" s="3"/>
      <c r="X135" s="8">
        <f t="shared" si="22"/>
        <v>2738.3999999999996</v>
      </c>
      <c r="Y135" s="3"/>
      <c r="Z135" s="7">
        <f t="shared" si="23"/>
        <v>0.8051133991520788</v>
      </c>
    </row>
    <row r="136" spans="1:26" s="69" customFormat="1" ht="15" hidden="1" customHeight="1" outlineLevel="2" x14ac:dyDescent="0.3">
      <c r="A136" s="25"/>
      <c r="B136" s="12" t="str">
        <f>CONCATENATE("          ","6118"," - ","VACATION")</f>
        <v xml:space="preserve">          6118 - VACATION</v>
      </c>
      <c r="C136" s="12"/>
      <c r="D136" s="8">
        <v>5231.3599999999997</v>
      </c>
      <c r="E136" s="3"/>
      <c r="F136" s="7">
        <f t="shared" si="16"/>
        <v>8.8235969283177035E-3</v>
      </c>
      <c r="G136" s="3"/>
      <c r="H136" s="8">
        <v>5455.57</v>
      </c>
      <c r="I136" s="3"/>
      <c r="J136" s="7">
        <f t="shared" si="17"/>
        <v>2.9666819598414666E-2</v>
      </c>
      <c r="K136" s="3"/>
      <c r="L136" s="8">
        <f t="shared" si="18"/>
        <v>-224.21000000000004</v>
      </c>
      <c r="M136" s="3"/>
      <c r="N136" s="7">
        <f t="shared" si="19"/>
        <v>-4.1097447196168327E-2</v>
      </c>
      <c r="O136" s="12"/>
      <c r="P136" s="8">
        <v>56797.54</v>
      </c>
      <c r="Q136" s="3"/>
      <c r="R136" s="7">
        <f t="shared" si="20"/>
        <v>9.8125863919685044E-3</v>
      </c>
      <c r="S136" s="3"/>
      <c r="T136" s="8">
        <v>48946.04</v>
      </c>
      <c r="U136" s="3"/>
      <c r="V136" s="7">
        <f t="shared" si="21"/>
        <v>1.1478436167934175E-2</v>
      </c>
      <c r="W136" s="3"/>
      <c r="X136" s="8">
        <f t="shared" si="22"/>
        <v>7851.5</v>
      </c>
      <c r="Y136" s="3"/>
      <c r="Z136" s="7">
        <f t="shared" si="23"/>
        <v>0.16041134277665772</v>
      </c>
    </row>
    <row r="137" spans="1:26" s="69" customFormat="1" ht="15" hidden="1" customHeight="1" outlineLevel="2" x14ac:dyDescent="0.3">
      <c r="A137" s="25"/>
      <c r="B137" s="12" t="str">
        <f>CONCATENATE("          ","6119"," - ","SICK LEAVE")</f>
        <v xml:space="preserve">          6119 - SICK LEAVE</v>
      </c>
      <c r="C137" s="12"/>
      <c r="D137" s="8">
        <v>3899.81</v>
      </c>
      <c r="E137" s="3"/>
      <c r="F137" s="7">
        <f t="shared" si="16"/>
        <v>6.5777066646192702E-3</v>
      </c>
      <c r="G137" s="3"/>
      <c r="H137" s="8">
        <v>3824.03</v>
      </c>
      <c r="I137" s="3"/>
      <c r="J137" s="7">
        <f t="shared" si="17"/>
        <v>2.0794675560743544E-2</v>
      </c>
      <c r="K137" s="3"/>
      <c r="L137" s="8">
        <f t="shared" si="18"/>
        <v>75.779999999999745</v>
      </c>
      <c r="M137" s="3"/>
      <c r="N137" s="7">
        <f t="shared" si="19"/>
        <v>1.9816790140244647E-2</v>
      </c>
      <c r="O137" s="12"/>
      <c r="P137" s="8">
        <v>18929.080000000002</v>
      </c>
      <c r="Q137" s="3"/>
      <c r="R137" s="7">
        <f t="shared" si="20"/>
        <v>3.2702689732774202E-3</v>
      </c>
      <c r="S137" s="3"/>
      <c r="T137" s="8">
        <v>34968.51</v>
      </c>
      <c r="U137" s="3"/>
      <c r="V137" s="7">
        <f t="shared" si="21"/>
        <v>8.2005369570810616E-3</v>
      </c>
      <c r="W137" s="3"/>
      <c r="X137" s="8">
        <f t="shared" si="22"/>
        <v>-16039.43</v>
      </c>
      <c r="Y137" s="3"/>
      <c r="Z137" s="7">
        <f t="shared" si="23"/>
        <v>-0.45868211141967441</v>
      </c>
    </row>
    <row r="138" spans="1:26" s="69" customFormat="1" ht="15" hidden="1" customHeight="1" outlineLevel="2" x14ac:dyDescent="0.3">
      <c r="A138" s="25"/>
      <c r="B138" s="12" t="str">
        <f>CONCATENATE("          ","6156"," - ","EMPLOYEE MEALS")</f>
        <v xml:space="preserve">          6156 - EMPLOYEE MEALS</v>
      </c>
      <c r="C138" s="12"/>
      <c r="D138" s="8">
        <v>3433.58</v>
      </c>
      <c r="E138" s="3"/>
      <c r="F138" s="7">
        <f t="shared" si="16"/>
        <v>5.7913288210203664E-3</v>
      </c>
      <c r="G138" s="3"/>
      <c r="H138" s="8">
        <v>1556.92</v>
      </c>
      <c r="I138" s="3"/>
      <c r="J138" s="7">
        <f t="shared" si="17"/>
        <v>8.4663682748390666E-3</v>
      </c>
      <c r="K138" s="3"/>
      <c r="L138" s="8">
        <f t="shared" si="18"/>
        <v>1876.6599999999999</v>
      </c>
      <c r="M138" s="3"/>
      <c r="N138" s="7">
        <f t="shared" si="19"/>
        <v>1.2053670066541633</v>
      </c>
      <c r="O138" s="12"/>
      <c r="P138" s="8">
        <v>25487.79</v>
      </c>
      <c r="Q138" s="3"/>
      <c r="R138" s="7">
        <f t="shared" si="20"/>
        <v>4.4033798174243277E-3</v>
      </c>
      <c r="S138" s="3"/>
      <c r="T138" s="8">
        <v>12496.47</v>
      </c>
      <c r="U138" s="3"/>
      <c r="V138" s="7">
        <f t="shared" si="21"/>
        <v>2.930572794438618E-3</v>
      </c>
      <c r="W138" s="3"/>
      <c r="X138" s="8">
        <f t="shared" si="22"/>
        <v>12991.320000000002</v>
      </c>
      <c r="Y138" s="3"/>
      <c r="Z138" s="7">
        <f t="shared" si="23"/>
        <v>1.0395991828092255</v>
      </c>
    </row>
    <row r="139" spans="1:26" s="68" customFormat="1" ht="15" customHeight="1" outlineLevel="1" collapsed="1" x14ac:dyDescent="0.3">
      <c r="A139" s="26"/>
      <c r="B139" s="14" t="str">
        <f>CONCATENATE("     ","*Payroll                                          ")</f>
        <v xml:space="preserve">     *Payroll                                          </v>
      </c>
      <c r="C139" s="14"/>
      <c r="D139" s="2">
        <f>SUM(OSRRefD22_1x_0)</f>
        <v>166169.60000000001</v>
      </c>
      <c r="E139" s="2"/>
      <c r="F139" s="6">
        <f t="shared" si="16"/>
        <v>0.28027388138835441</v>
      </c>
      <c r="G139" s="2"/>
      <c r="H139" s="2">
        <f>SUM(OSRRefH22_1x_0)</f>
        <v>116406.42</v>
      </c>
      <c r="I139" s="2"/>
      <c r="J139" s="6">
        <f t="shared" si="17"/>
        <v>0.63300594845951741</v>
      </c>
      <c r="K139" s="2"/>
      <c r="L139" s="2">
        <f t="shared" si="18"/>
        <v>49763.180000000008</v>
      </c>
      <c r="M139" s="2"/>
      <c r="N139" s="6">
        <f t="shared" si="19"/>
        <v>0.42749515018157941</v>
      </c>
      <c r="O139" s="14"/>
      <c r="P139" s="2">
        <f>SUM(OSRRefP22_1x_0)</f>
        <v>1500931.24</v>
      </c>
      <c r="Q139" s="2"/>
      <c r="R139" s="6">
        <f t="shared" si="20"/>
        <v>0.25930731262136375</v>
      </c>
      <c r="S139" s="2"/>
      <c r="T139" s="2">
        <f>SUM(OSRRefT22_1x_0)</f>
        <v>1123061.8</v>
      </c>
      <c r="U139" s="2"/>
      <c r="V139" s="6">
        <f t="shared" si="21"/>
        <v>0.26337152472284286</v>
      </c>
      <c r="W139" s="2"/>
      <c r="X139" s="2">
        <f t="shared" si="22"/>
        <v>377869.43999999994</v>
      </c>
      <c r="Y139" s="2"/>
      <c r="Z139" s="6">
        <f t="shared" si="23"/>
        <v>0.33646362114711759</v>
      </c>
    </row>
    <row r="140" spans="1:26" s="69" customFormat="1" ht="15" hidden="1" customHeight="1" outlineLevel="2" x14ac:dyDescent="0.3">
      <c r="A140" s="25"/>
      <c r="B140" s="12" t="str">
        <f>CONCATENATE("          ","6001"," - ","ADMINISTRATIVE SALARIES")</f>
        <v xml:space="preserve">          6001 - ADMINISTRATIVE SALARIES</v>
      </c>
      <c r="C140" s="12"/>
      <c r="D140" s="8">
        <v>3959.51</v>
      </c>
      <c r="E140" s="3"/>
      <c r="F140" s="7">
        <f t="shared" si="16"/>
        <v>6.6784010799568819E-3</v>
      </c>
      <c r="G140" s="3"/>
      <c r="H140" s="8">
        <v>4279.74</v>
      </c>
      <c r="I140" s="3"/>
      <c r="J140" s="7">
        <f t="shared" si="17"/>
        <v>2.3272778922847508E-2</v>
      </c>
      <c r="K140" s="3"/>
      <c r="L140" s="8">
        <f t="shared" si="18"/>
        <v>-320.22999999999956</v>
      </c>
      <c r="M140" s="3"/>
      <c r="N140" s="7">
        <f t="shared" si="19"/>
        <v>-7.4824638879931862E-2</v>
      </c>
      <c r="O140" s="12"/>
      <c r="P140" s="8">
        <v>44917.06</v>
      </c>
      <c r="Q140" s="3"/>
      <c r="R140" s="7">
        <f t="shared" si="20"/>
        <v>7.7600637584520887E-3</v>
      </c>
      <c r="S140" s="3"/>
      <c r="T140" s="8">
        <v>38776.33</v>
      </c>
      <c r="U140" s="3"/>
      <c r="V140" s="7">
        <f t="shared" si="21"/>
        <v>9.0935166303903435E-3</v>
      </c>
      <c r="W140" s="3"/>
      <c r="X140" s="8">
        <f t="shared" si="22"/>
        <v>6140.7299999999959</v>
      </c>
      <c r="Y140" s="3"/>
      <c r="Z140" s="7">
        <f t="shared" si="23"/>
        <v>0.15836284661286912</v>
      </c>
    </row>
    <row r="141" spans="1:26" s="69" customFormat="1" ht="15" hidden="1" customHeight="1" outlineLevel="2" x14ac:dyDescent="0.3">
      <c r="A141" s="25"/>
      <c r="B141" s="12" t="str">
        <f>CONCATENATE("          ","6002"," - ","STAFF SALARIES")</f>
        <v xml:space="preserve">          6002 - STAFF SALARIES</v>
      </c>
      <c r="C141" s="12"/>
      <c r="D141" s="8">
        <v>47158.67</v>
      </c>
      <c r="E141" s="3"/>
      <c r="F141" s="7">
        <f t="shared" si="16"/>
        <v>7.9541284819922217E-2</v>
      </c>
      <c r="G141" s="3"/>
      <c r="H141" s="8">
        <v>59850.43</v>
      </c>
      <c r="I141" s="3"/>
      <c r="J141" s="7">
        <f t="shared" si="17"/>
        <v>0.32546038446900055</v>
      </c>
      <c r="K141" s="3"/>
      <c r="L141" s="8">
        <f t="shared" si="18"/>
        <v>-12691.760000000002</v>
      </c>
      <c r="M141" s="3"/>
      <c r="N141" s="7">
        <f t="shared" si="19"/>
        <v>-0.212057958480833</v>
      </c>
      <c r="O141" s="12"/>
      <c r="P141" s="8">
        <v>515280.41</v>
      </c>
      <c r="Q141" s="3"/>
      <c r="R141" s="7">
        <f t="shared" si="20"/>
        <v>8.9022051645440123E-2</v>
      </c>
      <c r="S141" s="3"/>
      <c r="T141" s="8">
        <v>534875.47</v>
      </c>
      <c r="U141" s="3"/>
      <c r="V141" s="7">
        <f t="shared" si="21"/>
        <v>0.1254347428349421</v>
      </c>
      <c r="W141" s="3"/>
      <c r="X141" s="8">
        <f t="shared" si="22"/>
        <v>-19595.059999999998</v>
      </c>
      <c r="Y141" s="3"/>
      <c r="Z141" s="7">
        <f t="shared" si="23"/>
        <v>-3.6634807724497065E-2</v>
      </c>
    </row>
    <row r="142" spans="1:26" s="69" customFormat="1" ht="15" hidden="1" customHeight="1" outlineLevel="2" x14ac:dyDescent="0.3">
      <c r="A142" s="25"/>
      <c r="B142" s="12" t="str">
        <f>CONCATENATE("          ","6004"," - ","STAFF HOURLY")</f>
        <v xml:space="preserve">          6004 - STAFF HOURLY</v>
      </c>
      <c r="C142" s="12"/>
      <c r="D142" s="8">
        <v>21529.040000000001</v>
      </c>
      <c r="E142" s="3"/>
      <c r="F142" s="7">
        <f t="shared" si="16"/>
        <v>3.6312463912563653E-2</v>
      </c>
      <c r="G142" s="3"/>
      <c r="H142" s="8">
        <v>11915.7</v>
      </c>
      <c r="I142" s="3"/>
      <c r="J142" s="7">
        <f t="shared" si="17"/>
        <v>6.4796331508683733E-2</v>
      </c>
      <c r="K142" s="3"/>
      <c r="L142" s="8">
        <f t="shared" si="18"/>
        <v>9613.34</v>
      </c>
      <c r="M142" s="3"/>
      <c r="N142" s="7">
        <f t="shared" si="19"/>
        <v>0.80677929118725711</v>
      </c>
      <c r="O142" s="12"/>
      <c r="P142" s="8">
        <v>206848.46</v>
      </c>
      <c r="Q142" s="3"/>
      <c r="R142" s="7">
        <f t="shared" si="20"/>
        <v>3.5736026310217689E-2</v>
      </c>
      <c r="S142" s="3"/>
      <c r="T142" s="8">
        <v>137508.13</v>
      </c>
      <c r="U142" s="3"/>
      <c r="V142" s="7">
        <f t="shared" si="21"/>
        <v>3.2247313424681436E-2</v>
      </c>
      <c r="W142" s="3"/>
      <c r="X142" s="8">
        <f t="shared" si="22"/>
        <v>69340.329999999987</v>
      </c>
      <c r="Y142" s="3"/>
      <c r="Z142" s="7">
        <f t="shared" si="23"/>
        <v>0.50426349336581033</v>
      </c>
    </row>
    <row r="143" spans="1:26" s="69" customFormat="1" ht="15" hidden="1" customHeight="1" outlineLevel="2" x14ac:dyDescent="0.3">
      <c r="A143" s="25"/>
      <c r="B143" s="12" t="str">
        <f>CONCATENATE("          ","6005"," - ","TEMPORARY WAGES-HOURLY")</f>
        <v xml:space="preserve">          6005 - TEMPORARY WAGES-HOURLY</v>
      </c>
      <c r="C143" s="12"/>
      <c r="D143" s="8">
        <v>5143.54</v>
      </c>
      <c r="E143" s="3"/>
      <c r="F143" s="7">
        <f t="shared" si="16"/>
        <v>8.6754732506803666E-3</v>
      </c>
      <c r="G143" s="3"/>
      <c r="H143" s="8">
        <v>13818.91</v>
      </c>
      <c r="I143" s="3"/>
      <c r="J143" s="7">
        <f t="shared" si="17"/>
        <v>7.5145788619104592E-2</v>
      </c>
      <c r="K143" s="3"/>
      <c r="L143" s="8">
        <f t="shared" si="18"/>
        <v>-8675.369999999999</v>
      </c>
      <c r="M143" s="3"/>
      <c r="N143" s="7">
        <f t="shared" si="19"/>
        <v>-0.62778974607982818</v>
      </c>
      <c r="O143" s="12"/>
      <c r="P143" s="8">
        <v>72197.25</v>
      </c>
      <c r="Q143" s="3"/>
      <c r="R143" s="7">
        <f t="shared" si="20"/>
        <v>1.2473106280440106E-2</v>
      </c>
      <c r="S143" s="3"/>
      <c r="T143" s="8">
        <v>136226.98000000001</v>
      </c>
      <c r="U143" s="3"/>
      <c r="V143" s="7">
        <f t="shared" si="21"/>
        <v>3.1946868312134044E-2</v>
      </c>
      <c r="W143" s="3"/>
      <c r="X143" s="8">
        <f t="shared" si="22"/>
        <v>-64029.73000000001</v>
      </c>
      <c r="Y143" s="3"/>
      <c r="Z143" s="7">
        <f t="shared" si="23"/>
        <v>-0.47002238469941859</v>
      </c>
    </row>
    <row r="144" spans="1:26" s="69" customFormat="1" ht="15" hidden="1" customHeight="1" outlineLevel="2" x14ac:dyDescent="0.3">
      <c r="A144" s="25"/>
      <c r="B144" s="12" t="str">
        <f>CONCATENATE("          ","6006"," - ","TEMPORARY PART TIME")</f>
        <v xml:space="preserve">          6006 - TEMPORARY PART TIME</v>
      </c>
      <c r="C144" s="12"/>
      <c r="D144" s="8">
        <v>1071.74</v>
      </c>
      <c r="E144" s="3"/>
      <c r="F144" s="7">
        <f t="shared" si="16"/>
        <v>1.8076755895130934E-3</v>
      </c>
      <c r="G144" s="3"/>
      <c r="H144" s="8">
        <v>2022.89</v>
      </c>
      <c r="I144" s="3"/>
      <c r="J144" s="7">
        <f t="shared" si="17"/>
        <v>1.1000264444858566E-2</v>
      </c>
      <c r="K144" s="3"/>
      <c r="L144" s="8">
        <f t="shared" si="18"/>
        <v>-951.15000000000009</v>
      </c>
      <c r="M144" s="3"/>
      <c r="N144" s="7">
        <f t="shared" si="19"/>
        <v>-0.47019363386046698</v>
      </c>
      <c r="O144" s="12"/>
      <c r="P144" s="8">
        <v>15352.11</v>
      </c>
      <c r="Q144" s="3"/>
      <c r="R144" s="7">
        <f t="shared" si="20"/>
        <v>2.6522963085021571E-3</v>
      </c>
      <c r="S144" s="3"/>
      <c r="T144" s="8">
        <v>14053.29</v>
      </c>
      <c r="U144" s="3"/>
      <c r="V144" s="7">
        <f t="shared" si="21"/>
        <v>3.2956658437427759E-3</v>
      </c>
      <c r="W144" s="3"/>
      <c r="X144" s="8">
        <f t="shared" si="22"/>
        <v>1298.8199999999997</v>
      </c>
      <c r="Y144" s="3"/>
      <c r="Z144" s="7">
        <f t="shared" si="23"/>
        <v>9.2421062968173262E-2</v>
      </c>
    </row>
    <row r="145" spans="1:26" s="69" customFormat="1" ht="15" hidden="1" customHeight="1" outlineLevel="2" x14ac:dyDescent="0.3">
      <c r="A145" s="25"/>
      <c r="B145" s="12" t="str">
        <f>CONCATENATE("          ","6007"," - ","STUDENT HOURLY")</f>
        <v xml:space="preserve">          6007 - STUDENT HOURLY</v>
      </c>
      <c r="C145" s="12"/>
      <c r="D145" s="8">
        <v>77003.78</v>
      </c>
      <c r="E145" s="3"/>
      <c r="F145" s="7">
        <f t="shared" si="16"/>
        <v>0.12988024465470782</v>
      </c>
      <c r="G145" s="3"/>
      <c r="H145" s="8">
        <v>23406.38</v>
      </c>
      <c r="I145" s="3"/>
      <c r="J145" s="7">
        <f t="shared" si="17"/>
        <v>0.12728144866841432</v>
      </c>
      <c r="K145" s="3"/>
      <c r="L145" s="8">
        <f t="shared" si="18"/>
        <v>53597.399999999994</v>
      </c>
      <c r="M145" s="3"/>
      <c r="N145" s="7">
        <f t="shared" si="19"/>
        <v>2.2898628493598752</v>
      </c>
      <c r="O145" s="12"/>
      <c r="P145" s="8">
        <v>558213.18000000005</v>
      </c>
      <c r="Q145" s="3"/>
      <c r="R145" s="7">
        <f t="shared" si="20"/>
        <v>9.6439300960666011E-2</v>
      </c>
      <c r="S145" s="3"/>
      <c r="T145" s="8">
        <v>253209.98</v>
      </c>
      <c r="U145" s="3"/>
      <c r="V145" s="7">
        <f t="shared" si="21"/>
        <v>5.9380791428967267E-2</v>
      </c>
      <c r="W145" s="3"/>
      <c r="X145" s="8">
        <f t="shared" si="22"/>
        <v>305003.20000000007</v>
      </c>
      <c r="Y145" s="3"/>
      <c r="Z145" s="7">
        <f t="shared" si="23"/>
        <v>1.2045465190590041</v>
      </c>
    </row>
    <row r="146" spans="1:26" s="69" customFormat="1" ht="15" hidden="1" customHeight="1" outlineLevel="2" x14ac:dyDescent="0.3">
      <c r="A146" s="25"/>
      <c r="B146" s="12" t="str">
        <f>CONCATENATE("          ","6008"," - ","STUDENT HOURLY-FICA EXEMPT")</f>
        <v xml:space="preserve">          6008 - STUDENT HOURLY-FICA EXEMPT</v>
      </c>
      <c r="C146" s="12"/>
      <c r="D146" s="8">
        <v>10303.32</v>
      </c>
      <c r="E146" s="3"/>
      <c r="F146" s="7">
        <f t="shared" si="16"/>
        <v>1.7378338081010362E-2</v>
      </c>
      <c r="G146" s="3"/>
      <c r="H146" s="8">
        <v>1112.3699999999999</v>
      </c>
      <c r="I146" s="3"/>
      <c r="J146" s="7">
        <f t="shared" si="17"/>
        <v>6.0489518266081312E-3</v>
      </c>
      <c r="K146" s="3"/>
      <c r="L146" s="8">
        <f t="shared" si="18"/>
        <v>9190.9500000000007</v>
      </c>
      <c r="M146" s="3"/>
      <c r="N146" s="7">
        <f t="shared" si="19"/>
        <v>8.2624935947571423</v>
      </c>
      <c r="O146" s="12"/>
      <c r="P146" s="8">
        <v>88122.77</v>
      </c>
      <c r="Q146" s="3"/>
      <c r="R146" s="7">
        <f t="shared" si="20"/>
        <v>1.5224467357645603E-2</v>
      </c>
      <c r="S146" s="3"/>
      <c r="T146" s="8">
        <v>8411.6200000000008</v>
      </c>
      <c r="U146" s="3"/>
      <c r="V146" s="7">
        <f t="shared" si="21"/>
        <v>1.9726262479848925E-3</v>
      </c>
      <c r="W146" s="3"/>
      <c r="X146" s="8">
        <f t="shared" si="22"/>
        <v>79711.150000000009</v>
      </c>
      <c r="Y146" s="3"/>
      <c r="Z146" s="7">
        <f t="shared" si="23"/>
        <v>9.4763137184038264</v>
      </c>
    </row>
    <row r="147" spans="1:26" s="68" customFormat="1" ht="15" customHeight="1" outlineLevel="1" collapsed="1" x14ac:dyDescent="0.3">
      <c r="A147" s="26"/>
      <c r="B147" s="14" t="str">
        <f>CONCATENATE("     ","Advertising/Promo                                 ")</f>
        <v xml:space="preserve">     Advertising/Promo                                 </v>
      </c>
      <c r="C147" s="14"/>
      <c r="D147" s="2">
        <f>SUM(OSRRefD22_2x_0)</f>
        <v>2355.75</v>
      </c>
      <c r="E147" s="2"/>
      <c r="F147" s="6">
        <f t="shared" si="16"/>
        <v>3.9733813891386621E-3</v>
      </c>
      <c r="G147" s="2"/>
      <c r="H147" s="2">
        <f>SUM(OSRRefH22_2x_0)</f>
        <v>73.430000000000007</v>
      </c>
      <c r="I147" s="2"/>
      <c r="J147" s="6">
        <f t="shared" si="17"/>
        <v>3.9930466717713993E-4</v>
      </c>
      <c r="K147" s="2"/>
      <c r="L147" s="2">
        <f t="shared" si="18"/>
        <v>2282.3200000000002</v>
      </c>
      <c r="M147" s="2"/>
      <c r="N147" s="6">
        <f t="shared" si="19"/>
        <v>31.081574288437967</v>
      </c>
      <c r="O147" s="14"/>
      <c r="P147" s="2">
        <f>SUM(OSRRefP22_2x_0)</f>
        <v>8999.6200000000008</v>
      </c>
      <c r="Q147" s="2"/>
      <c r="R147" s="6">
        <f t="shared" si="20"/>
        <v>1.5548129152228706E-3</v>
      </c>
      <c r="S147" s="2"/>
      <c r="T147" s="2">
        <f>SUM(OSRRefT22_2x_0)</f>
        <v>16222.22</v>
      </c>
      <c r="U147" s="2"/>
      <c r="V147" s="6">
        <f t="shared" si="21"/>
        <v>3.804306063824267E-3</v>
      </c>
      <c r="W147" s="2"/>
      <c r="X147" s="2">
        <f t="shared" si="22"/>
        <v>-7222.5999999999985</v>
      </c>
      <c r="Y147" s="2"/>
      <c r="Z147" s="6">
        <f t="shared" si="23"/>
        <v>-0.44522882811353803</v>
      </c>
    </row>
    <row r="148" spans="1:26" s="69" customFormat="1" ht="15" hidden="1" customHeight="1" outlineLevel="2" x14ac:dyDescent="0.3">
      <c r="A148" s="25"/>
      <c r="B148" s="12" t="str">
        <f>CONCATENATE("          ","6362"," - ","ADVERTISING EXPENSE")</f>
        <v xml:space="preserve">          6362 - ADVERTISING EXPENSE</v>
      </c>
      <c r="C148" s="12"/>
      <c r="D148" s="8">
        <v>2355.75</v>
      </c>
      <c r="E148" s="3"/>
      <c r="F148" s="7">
        <f t="shared" si="16"/>
        <v>3.9733813891386621E-3</v>
      </c>
      <c r="G148" s="3"/>
      <c r="H148" s="8">
        <v>73.430000000000007</v>
      </c>
      <c r="I148" s="3"/>
      <c r="J148" s="7">
        <f t="shared" si="17"/>
        <v>3.9930466717713993E-4</v>
      </c>
      <c r="K148" s="3"/>
      <c r="L148" s="8">
        <f t="shared" si="18"/>
        <v>2282.3200000000002</v>
      </c>
      <c r="M148" s="3"/>
      <c r="N148" s="7">
        <f t="shared" si="19"/>
        <v>31.081574288437967</v>
      </c>
      <c r="O148" s="12"/>
      <c r="P148" s="8">
        <v>8999.6200000000008</v>
      </c>
      <c r="Q148" s="3"/>
      <c r="R148" s="7">
        <f t="shared" si="20"/>
        <v>1.5548129152228706E-3</v>
      </c>
      <c r="S148" s="3"/>
      <c r="T148" s="8">
        <v>16222.22</v>
      </c>
      <c r="U148" s="3"/>
      <c r="V148" s="7">
        <f t="shared" si="21"/>
        <v>3.804306063824267E-3</v>
      </c>
      <c r="W148" s="3"/>
      <c r="X148" s="8">
        <f t="shared" si="22"/>
        <v>-7222.5999999999985</v>
      </c>
      <c r="Y148" s="3"/>
      <c r="Z148" s="7">
        <f t="shared" si="23"/>
        <v>-0.44522882811353803</v>
      </c>
    </row>
    <row r="149" spans="1:26" s="68" customFormat="1" ht="15" customHeight="1" outlineLevel="1" collapsed="1" x14ac:dyDescent="0.3">
      <c r="A149" s="26"/>
      <c r="B149" s="14" t="str">
        <f>CONCATENATE("     ","Bad Debts/Over/Short                              ")</f>
        <v xml:space="preserve">     Bad Debts/Over/Short                              </v>
      </c>
      <c r="C149" s="14"/>
      <c r="D149" s="2">
        <f>SUM(OSRRefD22_3x_0)</f>
        <v>-46.63</v>
      </c>
      <c r="E149" s="2"/>
      <c r="F149" s="6">
        <f t="shared" si="16"/>
        <v>-7.8649591075256636E-5</v>
      </c>
      <c r="G149" s="2"/>
      <c r="H149" s="2">
        <f>SUM(OSRRefH22_3x_0)</f>
        <v>-16.510000000000002</v>
      </c>
      <c r="I149" s="2"/>
      <c r="J149" s="6">
        <f t="shared" si="17"/>
        <v>-8.9779654842633537E-5</v>
      </c>
      <c r="K149" s="2"/>
      <c r="L149" s="2">
        <f t="shared" si="18"/>
        <v>-30.12</v>
      </c>
      <c r="M149" s="2"/>
      <c r="N149" s="6">
        <f t="shared" si="19"/>
        <v>1.8243488794669895</v>
      </c>
      <c r="O149" s="14"/>
      <c r="P149" s="2">
        <f>SUM(OSRRefP22_3x_0)</f>
        <v>53.05</v>
      </c>
      <c r="Q149" s="2"/>
      <c r="R149" s="6">
        <f t="shared" si="20"/>
        <v>9.1651453230884505E-6</v>
      </c>
      <c r="S149" s="2"/>
      <c r="T149" s="2">
        <f>SUM(OSRRefT22_3x_0)</f>
        <v>5183.95</v>
      </c>
      <c r="U149" s="2"/>
      <c r="V149" s="6">
        <f t="shared" si="21"/>
        <v>1.2156987403426787E-3</v>
      </c>
      <c r="W149" s="2"/>
      <c r="X149" s="2">
        <f t="shared" si="22"/>
        <v>-5130.8999999999996</v>
      </c>
      <c r="Y149" s="2"/>
      <c r="Z149" s="6">
        <f t="shared" si="23"/>
        <v>-0.98976649080334489</v>
      </c>
    </row>
    <row r="150" spans="1:26" s="69" customFormat="1" ht="15" hidden="1" customHeight="1" outlineLevel="2" x14ac:dyDescent="0.3">
      <c r="A150" s="25"/>
      <c r="B150" s="12" t="str">
        <f>CONCATENATE("          ","6272"," - ","CASH (OVER/SHORT)")</f>
        <v xml:space="preserve">          6272 - CASH (OVER/SHORT)</v>
      </c>
      <c r="C150" s="12"/>
      <c r="D150" s="8">
        <v>-46.63</v>
      </c>
      <c r="E150" s="3"/>
      <c r="F150" s="7">
        <f t="shared" si="16"/>
        <v>-7.8649591075256636E-5</v>
      </c>
      <c r="G150" s="3"/>
      <c r="H150" s="8">
        <v>-16.510000000000002</v>
      </c>
      <c r="I150" s="3"/>
      <c r="J150" s="7">
        <f t="shared" si="17"/>
        <v>-8.9779654842633537E-5</v>
      </c>
      <c r="K150" s="3"/>
      <c r="L150" s="8">
        <f t="shared" si="18"/>
        <v>-30.12</v>
      </c>
      <c r="M150" s="3"/>
      <c r="N150" s="7">
        <f t="shared" si="19"/>
        <v>1.8243488794669895</v>
      </c>
      <c r="O150" s="12"/>
      <c r="P150" s="8">
        <v>53.05</v>
      </c>
      <c r="Q150" s="3"/>
      <c r="R150" s="7">
        <f t="shared" si="20"/>
        <v>9.1651453230884505E-6</v>
      </c>
      <c r="S150" s="3"/>
      <c r="T150" s="8">
        <v>-165.47</v>
      </c>
      <c r="U150" s="3"/>
      <c r="V150" s="7">
        <f t="shared" si="21"/>
        <v>-3.8804708873446511E-5</v>
      </c>
      <c r="W150" s="3"/>
      <c r="X150" s="8">
        <f t="shared" si="22"/>
        <v>218.51999999999998</v>
      </c>
      <c r="Y150" s="3"/>
      <c r="Z150" s="7">
        <f t="shared" si="23"/>
        <v>-1.3206019217985132</v>
      </c>
    </row>
    <row r="151" spans="1:26" s="69" customFormat="1" ht="15" hidden="1" customHeight="1" outlineLevel="2" x14ac:dyDescent="0.3">
      <c r="A151" s="25"/>
      <c r="B151" s="12" t="str">
        <f>CONCATENATE("          ","6342"," - ","BAD DEBT")</f>
        <v xml:space="preserve">          6342 - BAD DEBT</v>
      </c>
      <c r="C151" s="12"/>
      <c r="D151" s="8"/>
      <c r="E151" s="3"/>
      <c r="F151" s="7">
        <f t="shared" si="16"/>
        <v>0</v>
      </c>
      <c r="G151" s="3"/>
      <c r="H151" s="8"/>
      <c r="I151" s="3"/>
      <c r="J151" s="7">
        <f t="shared" si="17"/>
        <v>0</v>
      </c>
      <c r="K151" s="3"/>
      <c r="L151" s="8">
        <f t="shared" si="18"/>
        <v>0</v>
      </c>
      <c r="M151" s="3"/>
      <c r="N151" s="7">
        <f t="shared" si="19"/>
        <v>0</v>
      </c>
      <c r="O151" s="12"/>
      <c r="P151" s="8"/>
      <c r="Q151" s="3"/>
      <c r="R151" s="7">
        <f t="shared" si="20"/>
        <v>0</v>
      </c>
      <c r="S151" s="3"/>
      <c r="T151" s="8">
        <v>5349.42</v>
      </c>
      <c r="U151" s="3"/>
      <c r="V151" s="7">
        <f t="shared" si="21"/>
        <v>1.2545034492161251E-3</v>
      </c>
      <c r="W151" s="3"/>
      <c r="X151" s="8">
        <f t="shared" si="22"/>
        <v>-5349.42</v>
      </c>
      <c r="Y151" s="3"/>
      <c r="Z151" s="7">
        <f t="shared" si="23"/>
        <v>-1</v>
      </c>
    </row>
    <row r="152" spans="1:26" s="68" customFormat="1" ht="15" customHeight="1" outlineLevel="1" collapsed="1" x14ac:dyDescent="0.3">
      <c r="A152" s="26"/>
      <c r="B152" s="14" t="str">
        <f>CONCATENATE("     ","Bank/card Fees                                    ")</f>
        <v xml:space="preserve">     Bank/card Fees                                    </v>
      </c>
      <c r="C152" s="14"/>
      <c r="D152" s="2">
        <f>SUM(OSRRefD22_4x_0)</f>
        <v>16082.6</v>
      </c>
      <c r="E152" s="2"/>
      <c r="F152" s="6">
        <f t="shared" si="16"/>
        <v>2.7126097221250749E-2</v>
      </c>
      <c r="G152" s="2"/>
      <c r="H152" s="2">
        <f>SUM(OSRRefH22_4x_0)</f>
        <v>3823.93</v>
      </c>
      <c r="I152" s="2"/>
      <c r="J152" s="6">
        <f t="shared" si="17"/>
        <v>2.0794131771192707E-2</v>
      </c>
      <c r="K152" s="2"/>
      <c r="L152" s="2">
        <f t="shared" si="18"/>
        <v>12258.67</v>
      </c>
      <c r="M152" s="2"/>
      <c r="N152" s="6">
        <f t="shared" si="19"/>
        <v>3.2057778254309048</v>
      </c>
      <c r="O152" s="14"/>
      <c r="P152" s="2">
        <f>SUM(OSRRefP22_4x_0)</f>
        <v>111367.42</v>
      </c>
      <c r="Q152" s="2"/>
      <c r="R152" s="6">
        <f t="shared" si="20"/>
        <v>1.9240312696652728E-2</v>
      </c>
      <c r="S152" s="2"/>
      <c r="T152" s="2">
        <f>SUM(OSRRefT22_4x_0)</f>
        <v>69325.009999999995</v>
      </c>
      <c r="U152" s="2"/>
      <c r="V152" s="6">
        <f t="shared" si="21"/>
        <v>1.6257550194589764E-2</v>
      </c>
      <c r="W152" s="2"/>
      <c r="X152" s="2">
        <f t="shared" si="22"/>
        <v>42042.41</v>
      </c>
      <c r="Y152" s="2"/>
      <c r="Z152" s="6">
        <f t="shared" si="23"/>
        <v>0.60645371706401496</v>
      </c>
    </row>
    <row r="153" spans="1:26" s="69" customFormat="1" ht="15" hidden="1" customHeight="1" outlineLevel="2" x14ac:dyDescent="0.3">
      <c r="A153" s="25"/>
      <c r="B153" s="12" t="str">
        <f>CONCATENATE("          ","6381"," - ","BANK/CREDIT CARD FEES")</f>
        <v xml:space="preserve">          6381 - BANK/CREDIT CARD FEES</v>
      </c>
      <c r="C153" s="12"/>
      <c r="D153" s="8">
        <v>16082.6</v>
      </c>
      <c r="E153" s="3"/>
      <c r="F153" s="7">
        <f t="shared" si="16"/>
        <v>2.7126097221250749E-2</v>
      </c>
      <c r="G153" s="3"/>
      <c r="H153" s="8">
        <v>3823.93</v>
      </c>
      <c r="I153" s="3"/>
      <c r="J153" s="7">
        <f t="shared" si="17"/>
        <v>2.0794131771192707E-2</v>
      </c>
      <c r="K153" s="3"/>
      <c r="L153" s="8">
        <f t="shared" si="18"/>
        <v>12258.67</v>
      </c>
      <c r="M153" s="3"/>
      <c r="N153" s="7">
        <f t="shared" si="19"/>
        <v>3.2057778254309048</v>
      </c>
      <c r="O153" s="12"/>
      <c r="P153" s="8">
        <v>111367.42</v>
      </c>
      <c r="Q153" s="3"/>
      <c r="R153" s="7">
        <f t="shared" si="20"/>
        <v>1.9240312696652728E-2</v>
      </c>
      <c r="S153" s="3"/>
      <c r="T153" s="8">
        <v>69325.009999999995</v>
      </c>
      <c r="U153" s="3"/>
      <c r="V153" s="7">
        <f t="shared" si="21"/>
        <v>1.6257550194589764E-2</v>
      </c>
      <c r="W153" s="3"/>
      <c r="X153" s="8">
        <f t="shared" si="22"/>
        <v>42042.41</v>
      </c>
      <c r="Y153" s="3"/>
      <c r="Z153" s="7">
        <f t="shared" si="23"/>
        <v>0.60645371706401496</v>
      </c>
    </row>
    <row r="154" spans="1:26" s="68" customFormat="1" ht="15" customHeight="1" outlineLevel="1" collapsed="1" x14ac:dyDescent="0.3">
      <c r="A154" s="26"/>
      <c r="B154" s="14" t="str">
        <f>CONCATENATE("     ","Depreciation                                      ")</f>
        <v xml:space="preserve">     Depreciation                                      </v>
      </c>
      <c r="C154" s="14"/>
      <c r="D154" s="2">
        <f>SUM(OSRRefD22_5x_0)</f>
        <v>27540.01</v>
      </c>
      <c r="E154" s="2"/>
      <c r="F154" s="6">
        <f t="shared" si="16"/>
        <v>4.645100846468965E-2</v>
      </c>
      <c r="G154" s="2"/>
      <c r="H154" s="2">
        <f>SUM(OSRRefH22_5x_0)</f>
        <v>30735.85</v>
      </c>
      <c r="I154" s="2"/>
      <c r="J154" s="6">
        <f t="shared" si="17"/>
        <v>0.16713834065990052</v>
      </c>
      <c r="K154" s="2"/>
      <c r="L154" s="2">
        <f t="shared" si="18"/>
        <v>-3195.84</v>
      </c>
      <c r="M154" s="2"/>
      <c r="N154" s="6">
        <f t="shared" si="19"/>
        <v>-0.10397760270173105</v>
      </c>
      <c r="O154" s="14"/>
      <c r="P154" s="2">
        <f>SUM(OSRRefP22_5x_0)</f>
        <v>267436.57</v>
      </c>
      <c r="Q154" s="2"/>
      <c r="R154" s="6">
        <f t="shared" si="20"/>
        <v>4.6203487818252911E-2</v>
      </c>
      <c r="S154" s="2"/>
      <c r="T154" s="2">
        <f>SUM(OSRRefT22_5x_0)</f>
        <v>276918.14</v>
      </c>
      <c r="U154" s="2"/>
      <c r="V154" s="6">
        <f t="shared" si="21"/>
        <v>6.4940640626556495E-2</v>
      </c>
      <c r="W154" s="2"/>
      <c r="X154" s="2">
        <f t="shared" si="22"/>
        <v>-9481.570000000007</v>
      </c>
      <c r="Y154" s="2"/>
      <c r="Z154" s="6">
        <f t="shared" si="23"/>
        <v>-3.4239613193993018E-2</v>
      </c>
    </row>
    <row r="155" spans="1:26" s="69" customFormat="1" ht="15" hidden="1" customHeight="1" outlineLevel="2" x14ac:dyDescent="0.3">
      <c r="A155" s="25"/>
      <c r="B155" s="12" t="str">
        <f>CONCATENATE("          ","6321"," - ","BUILDING DEPRECIATION")</f>
        <v xml:space="preserve">          6321 - BUILDING DEPRECIATION</v>
      </c>
      <c r="C155" s="12"/>
      <c r="D155" s="8">
        <v>13321.71</v>
      </c>
      <c r="E155" s="3"/>
      <c r="F155" s="7">
        <f t="shared" si="16"/>
        <v>2.2469376880187797E-2</v>
      </c>
      <c r="G155" s="3"/>
      <c r="H155" s="8">
        <v>16396.52</v>
      </c>
      <c r="I155" s="3"/>
      <c r="J155" s="7">
        <f t="shared" si="17"/>
        <v>8.9162562460347511E-2</v>
      </c>
      <c r="K155" s="3"/>
      <c r="L155" s="8">
        <f t="shared" si="18"/>
        <v>-3074.8100000000013</v>
      </c>
      <c r="M155" s="3"/>
      <c r="N155" s="7">
        <f t="shared" si="19"/>
        <v>-0.18752820720494356</v>
      </c>
      <c r="O155" s="12"/>
      <c r="P155" s="8">
        <v>139154.13</v>
      </c>
      <c r="Q155" s="3"/>
      <c r="R155" s="7">
        <f t="shared" si="20"/>
        <v>2.4040863784315594E-2</v>
      </c>
      <c r="S155" s="3"/>
      <c r="T155" s="8">
        <v>147568.68</v>
      </c>
      <c r="U155" s="3"/>
      <c r="V155" s="7">
        <f t="shared" si="21"/>
        <v>3.4606633626873683E-2</v>
      </c>
      <c r="W155" s="3"/>
      <c r="X155" s="8">
        <f t="shared" si="22"/>
        <v>-8414.5499999999884</v>
      </c>
      <c r="Y155" s="3"/>
      <c r="Z155" s="7">
        <f t="shared" si="23"/>
        <v>-5.7021245971706117E-2</v>
      </c>
    </row>
    <row r="156" spans="1:26" s="69" customFormat="1" ht="15" hidden="1" customHeight="1" outlineLevel="2" x14ac:dyDescent="0.3">
      <c r="A156" s="25"/>
      <c r="B156" s="12" t="str">
        <f>CONCATENATE("          ","6322"," - ","EQUIPMENT DEPRECIATION EXPENSE")</f>
        <v xml:space="preserve">          6322 - EQUIPMENT DEPRECIATION EXPENSE</v>
      </c>
      <c r="C156" s="12"/>
      <c r="D156" s="8">
        <v>14218.3</v>
      </c>
      <c r="E156" s="3"/>
      <c r="F156" s="7">
        <f t="shared" si="16"/>
        <v>2.3981631584501853E-2</v>
      </c>
      <c r="G156" s="3"/>
      <c r="H156" s="8">
        <v>14339.33</v>
      </c>
      <c r="I156" s="3"/>
      <c r="J156" s="7">
        <f t="shared" si="17"/>
        <v>7.7975778199553009E-2</v>
      </c>
      <c r="K156" s="3"/>
      <c r="L156" s="8">
        <f t="shared" si="18"/>
        <v>-121.03000000000065</v>
      </c>
      <c r="M156" s="3"/>
      <c r="N156" s="7">
        <f t="shared" si="19"/>
        <v>-8.4404222512488841E-3</v>
      </c>
      <c r="O156" s="12"/>
      <c r="P156" s="8">
        <v>128282.44</v>
      </c>
      <c r="Q156" s="3"/>
      <c r="R156" s="7">
        <f t="shared" si="20"/>
        <v>2.2162624033937317E-2</v>
      </c>
      <c r="S156" s="3"/>
      <c r="T156" s="8">
        <v>129349.46</v>
      </c>
      <c r="U156" s="3"/>
      <c r="V156" s="7">
        <f t="shared" si="21"/>
        <v>3.0334006999682812E-2</v>
      </c>
      <c r="W156" s="3"/>
      <c r="X156" s="8">
        <f t="shared" si="22"/>
        <v>-1067.0200000000041</v>
      </c>
      <c r="Y156" s="3"/>
      <c r="Z156" s="7">
        <f t="shared" si="23"/>
        <v>-8.249126049695174E-3</v>
      </c>
    </row>
    <row r="157" spans="1:26" s="68" customFormat="1" ht="15" customHeight="1" outlineLevel="1" collapsed="1" x14ac:dyDescent="0.3">
      <c r="A157" s="26"/>
      <c r="B157" s="14" t="str">
        <f>CONCATENATE("     ","Discounts and Markdowns                           ")</f>
        <v xml:space="preserve">     Discounts and Markdowns                           </v>
      </c>
      <c r="C157" s="14"/>
      <c r="D157" s="2">
        <f>SUM(OSRRefD22_6x_0)</f>
        <v>-7.72</v>
      </c>
      <c r="E157" s="2"/>
      <c r="F157" s="6">
        <f t="shared" si="16"/>
        <v>-1.3021120375315918E-5</v>
      </c>
      <c r="G157" s="2"/>
      <c r="H157" s="2">
        <f>SUM(OSRRefH22_6x_0)</f>
        <v>0</v>
      </c>
      <c r="I157" s="2"/>
      <c r="J157" s="6">
        <f t="shared" si="17"/>
        <v>0</v>
      </c>
      <c r="K157" s="2"/>
      <c r="L157" s="2">
        <f t="shared" si="18"/>
        <v>-7.72</v>
      </c>
      <c r="M157" s="2"/>
      <c r="N157" s="6">
        <f t="shared" si="19"/>
        <v>0</v>
      </c>
      <c r="O157" s="14"/>
      <c r="P157" s="2">
        <f>SUM(OSRRefP22_6x_0)</f>
        <v>2056.83</v>
      </c>
      <c r="Q157" s="2"/>
      <c r="R157" s="6">
        <f t="shared" si="20"/>
        <v>3.5534676446537261E-4</v>
      </c>
      <c r="S157" s="2"/>
      <c r="T157" s="2">
        <f>SUM(OSRRefT22_6x_0)</f>
        <v>0</v>
      </c>
      <c r="U157" s="2"/>
      <c r="V157" s="6">
        <f t="shared" si="21"/>
        <v>0</v>
      </c>
      <c r="W157" s="2"/>
      <c r="X157" s="2">
        <f t="shared" si="22"/>
        <v>2056.83</v>
      </c>
      <c r="Y157" s="2"/>
      <c r="Z157" s="6">
        <f t="shared" si="23"/>
        <v>0</v>
      </c>
    </row>
    <row r="158" spans="1:26" s="69" customFormat="1" ht="15" hidden="1" customHeight="1" outlineLevel="2" x14ac:dyDescent="0.3">
      <c r="A158" s="25"/>
      <c r="B158" s="12" t="str">
        <f>CONCATENATE("          ","6382"," - ","DISCOUNTS/MARK DOWNS")</f>
        <v xml:space="preserve">          6382 - DISCOUNTS/MARK DOWNS</v>
      </c>
      <c r="C158" s="12"/>
      <c r="D158" s="8"/>
      <c r="E158" s="3"/>
      <c r="F158" s="7">
        <f t="shared" si="16"/>
        <v>0</v>
      </c>
      <c r="G158" s="3"/>
      <c r="H158" s="8">
        <v>0</v>
      </c>
      <c r="I158" s="3"/>
      <c r="J158" s="7">
        <f t="shared" si="17"/>
        <v>0</v>
      </c>
      <c r="K158" s="3"/>
      <c r="L158" s="8">
        <f t="shared" si="18"/>
        <v>0</v>
      </c>
      <c r="M158" s="3"/>
      <c r="N158" s="7">
        <f t="shared" si="19"/>
        <v>0</v>
      </c>
      <c r="O158" s="12"/>
      <c r="P158" s="8">
        <v>2171.35</v>
      </c>
      <c r="Q158" s="3"/>
      <c r="R158" s="7">
        <f t="shared" si="20"/>
        <v>3.7513173039185871E-4</v>
      </c>
      <c r="S158" s="3"/>
      <c r="T158" s="8">
        <v>0</v>
      </c>
      <c r="U158" s="3"/>
      <c r="V158" s="7">
        <f t="shared" si="21"/>
        <v>0</v>
      </c>
      <c r="W158" s="3"/>
      <c r="X158" s="8">
        <f t="shared" si="22"/>
        <v>2171.35</v>
      </c>
      <c r="Y158" s="3"/>
      <c r="Z158" s="7">
        <f t="shared" si="23"/>
        <v>0</v>
      </c>
    </row>
    <row r="159" spans="1:26" s="69" customFormat="1" ht="15" hidden="1" customHeight="1" outlineLevel="2" x14ac:dyDescent="0.3">
      <c r="A159" s="25"/>
      <c r="B159" s="12" t="str">
        <f>CONCATENATE("          ","9175"," - ","EARNED DISCOUNTS")</f>
        <v xml:space="preserve">          9175 - EARNED DISCOUNTS</v>
      </c>
      <c r="C159" s="12"/>
      <c r="D159" s="8">
        <v>-7.72</v>
      </c>
      <c r="E159" s="3"/>
      <c r="F159" s="7">
        <f t="shared" ref="F159:F190" si="24">IF(D$12=0,0,D159/D$12)</f>
        <v>-1.3021120375315918E-5</v>
      </c>
      <c r="G159" s="3"/>
      <c r="H159" s="8">
        <v>0</v>
      </c>
      <c r="I159" s="3"/>
      <c r="J159" s="7">
        <f t="shared" ref="J159:J190" si="25">IF(H$12=0,0,H159/H$12)</f>
        <v>0</v>
      </c>
      <c r="K159" s="3"/>
      <c r="L159" s="8">
        <f t="shared" ref="L159:L190" si="26">+D159-H159</f>
        <v>-7.72</v>
      </c>
      <c r="M159" s="3"/>
      <c r="N159" s="7">
        <f t="shared" ref="N159:N190" si="27">IF(H159=0,0,L159/H159)</f>
        <v>0</v>
      </c>
      <c r="O159" s="12"/>
      <c r="P159" s="8">
        <v>-114.52</v>
      </c>
      <c r="Q159" s="3"/>
      <c r="R159" s="7">
        <f t="shared" ref="R159:R190" si="28">IF(P$12=0,0,P159/P$12)</f>
        <v>-1.9784965926486131E-5</v>
      </c>
      <c r="S159" s="3"/>
      <c r="T159" s="8">
        <v>0</v>
      </c>
      <c r="U159" s="3"/>
      <c r="V159" s="7">
        <f t="shared" ref="V159:V190" si="29">IF(T$12=0,0,T159/T$12)</f>
        <v>0</v>
      </c>
      <c r="W159" s="3"/>
      <c r="X159" s="8">
        <f t="shared" ref="X159:X190" si="30">+P159-T159</f>
        <v>-114.52</v>
      </c>
      <c r="Y159" s="3"/>
      <c r="Z159" s="7">
        <f t="shared" ref="Z159:Z190" si="31">IF(T159=0,0,X159/T159)</f>
        <v>0</v>
      </c>
    </row>
    <row r="160" spans="1:26" s="68" customFormat="1" ht="15" customHeight="1" outlineLevel="1" collapsed="1" x14ac:dyDescent="0.3">
      <c r="A160" s="26"/>
      <c r="B160" s="14" t="str">
        <f>CONCATENATE("     ","Donations                                         ")</f>
        <v xml:space="preserve">     Donations                                         </v>
      </c>
      <c r="C160" s="14"/>
      <c r="D160" s="2">
        <f>SUM(OSRRefD22_7x_0)</f>
        <v>0</v>
      </c>
      <c r="E160" s="2"/>
      <c r="F160" s="6">
        <f t="shared" si="24"/>
        <v>0</v>
      </c>
      <c r="G160" s="2"/>
      <c r="H160" s="2">
        <f>SUM(OSRRefH22_7x_0)</f>
        <v>0</v>
      </c>
      <c r="I160" s="2"/>
      <c r="J160" s="6">
        <f t="shared" si="25"/>
        <v>0</v>
      </c>
      <c r="K160" s="2"/>
      <c r="L160" s="2">
        <f t="shared" si="26"/>
        <v>0</v>
      </c>
      <c r="M160" s="2"/>
      <c r="N160" s="6">
        <f t="shared" si="27"/>
        <v>0</v>
      </c>
      <c r="O160" s="14"/>
      <c r="P160" s="2">
        <f>SUM(OSRRefP22_7x_0)</f>
        <v>5818.27</v>
      </c>
      <c r="Q160" s="2"/>
      <c r="R160" s="6">
        <f t="shared" si="28"/>
        <v>1.0051892569079329E-3</v>
      </c>
      <c r="S160" s="2"/>
      <c r="T160" s="2">
        <f>SUM(OSRRefT22_7x_0)</f>
        <v>0</v>
      </c>
      <c r="U160" s="2"/>
      <c r="V160" s="6">
        <f t="shared" si="29"/>
        <v>0</v>
      </c>
      <c r="W160" s="2"/>
      <c r="X160" s="2">
        <f t="shared" si="30"/>
        <v>5818.27</v>
      </c>
      <c r="Y160" s="2"/>
      <c r="Z160" s="6">
        <f t="shared" si="31"/>
        <v>0</v>
      </c>
    </row>
    <row r="161" spans="1:26" s="69" customFormat="1" ht="15" hidden="1" customHeight="1" outlineLevel="2" x14ac:dyDescent="0.3">
      <c r="A161" s="25"/>
      <c r="B161" s="12" t="str">
        <f>CONCATENATE("          ","6399"," - ","DONATION-ON CAMPUS")</f>
        <v xml:space="preserve">          6399 - DONATION-ON CAMPUS</v>
      </c>
      <c r="C161" s="12"/>
      <c r="D161" s="8"/>
      <c r="E161" s="3"/>
      <c r="F161" s="7">
        <f t="shared" si="24"/>
        <v>0</v>
      </c>
      <c r="G161" s="3"/>
      <c r="H161" s="8"/>
      <c r="I161" s="3"/>
      <c r="J161" s="7">
        <f t="shared" si="25"/>
        <v>0</v>
      </c>
      <c r="K161" s="3"/>
      <c r="L161" s="8">
        <f t="shared" si="26"/>
        <v>0</v>
      </c>
      <c r="M161" s="3"/>
      <c r="N161" s="7">
        <f t="shared" si="27"/>
        <v>0</v>
      </c>
      <c r="O161" s="12"/>
      <c r="P161" s="8">
        <v>5818.27</v>
      </c>
      <c r="Q161" s="3"/>
      <c r="R161" s="7">
        <f t="shared" si="28"/>
        <v>1.0051892569079329E-3</v>
      </c>
      <c r="S161" s="3"/>
      <c r="T161" s="8"/>
      <c r="U161" s="3"/>
      <c r="V161" s="7">
        <f t="shared" si="29"/>
        <v>0</v>
      </c>
      <c r="W161" s="3"/>
      <c r="X161" s="8">
        <f t="shared" si="30"/>
        <v>5818.27</v>
      </c>
      <c r="Y161" s="3"/>
      <c r="Z161" s="7">
        <f t="shared" si="31"/>
        <v>0</v>
      </c>
    </row>
    <row r="162" spans="1:26" s="68" customFormat="1" ht="15" customHeight="1" outlineLevel="1" collapsed="1" x14ac:dyDescent="0.3">
      <c r="A162" s="26"/>
      <c r="B162" s="14" t="str">
        <f>CONCATENATE("     ","Employees' Appreciation                           ")</f>
        <v xml:space="preserve">     Employees' Appreciation                           </v>
      </c>
      <c r="C162" s="14"/>
      <c r="D162" s="2">
        <f>SUM(OSRRefD22_8x_0)</f>
        <v>74.69</v>
      </c>
      <c r="E162" s="2"/>
      <c r="F162" s="6">
        <f t="shared" si="24"/>
        <v>1.2597765295755775E-4</v>
      </c>
      <c r="G162" s="2"/>
      <c r="H162" s="2">
        <f>SUM(OSRRefH22_8x_0)</f>
        <v>0</v>
      </c>
      <c r="I162" s="2"/>
      <c r="J162" s="6">
        <f t="shared" si="25"/>
        <v>0</v>
      </c>
      <c r="K162" s="2"/>
      <c r="L162" s="2">
        <f t="shared" si="26"/>
        <v>74.69</v>
      </c>
      <c r="M162" s="2"/>
      <c r="N162" s="6">
        <f t="shared" si="27"/>
        <v>0</v>
      </c>
      <c r="O162" s="14"/>
      <c r="P162" s="2">
        <f>SUM(OSRRefP22_8x_0)</f>
        <v>4319.88</v>
      </c>
      <c r="Q162" s="2"/>
      <c r="R162" s="6">
        <f t="shared" si="28"/>
        <v>7.4632097979836633E-4</v>
      </c>
      <c r="S162" s="2"/>
      <c r="T162" s="2">
        <f>SUM(OSRRefT22_8x_0)</f>
        <v>186.03</v>
      </c>
      <c r="U162" s="2"/>
      <c r="V162" s="6">
        <f t="shared" si="29"/>
        <v>4.362627661646978E-5</v>
      </c>
      <c r="W162" s="2"/>
      <c r="X162" s="2">
        <f t="shared" si="30"/>
        <v>4133.8500000000004</v>
      </c>
      <c r="Y162" s="2"/>
      <c r="Z162" s="6">
        <f t="shared" si="31"/>
        <v>22.221415900661185</v>
      </c>
    </row>
    <row r="163" spans="1:26" s="69" customFormat="1" ht="15" hidden="1" customHeight="1" outlineLevel="2" x14ac:dyDescent="0.3">
      <c r="A163" s="25"/>
      <c r="B163" s="12" t="str">
        <f>CONCATENATE("          ","6277"," - ","EMPLOYEE APPRECIATION")</f>
        <v xml:space="preserve">          6277 - EMPLOYEE APPRECIATION</v>
      </c>
      <c r="C163" s="12"/>
      <c r="D163" s="8">
        <v>74.69</v>
      </c>
      <c r="E163" s="3"/>
      <c r="F163" s="7">
        <f t="shared" si="24"/>
        <v>1.2597765295755775E-4</v>
      </c>
      <c r="G163" s="3"/>
      <c r="H163" s="8"/>
      <c r="I163" s="3"/>
      <c r="J163" s="7">
        <f t="shared" si="25"/>
        <v>0</v>
      </c>
      <c r="K163" s="3"/>
      <c r="L163" s="8">
        <f t="shared" si="26"/>
        <v>74.69</v>
      </c>
      <c r="M163" s="3"/>
      <c r="N163" s="7">
        <f t="shared" si="27"/>
        <v>0</v>
      </c>
      <c r="O163" s="12"/>
      <c r="P163" s="8">
        <v>4319.88</v>
      </c>
      <c r="Q163" s="3"/>
      <c r="R163" s="7">
        <f t="shared" si="28"/>
        <v>7.4632097979836633E-4</v>
      </c>
      <c r="S163" s="3"/>
      <c r="T163" s="8">
        <v>186.03</v>
      </c>
      <c r="U163" s="3"/>
      <c r="V163" s="7">
        <f t="shared" si="29"/>
        <v>4.362627661646978E-5</v>
      </c>
      <c r="W163" s="3"/>
      <c r="X163" s="8">
        <f t="shared" si="30"/>
        <v>4133.8500000000004</v>
      </c>
      <c r="Y163" s="3"/>
      <c r="Z163" s="7">
        <f t="shared" si="31"/>
        <v>22.221415900661185</v>
      </c>
    </row>
    <row r="164" spans="1:26" s="68" customFormat="1" ht="15" customHeight="1" outlineLevel="1" collapsed="1" x14ac:dyDescent="0.3">
      <c r="A164" s="26"/>
      <c r="B164" s="14" t="str">
        <f>CONCATENATE("     ","Equipment Rental                                  ")</f>
        <v xml:space="preserve">     Equipment Rental                                  </v>
      </c>
      <c r="C164" s="14"/>
      <c r="D164" s="2">
        <f>SUM(OSRRefD22_9x_0)</f>
        <v>1712.05</v>
      </c>
      <c r="E164" s="2"/>
      <c r="F164" s="6">
        <f t="shared" si="24"/>
        <v>2.8876695775336288E-3</v>
      </c>
      <c r="G164" s="2"/>
      <c r="H164" s="2">
        <f>SUM(OSRRefH22_9x_0)</f>
        <v>1296.9000000000001</v>
      </c>
      <c r="I164" s="2"/>
      <c r="J164" s="6">
        <f t="shared" si="25"/>
        <v>7.0524066847614426E-3</v>
      </c>
      <c r="K164" s="2"/>
      <c r="L164" s="2">
        <f t="shared" si="26"/>
        <v>415.14999999999986</v>
      </c>
      <c r="M164" s="2"/>
      <c r="N164" s="6">
        <f t="shared" si="27"/>
        <v>0.32010949186521692</v>
      </c>
      <c r="O164" s="14"/>
      <c r="P164" s="2">
        <f>SUM(OSRRefP22_9x_0)</f>
        <v>14410.15</v>
      </c>
      <c r="Q164" s="2"/>
      <c r="R164" s="6">
        <f t="shared" si="28"/>
        <v>2.4895592625354011E-3</v>
      </c>
      <c r="S164" s="2"/>
      <c r="T164" s="2">
        <f>SUM(OSRRefT22_9x_0)</f>
        <v>13446.01</v>
      </c>
      <c r="U164" s="2"/>
      <c r="V164" s="6">
        <f t="shared" si="29"/>
        <v>3.1532513661657736E-3</v>
      </c>
      <c r="W164" s="2"/>
      <c r="X164" s="2">
        <f t="shared" si="30"/>
        <v>964.13999999999942</v>
      </c>
      <c r="Y164" s="2"/>
      <c r="Z164" s="6">
        <f t="shared" si="31"/>
        <v>7.1704542834640117E-2</v>
      </c>
    </row>
    <row r="165" spans="1:26" s="69" customFormat="1" ht="15" hidden="1" customHeight="1" outlineLevel="2" x14ac:dyDescent="0.3">
      <c r="A165" s="25"/>
      <c r="B165" s="12" t="str">
        <f>CONCATENATE("          ","6351"," - ","EQUIPMENT RENTAL")</f>
        <v xml:space="preserve">          6351 - EQUIPMENT RENTAL</v>
      </c>
      <c r="C165" s="12"/>
      <c r="D165" s="8">
        <v>1712.05</v>
      </c>
      <c r="E165" s="3"/>
      <c r="F165" s="7">
        <f t="shared" si="24"/>
        <v>2.8876695775336288E-3</v>
      </c>
      <c r="G165" s="3"/>
      <c r="H165" s="8">
        <v>1296.9000000000001</v>
      </c>
      <c r="I165" s="3"/>
      <c r="J165" s="7">
        <f t="shared" si="25"/>
        <v>7.0524066847614426E-3</v>
      </c>
      <c r="K165" s="3"/>
      <c r="L165" s="8">
        <f t="shared" si="26"/>
        <v>415.14999999999986</v>
      </c>
      <c r="M165" s="3"/>
      <c r="N165" s="7">
        <f t="shared" si="27"/>
        <v>0.32010949186521692</v>
      </c>
      <c r="O165" s="12"/>
      <c r="P165" s="8">
        <v>14410.15</v>
      </c>
      <c r="Q165" s="3"/>
      <c r="R165" s="7">
        <f t="shared" si="28"/>
        <v>2.4895592625354011E-3</v>
      </c>
      <c r="S165" s="3"/>
      <c r="T165" s="8">
        <v>13446.01</v>
      </c>
      <c r="U165" s="3"/>
      <c r="V165" s="7">
        <f t="shared" si="29"/>
        <v>3.1532513661657736E-3</v>
      </c>
      <c r="W165" s="3"/>
      <c r="X165" s="8">
        <f t="shared" si="30"/>
        <v>964.13999999999942</v>
      </c>
      <c r="Y165" s="3"/>
      <c r="Z165" s="7">
        <f t="shared" si="31"/>
        <v>7.1704542834640117E-2</v>
      </c>
    </row>
    <row r="166" spans="1:26" s="68" customFormat="1" ht="15" customHeight="1" outlineLevel="1" collapsed="1" x14ac:dyDescent="0.3">
      <c r="A166" s="26"/>
      <c r="B166" s="14" t="str">
        <f>CONCATENATE("     ","Freight out/Postage                               ")</f>
        <v xml:space="preserve">     Freight out/Postage                               </v>
      </c>
      <c r="C166" s="14"/>
      <c r="D166" s="2">
        <f>SUM(OSRRefD22_10x_0)</f>
        <v>1779.17</v>
      </c>
      <c r="E166" s="2"/>
      <c r="F166" s="6">
        <f t="shared" si="24"/>
        <v>3.0008791111594329E-3</v>
      </c>
      <c r="G166" s="2"/>
      <c r="H166" s="2">
        <f>SUM(OSRRefH22_10x_0)</f>
        <v>-1852.75</v>
      </c>
      <c r="I166" s="2"/>
      <c r="J166" s="6">
        <f t="shared" si="25"/>
        <v>-1.0075060903070216E-2</v>
      </c>
      <c r="K166" s="2"/>
      <c r="L166" s="2">
        <f t="shared" si="26"/>
        <v>3631.92</v>
      </c>
      <c r="M166" s="2"/>
      <c r="N166" s="6">
        <f t="shared" si="27"/>
        <v>-1.9602860612602888</v>
      </c>
      <c r="O166" s="14"/>
      <c r="P166" s="2">
        <f>SUM(OSRRefP22_10x_0)</f>
        <v>-44728.740000000005</v>
      </c>
      <c r="Q166" s="2"/>
      <c r="R166" s="6">
        <f t="shared" si="28"/>
        <v>-7.7275287882872636E-3</v>
      </c>
      <c r="S166" s="2"/>
      <c r="T166" s="2">
        <f>SUM(OSRRefT22_10x_0)</f>
        <v>-34506.649999999994</v>
      </c>
      <c r="U166" s="2"/>
      <c r="V166" s="6">
        <f t="shared" si="29"/>
        <v>-8.0922252217798564E-3</v>
      </c>
      <c r="W166" s="2"/>
      <c r="X166" s="2">
        <f t="shared" si="30"/>
        <v>-10222.090000000011</v>
      </c>
      <c r="Y166" s="2"/>
      <c r="Z166" s="6">
        <f t="shared" si="31"/>
        <v>0.29623536332851819</v>
      </c>
    </row>
    <row r="167" spans="1:26" s="69" customFormat="1" ht="15" hidden="1" customHeight="1" outlineLevel="2" x14ac:dyDescent="0.3">
      <c r="A167" s="25"/>
      <c r="B167" s="12" t="str">
        <f>CONCATENATE("          ","6305"," - ","FREIGHT OUT")</f>
        <v xml:space="preserve">          6305 - FREIGHT OUT</v>
      </c>
      <c r="C167" s="12"/>
      <c r="D167" s="8">
        <v>10386.42</v>
      </c>
      <c r="E167" s="3"/>
      <c r="F167" s="7">
        <f t="shared" si="24"/>
        <v>1.7518500659143621E-2</v>
      </c>
      <c r="G167" s="3"/>
      <c r="H167" s="8">
        <v>17566.57</v>
      </c>
      <c r="I167" s="3"/>
      <c r="J167" s="7">
        <f t="shared" si="25"/>
        <v>9.5525172099876487E-2</v>
      </c>
      <c r="K167" s="3"/>
      <c r="L167" s="8">
        <f t="shared" si="26"/>
        <v>-7180.15</v>
      </c>
      <c r="M167" s="3"/>
      <c r="N167" s="7">
        <f t="shared" si="27"/>
        <v>-0.4087394408811737</v>
      </c>
      <c r="O167" s="12"/>
      <c r="P167" s="8">
        <v>112117.86</v>
      </c>
      <c r="Q167" s="3"/>
      <c r="R167" s="7">
        <f t="shared" si="28"/>
        <v>1.9369961926742424E-2</v>
      </c>
      <c r="S167" s="3"/>
      <c r="T167" s="8">
        <v>179233.79</v>
      </c>
      <c r="U167" s="3"/>
      <c r="V167" s="7">
        <f t="shared" si="29"/>
        <v>4.2032483478784362E-2</v>
      </c>
      <c r="W167" s="3"/>
      <c r="X167" s="8">
        <f t="shared" si="30"/>
        <v>-67115.930000000008</v>
      </c>
      <c r="Y167" s="3"/>
      <c r="Z167" s="7">
        <f t="shared" si="31"/>
        <v>-0.37446025104976022</v>
      </c>
    </row>
    <row r="168" spans="1:26" s="69" customFormat="1" ht="15" hidden="1" customHeight="1" outlineLevel="2" x14ac:dyDescent="0.3">
      <c r="A168" s="25"/>
      <c r="B168" s="12" t="str">
        <f>CONCATENATE("          ","6307"," - ","POSTAGE")</f>
        <v xml:space="preserve">          6307 - POSTAGE</v>
      </c>
      <c r="C168" s="12"/>
      <c r="D168" s="8">
        <v>-8607.25</v>
      </c>
      <c r="E168" s="3"/>
      <c r="F168" s="7">
        <f t="shared" si="24"/>
        <v>-1.4517621547984187E-2</v>
      </c>
      <c r="G168" s="3"/>
      <c r="H168" s="8">
        <v>-19419.32</v>
      </c>
      <c r="I168" s="3"/>
      <c r="J168" s="7">
        <f t="shared" si="25"/>
        <v>-0.1056002330029467</v>
      </c>
      <c r="K168" s="3"/>
      <c r="L168" s="8">
        <f t="shared" si="26"/>
        <v>10812.07</v>
      </c>
      <c r="M168" s="3"/>
      <c r="N168" s="7">
        <f t="shared" si="27"/>
        <v>-0.55676872310667935</v>
      </c>
      <c r="O168" s="12"/>
      <c r="P168" s="8">
        <v>-156846.6</v>
      </c>
      <c r="Q168" s="3"/>
      <c r="R168" s="7">
        <f t="shared" si="28"/>
        <v>-2.709749071502969E-2</v>
      </c>
      <c r="S168" s="3"/>
      <c r="T168" s="8">
        <v>-213740.44</v>
      </c>
      <c r="U168" s="3"/>
      <c r="V168" s="7">
        <f t="shared" si="29"/>
        <v>-5.0124708700564222E-2</v>
      </c>
      <c r="W168" s="3"/>
      <c r="X168" s="8">
        <f t="shared" si="30"/>
        <v>56893.84</v>
      </c>
      <c r="Y168" s="3"/>
      <c r="Z168" s="7">
        <f t="shared" si="31"/>
        <v>-0.26618191672104724</v>
      </c>
    </row>
    <row r="169" spans="1:26" s="68" customFormat="1" ht="15" customHeight="1" outlineLevel="1" collapsed="1" x14ac:dyDescent="0.3">
      <c r="A169" s="26"/>
      <c r="B169" s="14" t="str">
        <f>CONCATENATE("     ","General                                           ")</f>
        <v xml:space="preserve">     General                                           </v>
      </c>
      <c r="C169" s="14"/>
      <c r="D169" s="2">
        <f>SUM(OSRRefD22_11x_0)</f>
        <v>191.1</v>
      </c>
      <c r="E169" s="2"/>
      <c r="F169" s="6">
        <f t="shared" si="24"/>
        <v>3.2232332949778134E-4</v>
      </c>
      <c r="G169" s="2"/>
      <c r="H169" s="2">
        <f>SUM(OSRRefH22_11x_0)</f>
        <v>0</v>
      </c>
      <c r="I169" s="2"/>
      <c r="J169" s="6">
        <f t="shared" si="25"/>
        <v>0</v>
      </c>
      <c r="K169" s="2"/>
      <c r="L169" s="2">
        <f t="shared" si="26"/>
        <v>191.1</v>
      </c>
      <c r="M169" s="2"/>
      <c r="N169" s="6">
        <f t="shared" si="27"/>
        <v>0</v>
      </c>
      <c r="O169" s="14"/>
      <c r="P169" s="2">
        <f>SUM(OSRRefP22_11x_0)</f>
        <v>5946.45</v>
      </c>
      <c r="Q169" s="2"/>
      <c r="R169" s="6">
        <f t="shared" si="28"/>
        <v>1.0273341829685073E-3</v>
      </c>
      <c r="S169" s="2"/>
      <c r="T169" s="2">
        <f>SUM(OSRRefT22_11x_0)</f>
        <v>2509.79</v>
      </c>
      <c r="U169" s="2"/>
      <c r="V169" s="6">
        <f t="shared" si="29"/>
        <v>5.8857599736198297E-4</v>
      </c>
      <c r="W169" s="2"/>
      <c r="X169" s="2">
        <f t="shared" si="30"/>
        <v>3436.66</v>
      </c>
      <c r="Y169" s="2"/>
      <c r="Z169" s="6">
        <f t="shared" si="31"/>
        <v>1.369301814096</v>
      </c>
    </row>
    <row r="170" spans="1:26" s="69" customFormat="1" ht="15" hidden="1" customHeight="1" outlineLevel="2" x14ac:dyDescent="0.3">
      <c r="A170" s="25"/>
      <c r="B170" s="12" t="str">
        <f>CONCATENATE("          ","6279"," - ","GENERAL EXPENSE")</f>
        <v xml:space="preserve">          6279 - GENERAL EXPENSE</v>
      </c>
      <c r="C170" s="12"/>
      <c r="D170" s="8">
        <v>191.1</v>
      </c>
      <c r="E170" s="3"/>
      <c r="F170" s="7">
        <f t="shared" si="24"/>
        <v>3.2232332949778134E-4</v>
      </c>
      <c r="G170" s="3"/>
      <c r="H170" s="8">
        <v>0</v>
      </c>
      <c r="I170" s="3"/>
      <c r="J170" s="7">
        <f t="shared" si="25"/>
        <v>0</v>
      </c>
      <c r="K170" s="3"/>
      <c r="L170" s="8">
        <f t="shared" si="26"/>
        <v>191.1</v>
      </c>
      <c r="M170" s="3"/>
      <c r="N170" s="7">
        <f t="shared" si="27"/>
        <v>0</v>
      </c>
      <c r="O170" s="12"/>
      <c r="P170" s="8">
        <v>5946.45</v>
      </c>
      <c r="Q170" s="3"/>
      <c r="R170" s="7">
        <f t="shared" si="28"/>
        <v>1.0273341829685073E-3</v>
      </c>
      <c r="S170" s="3"/>
      <c r="T170" s="8">
        <v>2509.79</v>
      </c>
      <c r="U170" s="3"/>
      <c r="V170" s="7">
        <f t="shared" si="29"/>
        <v>5.8857599736198297E-4</v>
      </c>
      <c r="W170" s="3"/>
      <c r="X170" s="8">
        <f t="shared" si="30"/>
        <v>3436.66</v>
      </c>
      <c r="Y170" s="3"/>
      <c r="Z170" s="7">
        <f t="shared" si="31"/>
        <v>1.369301814096</v>
      </c>
    </row>
    <row r="171" spans="1:26" s="68" customFormat="1" ht="15" customHeight="1" outlineLevel="1" collapsed="1" x14ac:dyDescent="0.3">
      <c r="A171" s="26"/>
      <c r="B171" s="14" t="str">
        <f>CONCATENATE("     ","Insurance                                         ")</f>
        <v xml:space="preserve">     Insurance                                         </v>
      </c>
      <c r="C171" s="14"/>
      <c r="D171" s="2">
        <f>SUM(OSRRefD22_12x_0)</f>
        <v>5494.57</v>
      </c>
      <c r="E171" s="2"/>
      <c r="F171" s="6">
        <f t="shared" si="24"/>
        <v>9.2675462928237789E-3</v>
      </c>
      <c r="G171" s="2"/>
      <c r="H171" s="2">
        <f>SUM(OSRRefH22_12x_0)</f>
        <v>4044.74</v>
      </c>
      <c r="I171" s="2"/>
      <c r="J171" s="6">
        <f t="shared" si="25"/>
        <v>2.1994873478388462E-2</v>
      </c>
      <c r="K171" s="2"/>
      <c r="L171" s="2">
        <f t="shared" si="26"/>
        <v>1449.83</v>
      </c>
      <c r="M171" s="2"/>
      <c r="N171" s="6">
        <f t="shared" si="27"/>
        <v>0.35844825625380122</v>
      </c>
      <c r="O171" s="14"/>
      <c r="P171" s="2">
        <f>SUM(OSRRefP22_12x_0)</f>
        <v>49451.13</v>
      </c>
      <c r="Q171" s="2"/>
      <c r="R171" s="6">
        <f t="shared" si="28"/>
        <v>8.5433891204701028E-3</v>
      </c>
      <c r="S171" s="2"/>
      <c r="T171" s="2">
        <f>SUM(OSRRefT22_12x_0)</f>
        <v>36402.660000000003</v>
      </c>
      <c r="U171" s="2"/>
      <c r="V171" s="6">
        <f t="shared" si="29"/>
        <v>8.5368624132414125E-3</v>
      </c>
      <c r="W171" s="2"/>
      <c r="X171" s="2">
        <f t="shared" si="30"/>
        <v>13048.469999999994</v>
      </c>
      <c r="Y171" s="2"/>
      <c r="Z171" s="6">
        <f t="shared" si="31"/>
        <v>0.35844825625380106</v>
      </c>
    </row>
    <row r="172" spans="1:26" s="69" customFormat="1" ht="15" hidden="1" customHeight="1" outlineLevel="2" x14ac:dyDescent="0.3">
      <c r="A172" s="25"/>
      <c r="B172" s="12" t="str">
        <f>CONCATENATE("          ","6314"," - ","LIABILITY INSURANCE")</f>
        <v xml:space="preserve">          6314 - LIABILITY INSURANCE</v>
      </c>
      <c r="C172" s="12"/>
      <c r="D172" s="8">
        <v>5494.57</v>
      </c>
      <c r="E172" s="3"/>
      <c r="F172" s="7">
        <f t="shared" si="24"/>
        <v>9.2675462928237789E-3</v>
      </c>
      <c r="G172" s="3"/>
      <c r="H172" s="8">
        <v>4044.74</v>
      </c>
      <c r="I172" s="3"/>
      <c r="J172" s="7">
        <f t="shared" si="25"/>
        <v>2.1994873478388462E-2</v>
      </c>
      <c r="K172" s="3"/>
      <c r="L172" s="8">
        <f t="shared" si="26"/>
        <v>1449.83</v>
      </c>
      <c r="M172" s="3"/>
      <c r="N172" s="7">
        <f t="shared" si="27"/>
        <v>0.35844825625380122</v>
      </c>
      <c r="O172" s="12"/>
      <c r="P172" s="8">
        <v>49451.13</v>
      </c>
      <c r="Q172" s="3"/>
      <c r="R172" s="7">
        <f t="shared" si="28"/>
        <v>8.5433891204701028E-3</v>
      </c>
      <c r="S172" s="3"/>
      <c r="T172" s="8">
        <v>36402.660000000003</v>
      </c>
      <c r="U172" s="3"/>
      <c r="V172" s="7">
        <f t="shared" si="29"/>
        <v>8.5368624132414125E-3</v>
      </c>
      <c r="W172" s="3"/>
      <c r="X172" s="8">
        <f t="shared" si="30"/>
        <v>13048.469999999994</v>
      </c>
      <c r="Y172" s="3"/>
      <c r="Z172" s="7">
        <f t="shared" si="31"/>
        <v>0.35844825625380106</v>
      </c>
    </row>
    <row r="173" spans="1:26" s="68" customFormat="1" ht="15" customHeight="1" outlineLevel="1" collapsed="1" x14ac:dyDescent="0.3">
      <c r="A173" s="26"/>
      <c r="B173" s="14" t="str">
        <f>CONCATENATE("     ","Inventory Adjustment                              ")</f>
        <v xml:space="preserve">     Inventory Adjustment                              </v>
      </c>
      <c r="C173" s="14"/>
      <c r="D173" s="2">
        <f>SUM(OSRRefD22_13x_0)</f>
        <v>5100</v>
      </c>
      <c r="E173" s="2"/>
      <c r="F173" s="6">
        <f t="shared" si="24"/>
        <v>8.6020354811024852E-3</v>
      </c>
      <c r="G173" s="2"/>
      <c r="H173" s="2">
        <f>SUM(OSRRefH22_13x_0)</f>
        <v>2100</v>
      </c>
      <c r="I173" s="2"/>
      <c r="J173" s="6">
        <f t="shared" si="25"/>
        <v>1.1419580567506384E-2</v>
      </c>
      <c r="K173" s="2"/>
      <c r="L173" s="2">
        <f t="shared" si="26"/>
        <v>3000</v>
      </c>
      <c r="M173" s="2"/>
      <c r="N173" s="6">
        <f t="shared" si="27"/>
        <v>1.4285714285714286</v>
      </c>
      <c r="O173" s="14"/>
      <c r="P173" s="2">
        <f>SUM(OSRRefP22_13x_0)</f>
        <v>49900</v>
      </c>
      <c r="Q173" s="2"/>
      <c r="R173" s="6">
        <f t="shared" si="28"/>
        <v>8.6209378251105306E-3</v>
      </c>
      <c r="S173" s="2"/>
      <c r="T173" s="2">
        <f>SUM(OSRRefT22_13x_0)</f>
        <v>23900</v>
      </c>
      <c r="U173" s="2"/>
      <c r="V173" s="6">
        <f t="shared" si="29"/>
        <v>5.6048379892147922E-3</v>
      </c>
      <c r="W173" s="2"/>
      <c r="X173" s="2">
        <f t="shared" si="30"/>
        <v>26000</v>
      </c>
      <c r="Y173" s="2"/>
      <c r="Z173" s="6">
        <f t="shared" si="31"/>
        <v>1.0878661087866108</v>
      </c>
    </row>
    <row r="174" spans="1:26" s="69" customFormat="1" ht="15" hidden="1" customHeight="1" outlineLevel="2" x14ac:dyDescent="0.3">
      <c r="A174" s="25"/>
      <c r="B174" s="12" t="str">
        <f>CONCATENATE("          ","6408"," - ","INVENTORY ADJUSTMENT")</f>
        <v xml:space="preserve">          6408 - INVENTORY ADJUSTMENT</v>
      </c>
      <c r="C174" s="12"/>
      <c r="D174" s="8">
        <v>5100</v>
      </c>
      <c r="E174" s="3"/>
      <c r="F174" s="7">
        <f t="shared" si="24"/>
        <v>8.6020354811024852E-3</v>
      </c>
      <c r="G174" s="3"/>
      <c r="H174" s="8">
        <v>2100</v>
      </c>
      <c r="I174" s="3"/>
      <c r="J174" s="7">
        <f t="shared" si="25"/>
        <v>1.1419580567506384E-2</v>
      </c>
      <c r="K174" s="3"/>
      <c r="L174" s="8">
        <f t="shared" si="26"/>
        <v>3000</v>
      </c>
      <c r="M174" s="3"/>
      <c r="N174" s="7">
        <f t="shared" si="27"/>
        <v>1.4285714285714286</v>
      </c>
      <c r="O174" s="12"/>
      <c r="P174" s="8">
        <v>49900</v>
      </c>
      <c r="Q174" s="3"/>
      <c r="R174" s="7">
        <f t="shared" si="28"/>
        <v>8.6209378251105306E-3</v>
      </c>
      <c r="S174" s="3"/>
      <c r="T174" s="8">
        <v>23900</v>
      </c>
      <c r="U174" s="3"/>
      <c r="V174" s="7">
        <f t="shared" si="29"/>
        <v>5.6048379892147922E-3</v>
      </c>
      <c r="W174" s="3"/>
      <c r="X174" s="8">
        <f t="shared" si="30"/>
        <v>26000</v>
      </c>
      <c r="Y174" s="3"/>
      <c r="Z174" s="7">
        <f t="shared" si="31"/>
        <v>1.0878661087866108</v>
      </c>
    </row>
    <row r="175" spans="1:26" s="69" customFormat="1" ht="15" hidden="1" customHeight="1" outlineLevel="2" x14ac:dyDescent="0.3">
      <c r="A175" s="25"/>
      <c r="B175" s="12" t="str">
        <f>CONCATENATE("          ","7741"," - ","INV. SHRINKAGE-LOGO GIFTS")</f>
        <v xml:space="preserve">          7741 - INV. SHRINKAGE-LOGO GIFTS</v>
      </c>
      <c r="C175" s="12"/>
      <c r="D175" s="8"/>
      <c r="E175" s="3"/>
      <c r="F175" s="7">
        <f t="shared" si="24"/>
        <v>0</v>
      </c>
      <c r="G175" s="3"/>
      <c r="H175" s="8"/>
      <c r="I175" s="3"/>
      <c r="J175" s="7">
        <f t="shared" si="25"/>
        <v>0</v>
      </c>
      <c r="K175" s="3"/>
      <c r="L175" s="8">
        <f t="shared" si="26"/>
        <v>0</v>
      </c>
      <c r="M175" s="3"/>
      <c r="N175" s="7">
        <f t="shared" si="27"/>
        <v>0</v>
      </c>
      <c r="O175" s="12"/>
      <c r="P175" s="8"/>
      <c r="Q175" s="3"/>
      <c r="R175" s="7">
        <f t="shared" si="28"/>
        <v>0</v>
      </c>
      <c r="S175" s="3"/>
      <c r="T175" s="8">
        <v>0</v>
      </c>
      <c r="U175" s="3"/>
      <c r="V175" s="7">
        <f t="shared" si="29"/>
        <v>0</v>
      </c>
      <c r="W175" s="3"/>
      <c r="X175" s="8">
        <f t="shared" si="30"/>
        <v>0</v>
      </c>
      <c r="Y175" s="3"/>
      <c r="Z175" s="7">
        <f t="shared" si="31"/>
        <v>0</v>
      </c>
    </row>
    <row r="176" spans="1:26" s="68" customFormat="1" ht="15" customHeight="1" outlineLevel="1" collapsed="1" x14ac:dyDescent="0.3">
      <c r="A176" s="26"/>
      <c r="B176" s="14" t="str">
        <f>CONCATENATE("     ","Professional Services                             ")</f>
        <v xml:space="preserve">     Professional Services                             </v>
      </c>
      <c r="C176" s="14"/>
      <c r="D176" s="2">
        <f>SUM(OSRRefD22_14x_0)</f>
        <v>1050</v>
      </c>
      <c r="E176" s="2"/>
      <c r="F176" s="6">
        <f t="shared" si="24"/>
        <v>1.7710073049328643E-3</v>
      </c>
      <c r="G176" s="2"/>
      <c r="H176" s="2">
        <f>SUM(OSRRefH22_14x_0)</f>
        <v>0</v>
      </c>
      <c r="I176" s="2"/>
      <c r="J176" s="6">
        <f t="shared" si="25"/>
        <v>0</v>
      </c>
      <c r="K176" s="2"/>
      <c r="L176" s="2">
        <f t="shared" si="26"/>
        <v>1050</v>
      </c>
      <c r="M176" s="2"/>
      <c r="N176" s="6">
        <f t="shared" si="27"/>
        <v>0</v>
      </c>
      <c r="O176" s="14"/>
      <c r="P176" s="2">
        <f>SUM(OSRRefP22_14x_0)</f>
        <v>9626.5300000000007</v>
      </c>
      <c r="Q176" s="2"/>
      <c r="R176" s="6">
        <f t="shared" si="28"/>
        <v>1.6631205731775808E-3</v>
      </c>
      <c r="S176" s="2"/>
      <c r="T176" s="2">
        <f>SUM(OSRRefT22_14x_0)</f>
        <v>0</v>
      </c>
      <c r="U176" s="2"/>
      <c r="V176" s="6">
        <f t="shared" si="29"/>
        <v>0</v>
      </c>
      <c r="W176" s="2"/>
      <c r="X176" s="2">
        <f t="shared" si="30"/>
        <v>9626.5300000000007</v>
      </c>
      <c r="Y176" s="2"/>
      <c r="Z176" s="6">
        <f t="shared" si="31"/>
        <v>0</v>
      </c>
    </row>
    <row r="177" spans="1:26" s="69" customFormat="1" ht="15" hidden="1" customHeight="1" outlineLevel="2" x14ac:dyDescent="0.3">
      <c r="A177" s="25"/>
      <c r="B177" s="12" t="str">
        <f>CONCATENATE("          ","6336"," - ","PROFESSIONAL SERVICES")</f>
        <v xml:space="preserve">          6336 - PROFESSIONAL SERVICES</v>
      </c>
      <c r="C177" s="12"/>
      <c r="D177" s="8">
        <v>1050</v>
      </c>
      <c r="E177" s="3"/>
      <c r="F177" s="7">
        <f t="shared" si="24"/>
        <v>1.7710073049328643E-3</v>
      </c>
      <c r="G177" s="3"/>
      <c r="H177" s="8"/>
      <c r="I177" s="3"/>
      <c r="J177" s="7">
        <f t="shared" si="25"/>
        <v>0</v>
      </c>
      <c r="K177" s="3"/>
      <c r="L177" s="8">
        <f t="shared" si="26"/>
        <v>1050</v>
      </c>
      <c r="M177" s="3"/>
      <c r="N177" s="7">
        <f t="shared" si="27"/>
        <v>0</v>
      </c>
      <c r="O177" s="12"/>
      <c r="P177" s="8">
        <v>9626.5300000000007</v>
      </c>
      <c r="Q177" s="3"/>
      <c r="R177" s="7">
        <f t="shared" si="28"/>
        <v>1.6631205731775808E-3</v>
      </c>
      <c r="S177" s="3"/>
      <c r="T177" s="8"/>
      <c r="U177" s="3"/>
      <c r="V177" s="7">
        <f t="shared" si="29"/>
        <v>0</v>
      </c>
      <c r="W177" s="3"/>
      <c r="X177" s="8">
        <f t="shared" si="30"/>
        <v>9626.5300000000007</v>
      </c>
      <c r="Y177" s="3"/>
      <c r="Z177" s="7">
        <f t="shared" si="31"/>
        <v>0</v>
      </c>
    </row>
    <row r="178" spans="1:26" s="68" customFormat="1" ht="15" customHeight="1" outlineLevel="1" collapsed="1" x14ac:dyDescent="0.3">
      <c r="A178" s="26"/>
      <c r="B178" s="14" t="str">
        <f>CONCATENATE("     ","Rent                                              ")</f>
        <v xml:space="preserve">     Rent                                              </v>
      </c>
      <c r="C178" s="14"/>
      <c r="D178" s="2">
        <f>SUM(OSRRefD22_15x_0)</f>
        <v>6100</v>
      </c>
      <c r="E178" s="2"/>
      <c r="F178" s="6">
        <f t="shared" si="24"/>
        <v>1.028870910484807E-2</v>
      </c>
      <c r="G178" s="2"/>
      <c r="H178" s="2">
        <f>SUM(OSRRefH22_15x_0)</f>
        <v>6100</v>
      </c>
      <c r="I178" s="2"/>
      <c r="J178" s="6">
        <f t="shared" si="25"/>
        <v>3.3171162600851879E-2</v>
      </c>
      <c r="K178" s="2"/>
      <c r="L178" s="2">
        <f t="shared" si="26"/>
        <v>0</v>
      </c>
      <c r="M178" s="2"/>
      <c r="N178" s="6">
        <f t="shared" si="27"/>
        <v>0</v>
      </c>
      <c r="O178" s="14"/>
      <c r="P178" s="2">
        <f>SUM(OSRRefP22_15x_0)</f>
        <v>54900</v>
      </c>
      <c r="Q178" s="2"/>
      <c r="R178" s="6">
        <f t="shared" si="28"/>
        <v>9.4847592504723084E-3</v>
      </c>
      <c r="S178" s="2"/>
      <c r="T178" s="2">
        <f>SUM(OSRRefT22_15x_0)</f>
        <v>54900</v>
      </c>
      <c r="U178" s="2"/>
      <c r="V178" s="6">
        <f t="shared" si="29"/>
        <v>1.2874711531710966E-2</v>
      </c>
      <c r="W178" s="2"/>
      <c r="X178" s="2">
        <f t="shared" si="30"/>
        <v>0</v>
      </c>
      <c r="Y178" s="2"/>
      <c r="Z178" s="6">
        <f t="shared" si="31"/>
        <v>0</v>
      </c>
    </row>
    <row r="179" spans="1:26" s="69" customFormat="1" ht="15" hidden="1" customHeight="1" outlineLevel="2" x14ac:dyDescent="0.3">
      <c r="A179" s="25"/>
      <c r="B179" s="12" t="str">
        <f>CONCATENATE("          ","6273"," - ","RENT")</f>
        <v xml:space="preserve">          6273 - RENT</v>
      </c>
      <c r="C179" s="12"/>
      <c r="D179" s="8">
        <v>6100</v>
      </c>
      <c r="E179" s="3"/>
      <c r="F179" s="7">
        <f t="shared" si="24"/>
        <v>1.028870910484807E-2</v>
      </c>
      <c r="G179" s="3"/>
      <c r="H179" s="8">
        <v>6100</v>
      </c>
      <c r="I179" s="3"/>
      <c r="J179" s="7">
        <f t="shared" si="25"/>
        <v>3.3171162600851879E-2</v>
      </c>
      <c r="K179" s="3"/>
      <c r="L179" s="8">
        <f t="shared" si="26"/>
        <v>0</v>
      </c>
      <c r="M179" s="3"/>
      <c r="N179" s="7">
        <f t="shared" si="27"/>
        <v>0</v>
      </c>
      <c r="O179" s="12"/>
      <c r="P179" s="8">
        <v>54900</v>
      </c>
      <c r="Q179" s="3"/>
      <c r="R179" s="7">
        <f t="shared" si="28"/>
        <v>9.4847592504723084E-3</v>
      </c>
      <c r="S179" s="3"/>
      <c r="T179" s="8">
        <v>54900</v>
      </c>
      <c r="U179" s="3"/>
      <c r="V179" s="7">
        <f t="shared" si="29"/>
        <v>1.2874711531710966E-2</v>
      </c>
      <c r="W179" s="3"/>
      <c r="X179" s="8">
        <f t="shared" si="30"/>
        <v>0</v>
      </c>
      <c r="Y179" s="3"/>
      <c r="Z179" s="7">
        <f t="shared" si="31"/>
        <v>0</v>
      </c>
    </row>
    <row r="180" spans="1:26" s="68" customFormat="1" ht="15" customHeight="1" outlineLevel="1" collapsed="1" x14ac:dyDescent="0.3">
      <c r="A180" s="26"/>
      <c r="B180" s="14" t="str">
        <f>CONCATENATE("     ","Repair and Maintenance                            ")</f>
        <v xml:space="preserve">     Repair and Maintenance                            </v>
      </c>
      <c r="C180" s="14"/>
      <c r="D180" s="2">
        <f>SUM(OSRRefD22_16x_0)</f>
        <v>14924.68</v>
      </c>
      <c r="E180" s="2"/>
      <c r="F180" s="6">
        <f t="shared" si="24"/>
        <v>2.5173064098843262E-2</v>
      </c>
      <c r="G180" s="2"/>
      <c r="H180" s="2">
        <f>SUM(OSRRefH22_16x_0)</f>
        <v>1473.46</v>
      </c>
      <c r="I180" s="2"/>
      <c r="J180" s="6">
        <f t="shared" si="25"/>
        <v>8.0125215157133122E-3</v>
      </c>
      <c r="K180" s="2"/>
      <c r="L180" s="2">
        <f t="shared" si="26"/>
        <v>13451.220000000001</v>
      </c>
      <c r="M180" s="2"/>
      <c r="N180" s="6">
        <f t="shared" si="27"/>
        <v>9.1290024839493444</v>
      </c>
      <c r="O180" s="14"/>
      <c r="P180" s="2">
        <f>SUM(OSRRefP22_16x_0)</f>
        <v>130362.68000000001</v>
      </c>
      <c r="Q180" s="2"/>
      <c r="R180" s="6">
        <f t="shared" si="28"/>
        <v>2.2522015210316236E-2</v>
      </c>
      <c r="S180" s="2"/>
      <c r="T180" s="2">
        <f>SUM(OSRRefT22_16x_0)</f>
        <v>130429.85999999999</v>
      </c>
      <c r="U180" s="2"/>
      <c r="V180" s="6">
        <f t="shared" si="29"/>
        <v>3.0587373818241285E-2</v>
      </c>
      <c r="W180" s="2"/>
      <c r="X180" s="2">
        <f t="shared" si="30"/>
        <v>-67.179999999978463</v>
      </c>
      <c r="Y180" s="2"/>
      <c r="Z180" s="6">
        <f t="shared" si="31"/>
        <v>-5.1506610526131421E-4</v>
      </c>
    </row>
    <row r="181" spans="1:26" s="69" customFormat="1" ht="15" hidden="1" customHeight="1" outlineLevel="2" x14ac:dyDescent="0.3">
      <c r="A181" s="25"/>
      <c r="B181" s="12" t="str">
        <f>CONCATENATE("          ","6371"," - ","COMPUTER SOFTWARE MAINTENANCE")</f>
        <v xml:space="preserve">          6371 - COMPUTER SOFTWARE MAINTENANCE</v>
      </c>
      <c r="C181" s="12"/>
      <c r="D181" s="8"/>
      <c r="E181" s="3"/>
      <c r="F181" s="7">
        <f t="shared" si="24"/>
        <v>0</v>
      </c>
      <c r="G181" s="3"/>
      <c r="H181" s="8"/>
      <c r="I181" s="3"/>
      <c r="J181" s="7">
        <f t="shared" si="25"/>
        <v>0</v>
      </c>
      <c r="K181" s="3"/>
      <c r="L181" s="8">
        <f t="shared" si="26"/>
        <v>0</v>
      </c>
      <c r="M181" s="3"/>
      <c r="N181" s="7">
        <f t="shared" si="27"/>
        <v>0</v>
      </c>
      <c r="O181" s="12"/>
      <c r="P181" s="8">
        <v>62511</v>
      </c>
      <c r="Q181" s="3"/>
      <c r="R181" s="7">
        <f t="shared" si="28"/>
        <v>1.0799668224158005E-2</v>
      </c>
      <c r="S181" s="3"/>
      <c r="T181" s="8">
        <v>59767.72</v>
      </c>
      <c r="U181" s="3"/>
      <c r="V181" s="7">
        <f t="shared" si="29"/>
        <v>1.401625052655869E-2</v>
      </c>
      <c r="W181" s="3"/>
      <c r="X181" s="8">
        <f t="shared" si="30"/>
        <v>2743.2799999999988</v>
      </c>
      <c r="Y181" s="3"/>
      <c r="Z181" s="7">
        <f t="shared" si="31"/>
        <v>4.5899023753959475E-2</v>
      </c>
    </row>
    <row r="182" spans="1:26" s="69" customFormat="1" ht="15" hidden="1" customHeight="1" outlineLevel="2" x14ac:dyDescent="0.3">
      <c r="A182" s="25"/>
      <c r="B182" s="12" t="str">
        <f>CONCATENATE("          ","6372"," - ","COMPUTER HARDWARE MAINTENANCE")</f>
        <v xml:space="preserve">          6372 - COMPUTER HARDWARE MAINTENANCE</v>
      </c>
      <c r="C182" s="12"/>
      <c r="D182" s="8"/>
      <c r="E182" s="3"/>
      <c r="F182" s="7">
        <f t="shared" si="24"/>
        <v>0</v>
      </c>
      <c r="G182" s="3"/>
      <c r="H182" s="8"/>
      <c r="I182" s="3"/>
      <c r="J182" s="7">
        <f t="shared" si="25"/>
        <v>0</v>
      </c>
      <c r="K182" s="3"/>
      <c r="L182" s="8">
        <f t="shared" si="26"/>
        <v>0</v>
      </c>
      <c r="M182" s="3"/>
      <c r="N182" s="7">
        <f t="shared" si="27"/>
        <v>0</v>
      </c>
      <c r="O182" s="12"/>
      <c r="P182" s="8"/>
      <c r="Q182" s="3"/>
      <c r="R182" s="7">
        <f t="shared" si="28"/>
        <v>0</v>
      </c>
      <c r="S182" s="3"/>
      <c r="T182" s="8">
        <v>-1.1499999999999999</v>
      </c>
      <c r="U182" s="3"/>
      <c r="V182" s="7">
        <f t="shared" si="29"/>
        <v>-2.6968885722163222E-7</v>
      </c>
      <c r="W182" s="3"/>
      <c r="X182" s="8">
        <f t="shared" si="30"/>
        <v>1.1499999999999999</v>
      </c>
      <c r="Y182" s="3"/>
      <c r="Z182" s="7">
        <f t="shared" si="31"/>
        <v>-1</v>
      </c>
    </row>
    <row r="183" spans="1:26" s="69" customFormat="1" ht="15" hidden="1" customHeight="1" outlineLevel="2" x14ac:dyDescent="0.3">
      <c r="A183" s="25"/>
      <c r="B183" s="12" t="str">
        <f>CONCATENATE("          ","6373"," - ","MAINTENANCE CONTRACTS")</f>
        <v xml:space="preserve">          6373 - MAINTENANCE CONTRACTS</v>
      </c>
      <c r="C183" s="12"/>
      <c r="D183" s="8">
        <v>3672.02</v>
      </c>
      <c r="E183" s="3"/>
      <c r="F183" s="7">
        <f t="shared" si="24"/>
        <v>6.1934992798662637E-3</v>
      </c>
      <c r="G183" s="3"/>
      <c r="H183" s="8">
        <v>1262.9000000000001</v>
      </c>
      <c r="I183" s="3"/>
      <c r="J183" s="7">
        <f t="shared" si="25"/>
        <v>6.8675182374780064E-3</v>
      </c>
      <c r="K183" s="3"/>
      <c r="L183" s="8">
        <f t="shared" si="26"/>
        <v>2409.12</v>
      </c>
      <c r="M183" s="3"/>
      <c r="N183" s="7">
        <f t="shared" si="27"/>
        <v>1.907609470266846</v>
      </c>
      <c r="O183" s="12"/>
      <c r="P183" s="8">
        <v>21571.52</v>
      </c>
      <c r="Q183" s="3"/>
      <c r="R183" s="7">
        <f t="shared" si="28"/>
        <v>3.7267882307240145E-3</v>
      </c>
      <c r="S183" s="3"/>
      <c r="T183" s="8">
        <v>44689.58</v>
      </c>
      <c r="U183" s="3"/>
      <c r="V183" s="7">
        <f t="shared" si="29"/>
        <v>1.048024500862149E-2</v>
      </c>
      <c r="W183" s="3"/>
      <c r="X183" s="8">
        <f t="shared" si="30"/>
        <v>-23118.06</v>
      </c>
      <c r="Y183" s="3"/>
      <c r="Z183" s="7">
        <f t="shared" si="31"/>
        <v>-0.51730313867348943</v>
      </c>
    </row>
    <row r="184" spans="1:26" s="69" customFormat="1" ht="15" hidden="1" customHeight="1" outlineLevel="2" x14ac:dyDescent="0.3">
      <c r="A184" s="25"/>
      <c r="B184" s="12" t="str">
        <f>CONCATENATE("          ","6375"," - ","OUTSIDE REPAIRS &amp; MAINTENANCE")</f>
        <v xml:space="preserve">          6375 - OUTSIDE REPAIRS &amp; MAINTENANCE</v>
      </c>
      <c r="C184" s="12"/>
      <c r="D184" s="8">
        <v>11252.66</v>
      </c>
      <c r="E184" s="3"/>
      <c r="F184" s="7">
        <f t="shared" si="24"/>
        <v>1.8979564818976995E-2</v>
      </c>
      <c r="G184" s="3"/>
      <c r="H184" s="8">
        <v>210.56</v>
      </c>
      <c r="I184" s="3"/>
      <c r="J184" s="7">
        <f t="shared" si="25"/>
        <v>1.1450032782353067E-3</v>
      </c>
      <c r="K184" s="3"/>
      <c r="L184" s="8">
        <f t="shared" si="26"/>
        <v>11042.1</v>
      </c>
      <c r="M184" s="3"/>
      <c r="N184" s="7">
        <f t="shared" si="27"/>
        <v>52.441584346504563</v>
      </c>
      <c r="O184" s="12"/>
      <c r="P184" s="8">
        <v>46280.160000000003</v>
      </c>
      <c r="Q184" s="3"/>
      <c r="R184" s="7">
        <f t="shared" si="28"/>
        <v>7.9955587554342167E-3</v>
      </c>
      <c r="S184" s="3"/>
      <c r="T184" s="8">
        <v>25973.71</v>
      </c>
      <c r="U184" s="3"/>
      <c r="V184" s="7">
        <f t="shared" si="29"/>
        <v>6.0911479719183313E-3</v>
      </c>
      <c r="W184" s="3"/>
      <c r="X184" s="8">
        <f t="shared" si="30"/>
        <v>20306.450000000004</v>
      </c>
      <c r="Y184" s="3"/>
      <c r="Z184" s="7">
        <f t="shared" si="31"/>
        <v>0.78180783569232137</v>
      </c>
    </row>
    <row r="185" spans="1:26" s="68" customFormat="1" ht="15" customHeight="1" outlineLevel="1" collapsed="1" x14ac:dyDescent="0.3">
      <c r="A185" s="26"/>
      <c r="B185" s="14" t="str">
        <f>CONCATENATE("     ","Royalty &amp; Commissions                             ")</f>
        <v xml:space="preserve">     Royalty &amp; Commissions                             </v>
      </c>
      <c r="C185" s="14"/>
      <c r="D185" s="2">
        <f>SUM(OSRRefD22_17x_0)</f>
        <v>2502.14</v>
      </c>
      <c r="E185" s="2"/>
      <c r="F185" s="6">
        <f t="shared" si="24"/>
        <v>4.2202935409187785E-3</v>
      </c>
      <c r="G185" s="2"/>
      <c r="H185" s="2">
        <f>SUM(OSRRefH22_17x_0)</f>
        <v>27.21</v>
      </c>
      <c r="I185" s="2"/>
      <c r="J185" s="6">
        <f t="shared" si="25"/>
        <v>1.4796513678183272E-4</v>
      </c>
      <c r="K185" s="2"/>
      <c r="L185" s="2">
        <f t="shared" si="26"/>
        <v>2474.9299999999998</v>
      </c>
      <c r="M185" s="2"/>
      <c r="N185" s="6">
        <f t="shared" si="27"/>
        <v>90.956633590591679</v>
      </c>
      <c r="O185" s="14"/>
      <c r="P185" s="2">
        <f>SUM(OSRRefP22_17x_0)</f>
        <v>52735.930000000008</v>
      </c>
      <c r="Q185" s="2"/>
      <c r="R185" s="6">
        <f t="shared" si="28"/>
        <v>9.1108852440757761E-3</v>
      </c>
      <c r="S185" s="2"/>
      <c r="T185" s="2">
        <f>SUM(OSRRefT22_17x_0)</f>
        <v>36861.200000000004</v>
      </c>
      <c r="U185" s="2"/>
      <c r="V185" s="6">
        <f t="shared" si="29"/>
        <v>8.6443955685374194E-3</v>
      </c>
      <c r="W185" s="2"/>
      <c r="X185" s="2">
        <f t="shared" si="30"/>
        <v>15874.730000000003</v>
      </c>
      <c r="Y185" s="2"/>
      <c r="Z185" s="6">
        <f t="shared" si="31"/>
        <v>0.43066232244202579</v>
      </c>
    </row>
    <row r="186" spans="1:26" s="69" customFormat="1" ht="15" hidden="1" customHeight="1" outlineLevel="2" x14ac:dyDescent="0.3">
      <c r="A186" s="25"/>
      <c r="B186" s="12" t="str">
        <f>CONCATENATE("          ","6253"," - ","ROYALTY DUE ATHLETICS-LRG")</f>
        <v xml:space="preserve">          6253 - ROYALTY DUE ATHLETICS-LRG</v>
      </c>
      <c r="C186" s="12"/>
      <c r="D186" s="8"/>
      <c r="E186" s="3"/>
      <c r="F186" s="7">
        <f t="shared" si="24"/>
        <v>0</v>
      </c>
      <c r="G186" s="3"/>
      <c r="H186" s="8"/>
      <c r="I186" s="3"/>
      <c r="J186" s="7">
        <f t="shared" si="25"/>
        <v>0</v>
      </c>
      <c r="K186" s="3"/>
      <c r="L186" s="8">
        <f t="shared" si="26"/>
        <v>0</v>
      </c>
      <c r="M186" s="3"/>
      <c r="N186" s="7">
        <f t="shared" si="27"/>
        <v>0</v>
      </c>
      <c r="O186" s="12"/>
      <c r="P186" s="8">
        <v>39221.160000000003</v>
      </c>
      <c r="Q186" s="3"/>
      <c r="R186" s="7">
        <f t="shared" si="28"/>
        <v>6.7760156671084603E-3</v>
      </c>
      <c r="S186" s="3"/>
      <c r="T186" s="8">
        <v>26197.58</v>
      </c>
      <c r="U186" s="3"/>
      <c r="V186" s="7">
        <f t="shared" si="29"/>
        <v>6.1436481844976427E-3</v>
      </c>
      <c r="W186" s="3"/>
      <c r="X186" s="8">
        <f t="shared" si="30"/>
        <v>13023.580000000002</v>
      </c>
      <c r="Y186" s="3"/>
      <c r="Z186" s="7">
        <f t="shared" si="31"/>
        <v>0.49712912414047405</v>
      </c>
    </row>
    <row r="187" spans="1:26" s="69" customFormat="1" ht="15" hidden="1" customHeight="1" outlineLevel="2" x14ac:dyDescent="0.3">
      <c r="A187" s="25"/>
      <c r="B187" s="12" t="str">
        <f>CONCATENATE("          ","6254"," - ","ROYALTY &amp; COMMISSIONS")</f>
        <v xml:space="preserve">          6254 - ROYALTY &amp; COMMISSIONS</v>
      </c>
      <c r="C187" s="12"/>
      <c r="D187" s="8"/>
      <c r="E187" s="3"/>
      <c r="F187" s="7">
        <f t="shared" si="24"/>
        <v>0</v>
      </c>
      <c r="G187" s="3"/>
      <c r="H187" s="8"/>
      <c r="I187" s="3"/>
      <c r="J187" s="7">
        <f t="shared" si="25"/>
        <v>0</v>
      </c>
      <c r="K187" s="3"/>
      <c r="L187" s="8">
        <f t="shared" si="26"/>
        <v>0</v>
      </c>
      <c r="M187" s="3"/>
      <c r="N187" s="7">
        <f t="shared" si="27"/>
        <v>0</v>
      </c>
      <c r="O187" s="12"/>
      <c r="P187" s="8">
        <v>3509.15</v>
      </c>
      <c r="Q187" s="3"/>
      <c r="R187" s="7">
        <f t="shared" si="28"/>
        <v>6.0625579096165575E-4</v>
      </c>
      <c r="S187" s="3"/>
      <c r="T187" s="8"/>
      <c r="U187" s="3"/>
      <c r="V187" s="7">
        <f t="shared" si="29"/>
        <v>0</v>
      </c>
      <c r="W187" s="3"/>
      <c r="X187" s="8">
        <f t="shared" si="30"/>
        <v>3509.15</v>
      </c>
      <c r="Y187" s="3"/>
      <c r="Z187" s="7">
        <f t="shared" si="31"/>
        <v>0</v>
      </c>
    </row>
    <row r="188" spans="1:26" s="69" customFormat="1" ht="15" hidden="1" customHeight="1" outlineLevel="2" x14ac:dyDescent="0.3">
      <c r="A188" s="25"/>
      <c r="B188" s="12" t="str">
        <f>CONCATENATE("          ","6259"," - ","ROYALTY &amp; COMMISSIONS")</f>
        <v xml:space="preserve">          6259 - ROYALTY &amp; COMMISSIONS</v>
      </c>
      <c r="C188" s="12"/>
      <c r="D188" s="8">
        <v>2502.14</v>
      </c>
      <c r="E188" s="3"/>
      <c r="F188" s="7">
        <f t="shared" si="24"/>
        <v>4.2202935409187785E-3</v>
      </c>
      <c r="G188" s="3"/>
      <c r="H188" s="8">
        <v>27.21</v>
      </c>
      <c r="I188" s="3"/>
      <c r="J188" s="7">
        <f t="shared" si="25"/>
        <v>1.4796513678183272E-4</v>
      </c>
      <c r="K188" s="3"/>
      <c r="L188" s="8">
        <f t="shared" si="26"/>
        <v>2474.9299999999998</v>
      </c>
      <c r="M188" s="3"/>
      <c r="N188" s="7">
        <f t="shared" si="27"/>
        <v>90.956633590591679</v>
      </c>
      <c r="O188" s="12"/>
      <c r="P188" s="8">
        <v>10005.620000000001</v>
      </c>
      <c r="Q188" s="3"/>
      <c r="R188" s="7">
        <f t="shared" si="28"/>
        <v>1.72861378600566E-3</v>
      </c>
      <c r="S188" s="3"/>
      <c r="T188" s="8">
        <v>10663.62</v>
      </c>
      <c r="U188" s="3"/>
      <c r="V188" s="7">
        <f t="shared" si="29"/>
        <v>2.5007473840397759E-3</v>
      </c>
      <c r="W188" s="3"/>
      <c r="X188" s="8">
        <f t="shared" si="30"/>
        <v>-658</v>
      </c>
      <c r="Y188" s="3"/>
      <c r="Z188" s="7">
        <f t="shared" si="31"/>
        <v>-6.1705124526192791E-2</v>
      </c>
    </row>
    <row r="189" spans="1:26" s="68" customFormat="1" ht="15" customHeight="1" outlineLevel="1" collapsed="1" x14ac:dyDescent="0.3">
      <c r="A189" s="26"/>
      <c r="B189" s="14" t="str">
        <f>CONCATENATE("     ","Services                                          ")</f>
        <v xml:space="preserve">     Services                                          </v>
      </c>
      <c r="C189" s="14"/>
      <c r="D189" s="2">
        <f>SUM(OSRRefD22_18x_0)</f>
        <v>4639.4000000000005</v>
      </c>
      <c r="E189" s="2"/>
      <c r="F189" s="6">
        <f t="shared" si="24"/>
        <v>7.8251536100052681E-3</v>
      </c>
      <c r="G189" s="2"/>
      <c r="H189" s="2">
        <f>SUM(OSRRefH22_18x_0)</f>
        <v>7475.7699999999995</v>
      </c>
      <c r="I189" s="2"/>
      <c r="J189" s="6">
        <f t="shared" si="25"/>
        <v>4.0652456104355805E-2</v>
      </c>
      <c r="K189" s="2"/>
      <c r="L189" s="2">
        <f t="shared" si="26"/>
        <v>-2836.369999999999</v>
      </c>
      <c r="M189" s="2"/>
      <c r="N189" s="6">
        <f t="shared" si="27"/>
        <v>-0.37940840876591964</v>
      </c>
      <c r="O189" s="14"/>
      <c r="P189" s="2">
        <f>SUM(OSRRefP22_18x_0)</f>
        <v>51893.630000000005</v>
      </c>
      <c r="Q189" s="2"/>
      <c r="R189" s="6">
        <f t="shared" si="28"/>
        <v>8.9653658867593321E-3</v>
      </c>
      <c r="S189" s="2"/>
      <c r="T189" s="2">
        <f>SUM(OSRRefT22_18x_0)</f>
        <v>36137.660000000003</v>
      </c>
      <c r="U189" s="2"/>
      <c r="V189" s="6">
        <f t="shared" si="29"/>
        <v>8.4747167200555588E-3</v>
      </c>
      <c r="W189" s="2"/>
      <c r="X189" s="2">
        <f t="shared" si="30"/>
        <v>15755.970000000001</v>
      </c>
      <c r="Y189" s="2"/>
      <c r="Z189" s="6">
        <f t="shared" si="31"/>
        <v>0.43599862304310794</v>
      </c>
    </row>
    <row r="190" spans="1:26" s="69" customFormat="1" ht="15" hidden="1" customHeight="1" outlineLevel="2" x14ac:dyDescent="0.3">
      <c r="A190" s="25"/>
      <c r="B190" s="12" t="str">
        <f>CONCATENATE("          ","6282"," - ","JANITORIAL/EXTERMINATOR EXPENS")</f>
        <v xml:space="preserve">          6282 - JANITORIAL/EXTERMINATOR EXPENS</v>
      </c>
      <c r="C190" s="12"/>
      <c r="D190" s="8">
        <v>209.65</v>
      </c>
      <c r="E190" s="3"/>
      <c r="F190" s="7">
        <f t="shared" si="24"/>
        <v>3.5361112521826196E-4</v>
      </c>
      <c r="G190" s="3"/>
      <c r="H190" s="8">
        <v>453</v>
      </c>
      <c r="I190" s="3"/>
      <c r="J190" s="7">
        <f t="shared" si="25"/>
        <v>2.4633666652763772E-3</v>
      </c>
      <c r="K190" s="3"/>
      <c r="L190" s="8">
        <f t="shared" si="26"/>
        <v>-243.35</v>
      </c>
      <c r="M190" s="3"/>
      <c r="N190" s="7">
        <f t="shared" si="27"/>
        <v>-0.53719646799116993</v>
      </c>
      <c r="O190" s="12"/>
      <c r="P190" s="8">
        <v>2753.63</v>
      </c>
      <c r="Q190" s="3"/>
      <c r="R190" s="7">
        <f t="shared" si="28"/>
        <v>4.757289183037898E-4</v>
      </c>
      <c r="S190" s="3"/>
      <c r="T190" s="8">
        <v>7406.12</v>
      </c>
      <c r="U190" s="3"/>
      <c r="V190" s="7">
        <f t="shared" si="29"/>
        <v>1.7368243819532827E-3</v>
      </c>
      <c r="W190" s="3"/>
      <c r="X190" s="8">
        <f t="shared" si="30"/>
        <v>-4652.49</v>
      </c>
      <c r="Y190" s="3"/>
      <c r="Z190" s="7">
        <f t="shared" si="31"/>
        <v>-0.62819533034841457</v>
      </c>
    </row>
    <row r="191" spans="1:26" s="69" customFormat="1" ht="15" hidden="1" customHeight="1" outlineLevel="2" x14ac:dyDescent="0.3">
      <c r="A191" s="25"/>
      <c r="B191" s="12" t="str">
        <f>CONCATENATE("          ","6283"," - ","PLANT SERVICE")</f>
        <v xml:space="preserve">          6283 - PLANT SERVICE</v>
      </c>
      <c r="C191" s="12"/>
      <c r="D191" s="8"/>
      <c r="E191" s="3"/>
      <c r="F191" s="7">
        <f t="shared" ref="F191:F215" si="32">IF(D$12=0,0,D191/D$12)</f>
        <v>0</v>
      </c>
      <c r="G191" s="3"/>
      <c r="H191" s="8"/>
      <c r="I191" s="3"/>
      <c r="J191" s="7">
        <f t="shared" ref="J191:J215" si="33">IF(H$12=0,0,H191/H$12)</f>
        <v>0</v>
      </c>
      <c r="K191" s="3"/>
      <c r="L191" s="8">
        <f t="shared" ref="L191:L215" si="34">+D191-H191</f>
        <v>0</v>
      </c>
      <c r="M191" s="3"/>
      <c r="N191" s="7">
        <f t="shared" ref="N191:N215" si="35">IF(H191=0,0,L191/H191)</f>
        <v>0</v>
      </c>
      <c r="O191" s="12"/>
      <c r="P191" s="8"/>
      <c r="Q191" s="3"/>
      <c r="R191" s="7">
        <f t="shared" ref="R191:R215" si="36">IF(P$12=0,0,P191/P$12)</f>
        <v>0</v>
      </c>
      <c r="S191" s="3"/>
      <c r="T191" s="8">
        <v>171.31</v>
      </c>
      <c r="U191" s="3"/>
      <c r="V191" s="7">
        <f t="shared" ref="V191:V215" si="37">IF(T$12=0,0,T191/T$12)</f>
        <v>4.0174259244032889E-5</v>
      </c>
      <c r="W191" s="3"/>
      <c r="X191" s="8">
        <f t="shared" ref="X191:X215" si="38">+P191-T191</f>
        <v>-171.31</v>
      </c>
      <c r="Y191" s="3"/>
      <c r="Z191" s="7">
        <f t="shared" ref="Z191:Z215" si="39">IF(T191=0,0,X191/T191)</f>
        <v>-1</v>
      </c>
    </row>
    <row r="192" spans="1:26" s="69" customFormat="1" ht="15" hidden="1" customHeight="1" outlineLevel="2" x14ac:dyDescent="0.3">
      <c r="A192" s="25"/>
      <c r="B192" s="12" t="str">
        <f>CONCATENATE("          ","6284"," - ","TRASH REMOVAL EXPENSE")</f>
        <v xml:space="preserve">          6284 - TRASH REMOVAL EXPENSE</v>
      </c>
      <c r="C192" s="12"/>
      <c r="D192" s="8">
        <v>149.69999999999999</v>
      </c>
      <c r="E192" s="3"/>
      <c r="F192" s="7">
        <f t="shared" si="32"/>
        <v>2.5249504147471406E-4</v>
      </c>
      <c r="G192" s="3"/>
      <c r="H192" s="8">
        <v>142.57</v>
      </c>
      <c r="I192" s="3"/>
      <c r="J192" s="7">
        <f t="shared" si="33"/>
        <v>7.7528076262351668E-4</v>
      </c>
      <c r="K192" s="3"/>
      <c r="L192" s="8">
        <f t="shared" si="34"/>
        <v>7.1299999999999955</v>
      </c>
      <c r="M192" s="3"/>
      <c r="N192" s="7">
        <f t="shared" si="35"/>
        <v>5.0010521147506461E-2</v>
      </c>
      <c r="O192" s="12"/>
      <c r="P192" s="8">
        <v>1340.17</v>
      </c>
      <c r="Q192" s="3"/>
      <c r="R192" s="7">
        <f t="shared" si="36"/>
        <v>2.3153351192541845E-4</v>
      </c>
      <c r="S192" s="3"/>
      <c r="T192" s="8">
        <v>1298.1500000000001</v>
      </c>
      <c r="U192" s="3"/>
      <c r="V192" s="7">
        <f t="shared" si="37"/>
        <v>3.0443181739327126E-4</v>
      </c>
      <c r="W192" s="3"/>
      <c r="X192" s="8">
        <f t="shared" si="38"/>
        <v>42.019999999999982</v>
      </c>
      <c r="Y192" s="3"/>
      <c r="Z192" s="7">
        <f t="shared" si="39"/>
        <v>3.2369140700227228E-2</v>
      </c>
    </row>
    <row r="193" spans="1:26" s="69" customFormat="1" ht="15" hidden="1" customHeight="1" outlineLevel="2" x14ac:dyDescent="0.3">
      <c r="A193" s="25"/>
      <c r="B193" s="12" t="str">
        <f>CONCATENATE("          ","6285"," - ","JANITORIAL SERVICES")</f>
        <v xml:space="preserve">          6285 - JANITORIAL SERVICES</v>
      </c>
      <c r="C193" s="12"/>
      <c r="D193" s="8">
        <v>4280.05</v>
      </c>
      <c r="E193" s="3"/>
      <c r="F193" s="7">
        <f t="shared" si="32"/>
        <v>7.2190474433122924E-3</v>
      </c>
      <c r="G193" s="3"/>
      <c r="H193" s="8">
        <v>6880.2</v>
      </c>
      <c r="I193" s="3"/>
      <c r="J193" s="7">
        <f t="shared" si="33"/>
        <v>3.7413808676455912E-2</v>
      </c>
      <c r="K193" s="3"/>
      <c r="L193" s="8">
        <f t="shared" si="34"/>
        <v>-2600.1499999999996</v>
      </c>
      <c r="M193" s="3"/>
      <c r="N193" s="7">
        <f t="shared" si="35"/>
        <v>-0.37791779308741019</v>
      </c>
      <c r="O193" s="12"/>
      <c r="P193" s="8">
        <v>47799.83</v>
      </c>
      <c r="Q193" s="3"/>
      <c r="R193" s="7">
        <f t="shared" si="36"/>
        <v>8.258103456530122E-3</v>
      </c>
      <c r="S193" s="3"/>
      <c r="T193" s="8">
        <v>27262.080000000002</v>
      </c>
      <c r="U193" s="3"/>
      <c r="V193" s="7">
        <f t="shared" si="37"/>
        <v>6.393286261464971E-3</v>
      </c>
      <c r="W193" s="3"/>
      <c r="X193" s="8">
        <f t="shared" si="38"/>
        <v>20537.75</v>
      </c>
      <c r="Y193" s="3"/>
      <c r="Z193" s="7">
        <f t="shared" si="39"/>
        <v>0.75334493919759604</v>
      </c>
    </row>
    <row r="194" spans="1:26" s="68" customFormat="1" ht="15" customHeight="1" outlineLevel="1" collapsed="1" x14ac:dyDescent="0.3">
      <c r="A194" s="26"/>
      <c r="B194" s="14" t="str">
        <f>CONCATENATE("     ","Subscriptions &amp; Dues                              ")</f>
        <v xml:space="preserve">     Subscriptions &amp; Dues                              </v>
      </c>
      <c r="C194" s="14"/>
      <c r="D194" s="2">
        <f>SUM(OSRRefD22_19x_0)</f>
        <v>606.92999999999995</v>
      </c>
      <c r="E194" s="2"/>
      <c r="F194" s="6">
        <f t="shared" si="32"/>
        <v>1.023692822459908E-3</v>
      </c>
      <c r="G194" s="2"/>
      <c r="H194" s="2">
        <f>SUM(OSRRefH22_19x_0)</f>
        <v>307.78999999999996</v>
      </c>
      <c r="I194" s="2"/>
      <c r="J194" s="6">
        <f t="shared" si="33"/>
        <v>1.6737298585108521E-3</v>
      </c>
      <c r="K194" s="2"/>
      <c r="L194" s="2">
        <f t="shared" si="34"/>
        <v>299.14</v>
      </c>
      <c r="M194" s="2"/>
      <c r="N194" s="6">
        <f t="shared" si="35"/>
        <v>0.97189642288573386</v>
      </c>
      <c r="O194" s="14"/>
      <c r="P194" s="2">
        <f>SUM(OSRRefP22_19x_0)</f>
        <v>2477.65</v>
      </c>
      <c r="Q194" s="2"/>
      <c r="R194" s="6">
        <f t="shared" si="36"/>
        <v>4.2804943090952118E-4</v>
      </c>
      <c r="S194" s="2"/>
      <c r="T194" s="2">
        <f>SUM(OSRRefT22_19x_0)</f>
        <v>4334.33</v>
      </c>
      <c r="U194" s="2"/>
      <c r="V194" s="6">
        <f t="shared" si="37"/>
        <v>1.0164526126273368E-3</v>
      </c>
      <c r="W194" s="2"/>
      <c r="X194" s="2">
        <f t="shared" si="38"/>
        <v>-1856.6799999999998</v>
      </c>
      <c r="Y194" s="2"/>
      <c r="Z194" s="6">
        <f t="shared" si="39"/>
        <v>-0.42836609118364311</v>
      </c>
    </row>
    <row r="195" spans="1:26" s="69" customFormat="1" ht="15" hidden="1" customHeight="1" outlineLevel="2" x14ac:dyDescent="0.3">
      <c r="A195" s="25"/>
      <c r="B195" s="12" t="str">
        <f>CONCATENATE("          ","6258"," - ","MEMBERSHIP DUES")</f>
        <v xml:space="preserve">          6258 - MEMBERSHIP DUES</v>
      </c>
      <c r="C195" s="12"/>
      <c r="D195" s="8">
        <v>606.92999999999995</v>
      </c>
      <c r="E195" s="3"/>
      <c r="F195" s="7">
        <f t="shared" si="32"/>
        <v>1.023692822459908E-3</v>
      </c>
      <c r="G195" s="3"/>
      <c r="H195" s="8">
        <v>232.79</v>
      </c>
      <c r="I195" s="3"/>
      <c r="J195" s="7">
        <f t="shared" si="33"/>
        <v>1.2658876953856243E-3</v>
      </c>
      <c r="K195" s="3"/>
      <c r="L195" s="8">
        <f t="shared" si="34"/>
        <v>374.14</v>
      </c>
      <c r="M195" s="3"/>
      <c r="N195" s="7">
        <f t="shared" si="35"/>
        <v>1.6071996219768891</v>
      </c>
      <c r="O195" s="12"/>
      <c r="P195" s="8">
        <v>2477.65</v>
      </c>
      <c r="Q195" s="3"/>
      <c r="R195" s="7">
        <f t="shared" si="36"/>
        <v>4.2804943090952118E-4</v>
      </c>
      <c r="S195" s="3"/>
      <c r="T195" s="8">
        <v>2106.52</v>
      </c>
      <c r="U195" s="3"/>
      <c r="V195" s="7">
        <f t="shared" si="37"/>
        <v>4.9400432305609808E-4</v>
      </c>
      <c r="W195" s="3"/>
      <c r="X195" s="8">
        <f t="shared" si="38"/>
        <v>371.13000000000011</v>
      </c>
      <c r="Y195" s="3"/>
      <c r="Z195" s="7">
        <f t="shared" si="39"/>
        <v>0.17618156960294709</v>
      </c>
    </row>
    <row r="196" spans="1:26" s="69" customFormat="1" ht="15" hidden="1" customHeight="1" outlineLevel="2" x14ac:dyDescent="0.3">
      <c r="A196" s="25"/>
      <c r="B196" s="12" t="str">
        <f>CONCATENATE("          ","6275"," - ","SUBSCRIPTIONS")</f>
        <v xml:space="preserve">          6275 - SUBSCRIPTIONS</v>
      </c>
      <c r="C196" s="12"/>
      <c r="D196" s="8"/>
      <c r="E196" s="3"/>
      <c r="F196" s="7">
        <f t="shared" si="32"/>
        <v>0</v>
      </c>
      <c r="G196" s="3"/>
      <c r="H196" s="8">
        <v>75</v>
      </c>
      <c r="I196" s="3"/>
      <c r="J196" s="7">
        <f t="shared" si="33"/>
        <v>4.0784216312522801E-4</v>
      </c>
      <c r="K196" s="3"/>
      <c r="L196" s="8">
        <f t="shared" si="34"/>
        <v>-75</v>
      </c>
      <c r="M196" s="3"/>
      <c r="N196" s="7">
        <f t="shared" si="35"/>
        <v>-1</v>
      </c>
      <c r="O196" s="12"/>
      <c r="P196" s="8"/>
      <c r="Q196" s="3"/>
      <c r="R196" s="7">
        <f t="shared" si="36"/>
        <v>0</v>
      </c>
      <c r="S196" s="3"/>
      <c r="T196" s="8">
        <v>2227.81</v>
      </c>
      <c r="U196" s="3"/>
      <c r="V196" s="7">
        <f t="shared" si="37"/>
        <v>5.2244828957123874E-4</v>
      </c>
      <c r="W196" s="3"/>
      <c r="X196" s="8">
        <f t="shared" si="38"/>
        <v>-2227.81</v>
      </c>
      <c r="Y196" s="3"/>
      <c r="Z196" s="7">
        <f t="shared" si="39"/>
        <v>-1</v>
      </c>
    </row>
    <row r="197" spans="1:26" s="68" customFormat="1" ht="15" customHeight="1" outlineLevel="1" collapsed="1" x14ac:dyDescent="0.3">
      <c r="A197" s="26"/>
      <c r="B197" s="14" t="str">
        <f>CONCATENATE("     ","Supplies                                          ")</f>
        <v xml:space="preserve">     Supplies                                          </v>
      </c>
      <c r="C197" s="14"/>
      <c r="D197" s="2">
        <f>SUM(OSRRefD22_20x_0)</f>
        <v>9875.9000000000015</v>
      </c>
      <c r="E197" s="2"/>
      <c r="F197" s="6">
        <f t="shared" si="32"/>
        <v>1.6657420040749028E-2</v>
      </c>
      <c r="G197" s="2"/>
      <c r="H197" s="2">
        <f>SUM(OSRRefH22_20x_0)</f>
        <v>4097.66</v>
      </c>
      <c r="I197" s="2"/>
      <c r="J197" s="6">
        <f t="shared" si="33"/>
        <v>2.2282646908689623E-2</v>
      </c>
      <c r="K197" s="2"/>
      <c r="L197" s="2">
        <f t="shared" si="34"/>
        <v>5778.2400000000016</v>
      </c>
      <c r="M197" s="2"/>
      <c r="N197" s="6">
        <f t="shared" si="35"/>
        <v>1.4101316361045089</v>
      </c>
      <c r="O197" s="14"/>
      <c r="P197" s="2">
        <f>SUM(OSRRefP22_20x_0)</f>
        <v>86527.739999999991</v>
      </c>
      <c r="Q197" s="2"/>
      <c r="R197" s="6">
        <f t="shared" si="36"/>
        <v>1.4948903140026641E-2</v>
      </c>
      <c r="S197" s="2"/>
      <c r="T197" s="2">
        <f>SUM(OSRRefT22_20x_0)</f>
        <v>103004.26999999999</v>
      </c>
      <c r="U197" s="2"/>
      <c r="V197" s="6">
        <f t="shared" si="37"/>
        <v>2.4155742491520395E-2</v>
      </c>
      <c r="W197" s="2"/>
      <c r="X197" s="2">
        <f t="shared" si="38"/>
        <v>-16476.53</v>
      </c>
      <c r="Y197" s="2"/>
      <c r="Z197" s="6">
        <f t="shared" si="39"/>
        <v>-0.15995967934144867</v>
      </c>
    </row>
    <row r="198" spans="1:26" s="69" customFormat="1" ht="15" hidden="1" customHeight="1" outlineLevel="2" x14ac:dyDescent="0.3">
      <c r="A198" s="25"/>
      <c r="B198" s="12" t="str">
        <f>CONCATENATE("          ","6234"," - ","EXPENDABLE SUPPLIES &amp; EQUIPMEN")</f>
        <v xml:space="preserve">          6234 - EXPENDABLE SUPPLIES &amp; EQUIPMEN</v>
      </c>
      <c r="C198" s="12"/>
      <c r="D198" s="8"/>
      <c r="E198" s="3"/>
      <c r="F198" s="7">
        <f t="shared" si="32"/>
        <v>0</v>
      </c>
      <c r="G198" s="3"/>
      <c r="H198" s="8"/>
      <c r="I198" s="3"/>
      <c r="J198" s="7">
        <f t="shared" si="33"/>
        <v>0</v>
      </c>
      <c r="K198" s="3"/>
      <c r="L198" s="8">
        <f t="shared" si="34"/>
        <v>0</v>
      </c>
      <c r="M198" s="3"/>
      <c r="N198" s="7">
        <f t="shared" si="35"/>
        <v>0</v>
      </c>
      <c r="O198" s="12"/>
      <c r="P198" s="8">
        <v>5289.57</v>
      </c>
      <c r="Q198" s="3"/>
      <c r="R198" s="7">
        <f t="shared" si="36"/>
        <v>9.1384877939017857E-4</v>
      </c>
      <c r="S198" s="3"/>
      <c r="T198" s="8">
        <v>-52.84</v>
      </c>
      <c r="U198" s="3"/>
      <c r="V198" s="7">
        <f t="shared" si="37"/>
        <v>-1.2391616709209608E-5</v>
      </c>
      <c r="W198" s="3"/>
      <c r="X198" s="8">
        <f t="shared" si="38"/>
        <v>5342.41</v>
      </c>
      <c r="Y198" s="3"/>
      <c r="Z198" s="7">
        <f t="shared" si="39"/>
        <v>-101.10541256623769</v>
      </c>
    </row>
    <row r="199" spans="1:26" s="69" customFormat="1" ht="15" hidden="1" customHeight="1" outlineLevel="2" x14ac:dyDescent="0.3">
      <c r="A199" s="25"/>
      <c r="B199" s="12" t="str">
        <f>CONCATENATE("          ","6235"," - ","COVID-19 EXPENSES")</f>
        <v xml:space="preserve">          6235 - COVID-19 EXPENSES</v>
      </c>
      <c r="C199" s="12"/>
      <c r="D199" s="8"/>
      <c r="E199" s="3"/>
      <c r="F199" s="7">
        <f t="shared" si="32"/>
        <v>0</v>
      </c>
      <c r="G199" s="3"/>
      <c r="H199" s="8">
        <v>370.83</v>
      </c>
      <c r="I199" s="3"/>
      <c r="J199" s="7">
        <f t="shared" si="33"/>
        <v>2.0165347913563771E-3</v>
      </c>
      <c r="K199" s="3"/>
      <c r="L199" s="8">
        <f t="shared" si="34"/>
        <v>-370.83</v>
      </c>
      <c r="M199" s="3"/>
      <c r="N199" s="7">
        <f t="shared" si="35"/>
        <v>-1</v>
      </c>
      <c r="O199" s="12"/>
      <c r="P199" s="8">
        <v>3430.32</v>
      </c>
      <c r="Q199" s="3"/>
      <c r="R199" s="7">
        <f t="shared" si="36"/>
        <v>5.9263678236940191E-4</v>
      </c>
      <c r="S199" s="3"/>
      <c r="T199" s="8">
        <v>37662</v>
      </c>
      <c r="U199" s="3"/>
      <c r="V199" s="7">
        <f t="shared" si="37"/>
        <v>8.8321928179835776E-3</v>
      </c>
      <c r="W199" s="3"/>
      <c r="X199" s="8">
        <f t="shared" si="38"/>
        <v>-34231.68</v>
      </c>
      <c r="Y199" s="3"/>
      <c r="Z199" s="7">
        <f t="shared" si="39"/>
        <v>-0.9089182730603792</v>
      </c>
    </row>
    <row r="200" spans="1:26" s="69" customFormat="1" ht="15" hidden="1" customHeight="1" outlineLevel="2" x14ac:dyDescent="0.3">
      <c r="A200" s="25"/>
      <c r="B200" s="12" t="str">
        <f>CONCATENATE("          ","6237"," - ","JANITORIAL SUPPLIES")</f>
        <v xml:space="preserve">          6237 - JANITORIAL SUPPLIES</v>
      </c>
      <c r="C200" s="12"/>
      <c r="D200" s="8">
        <v>257.99</v>
      </c>
      <c r="E200" s="3"/>
      <c r="F200" s="7">
        <f t="shared" si="32"/>
        <v>4.3514492819012355E-4</v>
      </c>
      <c r="G200" s="3"/>
      <c r="H200" s="8">
        <v>637.59</v>
      </c>
      <c r="I200" s="3"/>
      <c r="J200" s="7">
        <f t="shared" si="33"/>
        <v>3.4671477971601884E-3</v>
      </c>
      <c r="K200" s="3"/>
      <c r="L200" s="8">
        <f t="shared" si="34"/>
        <v>-379.6</v>
      </c>
      <c r="M200" s="3"/>
      <c r="N200" s="7">
        <f t="shared" si="35"/>
        <v>-0.59536692859047347</v>
      </c>
      <c r="O200" s="12"/>
      <c r="P200" s="8">
        <v>4789.16</v>
      </c>
      <c r="Q200" s="3"/>
      <c r="R200" s="7">
        <f t="shared" si="36"/>
        <v>8.2739580349712124E-4</v>
      </c>
      <c r="S200" s="3"/>
      <c r="T200" s="8">
        <v>2901.24</v>
      </c>
      <c r="U200" s="3"/>
      <c r="V200" s="7">
        <f t="shared" si="37"/>
        <v>6.8037573923972899E-4</v>
      </c>
      <c r="W200" s="3"/>
      <c r="X200" s="8">
        <f t="shared" si="38"/>
        <v>1887.92</v>
      </c>
      <c r="Y200" s="3"/>
      <c r="Z200" s="7">
        <f t="shared" si="39"/>
        <v>0.65072865395486079</v>
      </c>
    </row>
    <row r="201" spans="1:26" s="69" customFormat="1" ht="15" hidden="1" customHeight="1" outlineLevel="2" x14ac:dyDescent="0.3">
      <c r="A201" s="25"/>
      <c r="B201" s="12" t="str">
        <f>CONCATENATE("          ","6241"," - ","OFFICE EXPENSE")</f>
        <v xml:space="preserve">          6241 - OFFICE EXPENSE</v>
      </c>
      <c r="C201" s="12"/>
      <c r="D201" s="8">
        <v>1845.19</v>
      </c>
      <c r="E201" s="3"/>
      <c r="F201" s="7">
        <f t="shared" si="32"/>
        <v>3.1122333037991163E-3</v>
      </c>
      <c r="G201" s="3"/>
      <c r="H201" s="8">
        <v>496.61</v>
      </c>
      <c r="I201" s="3"/>
      <c r="J201" s="7">
        <f t="shared" si="33"/>
        <v>2.7005132883949263E-3</v>
      </c>
      <c r="K201" s="3"/>
      <c r="L201" s="8">
        <f t="shared" si="34"/>
        <v>1348.58</v>
      </c>
      <c r="M201" s="3"/>
      <c r="N201" s="7">
        <f t="shared" si="35"/>
        <v>2.7155715752804008</v>
      </c>
      <c r="O201" s="12"/>
      <c r="P201" s="8">
        <v>14718.04</v>
      </c>
      <c r="Q201" s="3"/>
      <c r="R201" s="7">
        <f t="shared" si="36"/>
        <v>2.5427516582663288E-3</v>
      </c>
      <c r="S201" s="3"/>
      <c r="T201" s="8">
        <v>10353.16</v>
      </c>
      <c r="U201" s="3"/>
      <c r="V201" s="7">
        <f t="shared" si="37"/>
        <v>2.4279407730719254E-3</v>
      </c>
      <c r="W201" s="3"/>
      <c r="X201" s="8">
        <f t="shared" si="38"/>
        <v>4364.880000000001</v>
      </c>
      <c r="Y201" s="3"/>
      <c r="Z201" s="7">
        <f t="shared" si="39"/>
        <v>0.42159881620683937</v>
      </c>
    </row>
    <row r="202" spans="1:26" s="69" customFormat="1" ht="15" hidden="1" customHeight="1" outlineLevel="2" x14ac:dyDescent="0.3">
      <c r="A202" s="25"/>
      <c r="B202" s="12" t="str">
        <f>CONCATENATE("          ","6243"," - ","PAPER SUPPLIES")</f>
        <v xml:space="preserve">          6243 - PAPER SUPPLIES</v>
      </c>
      <c r="C202" s="12"/>
      <c r="D202" s="8">
        <v>1213.21</v>
      </c>
      <c r="E202" s="3"/>
      <c r="F202" s="7">
        <f t="shared" si="32"/>
        <v>2.0462893070643815E-3</v>
      </c>
      <c r="G202" s="3"/>
      <c r="H202" s="8">
        <v>309.25</v>
      </c>
      <c r="I202" s="3"/>
      <c r="J202" s="7">
        <f t="shared" si="33"/>
        <v>1.6816691859530234E-3</v>
      </c>
      <c r="K202" s="3"/>
      <c r="L202" s="8">
        <f t="shared" si="34"/>
        <v>903.96</v>
      </c>
      <c r="M202" s="3"/>
      <c r="N202" s="7">
        <f t="shared" si="35"/>
        <v>2.9230719482619243</v>
      </c>
      <c r="O202" s="12"/>
      <c r="P202" s="8">
        <v>6835.14</v>
      </c>
      <c r="Q202" s="3"/>
      <c r="R202" s="7">
        <f t="shared" si="36"/>
        <v>1.1808680754694589E-3</v>
      </c>
      <c r="S202" s="3"/>
      <c r="T202" s="8">
        <v>6482.65</v>
      </c>
      <c r="U202" s="3"/>
      <c r="V202" s="7">
        <f t="shared" si="37"/>
        <v>1.5202595393633167E-3</v>
      </c>
      <c r="W202" s="3"/>
      <c r="X202" s="8">
        <f t="shared" si="38"/>
        <v>352.49000000000069</v>
      </c>
      <c r="Y202" s="3"/>
      <c r="Z202" s="7">
        <f t="shared" si="39"/>
        <v>5.4374368506706475E-2</v>
      </c>
    </row>
    <row r="203" spans="1:26" s="69" customFormat="1" ht="15" hidden="1" customHeight="1" outlineLevel="2" x14ac:dyDescent="0.3">
      <c r="A203" s="25"/>
      <c r="B203" s="12" t="str">
        <f>CONCATENATE("          ","6245"," - ","PRINTING")</f>
        <v xml:space="preserve">          6245 - PRINTING</v>
      </c>
      <c r="C203" s="12"/>
      <c r="D203" s="8">
        <v>3682</v>
      </c>
      <c r="E203" s="3"/>
      <c r="F203" s="7">
        <f t="shared" si="32"/>
        <v>6.2103322826312446E-3</v>
      </c>
      <c r="G203" s="3"/>
      <c r="H203" s="8">
        <v>447.27</v>
      </c>
      <c r="I203" s="3"/>
      <c r="J203" s="7">
        <f t="shared" si="33"/>
        <v>2.4322075240136094E-3</v>
      </c>
      <c r="K203" s="3"/>
      <c r="L203" s="8">
        <f t="shared" si="34"/>
        <v>3234.73</v>
      </c>
      <c r="M203" s="3"/>
      <c r="N203" s="7">
        <f t="shared" si="35"/>
        <v>7.2321640172602679</v>
      </c>
      <c r="O203" s="12"/>
      <c r="P203" s="8">
        <v>6986.52</v>
      </c>
      <c r="Q203" s="3"/>
      <c r="R203" s="7">
        <f t="shared" si="36"/>
        <v>1.207021132943712E-3</v>
      </c>
      <c r="S203" s="3"/>
      <c r="T203" s="8">
        <v>1354.21</v>
      </c>
      <c r="U203" s="3"/>
      <c r="V203" s="7">
        <f t="shared" si="37"/>
        <v>3.1757856290270139E-4</v>
      </c>
      <c r="W203" s="3"/>
      <c r="X203" s="8">
        <f t="shared" si="38"/>
        <v>5632.31</v>
      </c>
      <c r="Y203" s="3"/>
      <c r="Z203" s="7">
        <f t="shared" si="39"/>
        <v>4.1591112161333914</v>
      </c>
    </row>
    <row r="204" spans="1:26" s="69" customFormat="1" ht="15" hidden="1" customHeight="1" outlineLevel="2" x14ac:dyDescent="0.3">
      <c r="A204" s="25"/>
      <c r="B204" s="12" t="str">
        <f>CONCATENATE("          ","6247"," - ","STORE SUPPLIES")</f>
        <v xml:space="preserve">          6247 - STORE SUPPLIES</v>
      </c>
      <c r="C204" s="12"/>
      <c r="D204" s="8">
        <v>2877.51</v>
      </c>
      <c r="E204" s="3"/>
      <c r="F204" s="7">
        <f t="shared" si="32"/>
        <v>4.853420219064159E-3</v>
      </c>
      <c r="G204" s="3"/>
      <c r="H204" s="8">
        <v>1836.11</v>
      </c>
      <c r="I204" s="3"/>
      <c r="J204" s="7">
        <f t="shared" si="33"/>
        <v>9.9845743218114971E-3</v>
      </c>
      <c r="K204" s="3"/>
      <c r="L204" s="8">
        <f t="shared" si="34"/>
        <v>1041.4000000000003</v>
      </c>
      <c r="M204" s="3"/>
      <c r="N204" s="7">
        <f t="shared" si="35"/>
        <v>0.56717734776238915</v>
      </c>
      <c r="O204" s="12"/>
      <c r="P204" s="8">
        <v>44478.99</v>
      </c>
      <c r="Q204" s="3"/>
      <c r="R204" s="7">
        <f t="shared" si="36"/>
        <v>7.6843809080904416E-3</v>
      </c>
      <c r="S204" s="3"/>
      <c r="T204" s="8">
        <v>44303.85</v>
      </c>
      <c r="U204" s="3"/>
      <c r="V204" s="7">
        <f t="shared" si="37"/>
        <v>1.0389786675668358E-2</v>
      </c>
      <c r="W204" s="3"/>
      <c r="X204" s="8">
        <f t="shared" si="38"/>
        <v>175.13999999999942</v>
      </c>
      <c r="Y204" s="3"/>
      <c r="Z204" s="7">
        <f t="shared" si="39"/>
        <v>3.9531553126872588E-3</v>
      </c>
    </row>
    <row r="205" spans="1:26" s="68" customFormat="1" ht="15" customHeight="1" outlineLevel="1" collapsed="1" x14ac:dyDescent="0.3">
      <c r="A205" s="26"/>
      <c r="B205" s="14" t="str">
        <f>CONCATENATE("     ","Telephone/Data Lines                              ")</f>
        <v xml:space="preserve">     Telephone/Data Lines                              </v>
      </c>
      <c r="C205" s="14"/>
      <c r="D205" s="2">
        <f>SUM(OSRRefD22_21x_0)</f>
        <v>1663.69</v>
      </c>
      <c r="E205" s="2"/>
      <c r="F205" s="6">
        <f t="shared" si="32"/>
        <v>2.8061020410892925E-3</v>
      </c>
      <c r="G205" s="2"/>
      <c r="H205" s="2">
        <f>SUM(OSRRefH22_21x_0)</f>
        <v>1440.07</v>
      </c>
      <c r="I205" s="2"/>
      <c r="J205" s="6">
        <f t="shared" si="33"/>
        <v>7.830950184689961E-3</v>
      </c>
      <c r="K205" s="2"/>
      <c r="L205" s="2">
        <f t="shared" si="34"/>
        <v>223.62000000000012</v>
      </c>
      <c r="M205" s="2"/>
      <c r="N205" s="6">
        <f t="shared" si="35"/>
        <v>0.15528411813314638</v>
      </c>
      <c r="O205" s="14"/>
      <c r="P205" s="2">
        <f>SUM(OSRRefP22_21x_0)</f>
        <v>16294.42</v>
      </c>
      <c r="Q205" s="2"/>
      <c r="R205" s="6">
        <f t="shared" si="36"/>
        <v>2.8150938219686883E-3</v>
      </c>
      <c r="S205" s="2"/>
      <c r="T205" s="2">
        <f>SUM(OSRRefT22_21x_0)</f>
        <v>19868.669999999998</v>
      </c>
      <c r="U205" s="2"/>
      <c r="V205" s="6">
        <f t="shared" si="37"/>
        <v>4.6594425276641109E-3</v>
      </c>
      <c r="W205" s="2"/>
      <c r="X205" s="2">
        <f t="shared" si="38"/>
        <v>-3574.2499999999982</v>
      </c>
      <c r="Y205" s="2"/>
      <c r="Z205" s="6">
        <f t="shared" si="39"/>
        <v>-0.17989377245683774</v>
      </c>
    </row>
    <row r="206" spans="1:26" s="69" customFormat="1" ht="15" hidden="1" customHeight="1" outlineLevel="2" x14ac:dyDescent="0.3">
      <c r="A206" s="25"/>
      <c r="B206" s="12" t="str">
        <f>CONCATENATE("          ","6303"," - ","DATA PHONE LINES")</f>
        <v xml:space="preserve">          6303 - DATA PHONE LINES</v>
      </c>
      <c r="C206" s="12"/>
      <c r="D206" s="8"/>
      <c r="E206" s="3"/>
      <c r="F206" s="7">
        <f t="shared" si="32"/>
        <v>0</v>
      </c>
      <c r="G206" s="3"/>
      <c r="H206" s="8"/>
      <c r="I206" s="3"/>
      <c r="J206" s="7">
        <f t="shared" si="33"/>
        <v>0</v>
      </c>
      <c r="K206" s="3"/>
      <c r="L206" s="8">
        <f t="shared" si="34"/>
        <v>0</v>
      </c>
      <c r="M206" s="3"/>
      <c r="N206" s="7">
        <f t="shared" si="35"/>
        <v>0</v>
      </c>
      <c r="O206" s="12"/>
      <c r="P206" s="8">
        <v>295</v>
      </c>
      <c r="Q206" s="3"/>
      <c r="R206" s="7">
        <f t="shared" si="36"/>
        <v>5.0965464096344821E-5</v>
      </c>
      <c r="S206" s="3"/>
      <c r="T206" s="8">
        <v>2950</v>
      </c>
      <c r="U206" s="3"/>
      <c r="V206" s="7">
        <f t="shared" si="37"/>
        <v>6.9181054678592617E-4</v>
      </c>
      <c r="W206" s="3"/>
      <c r="X206" s="8">
        <f t="shared" si="38"/>
        <v>-2655</v>
      </c>
      <c r="Y206" s="3"/>
      <c r="Z206" s="7">
        <f t="shared" si="39"/>
        <v>-0.9</v>
      </c>
    </row>
    <row r="207" spans="1:26" s="69" customFormat="1" ht="15" hidden="1" customHeight="1" outlineLevel="2" x14ac:dyDescent="0.3">
      <c r="A207" s="25"/>
      <c r="B207" s="12" t="str">
        <f>CONCATENATE("          ","6309"," - ","TELEPHONE")</f>
        <v xml:space="preserve">          6309 - TELEPHONE</v>
      </c>
      <c r="C207" s="12"/>
      <c r="D207" s="8">
        <v>1663.69</v>
      </c>
      <c r="E207" s="3"/>
      <c r="F207" s="7">
        <f t="shared" si="32"/>
        <v>2.8061020410892925E-3</v>
      </c>
      <c r="G207" s="3"/>
      <c r="H207" s="8">
        <v>1440.07</v>
      </c>
      <c r="I207" s="3"/>
      <c r="J207" s="7">
        <f t="shared" si="33"/>
        <v>7.830950184689961E-3</v>
      </c>
      <c r="K207" s="3"/>
      <c r="L207" s="8">
        <f t="shared" si="34"/>
        <v>223.62000000000012</v>
      </c>
      <c r="M207" s="3"/>
      <c r="N207" s="7">
        <f t="shared" si="35"/>
        <v>0.15528411813314638</v>
      </c>
      <c r="O207" s="12"/>
      <c r="P207" s="8">
        <v>15999.42</v>
      </c>
      <c r="Q207" s="3"/>
      <c r="R207" s="7">
        <f t="shared" si="36"/>
        <v>2.7641283578723431E-3</v>
      </c>
      <c r="S207" s="3"/>
      <c r="T207" s="8">
        <v>16918.669999999998</v>
      </c>
      <c r="U207" s="3"/>
      <c r="V207" s="7">
        <f t="shared" si="37"/>
        <v>3.9676319808781843E-3</v>
      </c>
      <c r="W207" s="3"/>
      <c r="X207" s="8">
        <f t="shared" si="38"/>
        <v>-919.24999999999818</v>
      </c>
      <c r="Y207" s="3"/>
      <c r="Z207" s="7">
        <f t="shared" si="39"/>
        <v>-5.4333467110594287E-2</v>
      </c>
    </row>
    <row r="208" spans="1:26" s="68" customFormat="1" ht="15" customHeight="1" outlineLevel="1" collapsed="1" x14ac:dyDescent="0.3">
      <c r="A208" s="26"/>
      <c r="B208" s="14" t="str">
        <f>CONCATENATE("     ","Training                                          ")</f>
        <v xml:space="preserve">     Training                                          </v>
      </c>
      <c r="C208" s="14"/>
      <c r="D208" s="2">
        <f>SUM(OSRRefD22_22x_0)</f>
        <v>199</v>
      </c>
      <c r="E208" s="2"/>
      <c r="F208" s="6">
        <f t="shared" si="32"/>
        <v>3.3564805112537143E-4</v>
      </c>
      <c r="G208" s="2"/>
      <c r="H208" s="2">
        <f>SUM(OSRRefH22_22x_0)</f>
        <v>0</v>
      </c>
      <c r="I208" s="2"/>
      <c r="J208" s="6">
        <f t="shared" si="33"/>
        <v>0</v>
      </c>
      <c r="K208" s="2"/>
      <c r="L208" s="2">
        <f t="shared" si="34"/>
        <v>199</v>
      </c>
      <c r="M208" s="2"/>
      <c r="N208" s="6">
        <f t="shared" si="35"/>
        <v>0</v>
      </c>
      <c r="O208" s="14"/>
      <c r="P208" s="2">
        <f>SUM(OSRRefP22_22x_0)</f>
        <v>1094</v>
      </c>
      <c r="Q208" s="2"/>
      <c r="R208" s="6">
        <f t="shared" si="36"/>
        <v>1.8900412786915672E-4</v>
      </c>
      <c r="S208" s="2"/>
      <c r="T208" s="2">
        <f>SUM(OSRRefT22_22x_0)</f>
        <v>895.63</v>
      </c>
      <c r="U208" s="2"/>
      <c r="V208" s="6">
        <f t="shared" si="37"/>
        <v>2.1003602712470478E-4</v>
      </c>
      <c r="W208" s="2"/>
      <c r="X208" s="2">
        <f t="shared" si="38"/>
        <v>198.37</v>
      </c>
      <c r="Y208" s="2"/>
      <c r="Z208" s="6">
        <f t="shared" si="39"/>
        <v>0.22148655136607751</v>
      </c>
    </row>
    <row r="209" spans="1:26" s="69" customFormat="1" ht="15" hidden="1" customHeight="1" outlineLevel="2" x14ac:dyDescent="0.3">
      <c r="A209" s="25"/>
      <c r="B209" s="12" t="str">
        <f>CONCATENATE("          ","6376"," - ","TRAINING")</f>
        <v xml:space="preserve">          6376 - TRAINING</v>
      </c>
      <c r="C209" s="12"/>
      <c r="D209" s="8">
        <v>199</v>
      </c>
      <c r="E209" s="3"/>
      <c r="F209" s="7">
        <f t="shared" si="32"/>
        <v>3.3564805112537143E-4</v>
      </c>
      <c r="G209" s="3"/>
      <c r="H209" s="8"/>
      <c r="I209" s="3"/>
      <c r="J209" s="7">
        <f t="shared" si="33"/>
        <v>0</v>
      </c>
      <c r="K209" s="3"/>
      <c r="L209" s="8">
        <f t="shared" si="34"/>
        <v>199</v>
      </c>
      <c r="M209" s="3"/>
      <c r="N209" s="7">
        <f t="shared" si="35"/>
        <v>0</v>
      </c>
      <c r="O209" s="12"/>
      <c r="P209" s="8">
        <v>1094</v>
      </c>
      <c r="Q209" s="3"/>
      <c r="R209" s="7">
        <f t="shared" si="36"/>
        <v>1.8900412786915672E-4</v>
      </c>
      <c r="S209" s="3"/>
      <c r="T209" s="8">
        <v>895.63</v>
      </c>
      <c r="U209" s="3"/>
      <c r="V209" s="7">
        <f t="shared" si="37"/>
        <v>2.1003602712470478E-4</v>
      </c>
      <c r="W209" s="3"/>
      <c r="X209" s="8">
        <f t="shared" si="38"/>
        <v>198.37</v>
      </c>
      <c r="Y209" s="3"/>
      <c r="Z209" s="7">
        <f t="shared" si="39"/>
        <v>0.22148655136607751</v>
      </c>
    </row>
    <row r="210" spans="1:26" s="68" customFormat="1" ht="15" customHeight="1" outlineLevel="1" collapsed="1" x14ac:dyDescent="0.3">
      <c r="A210" s="26"/>
      <c r="B210" s="14" t="str">
        <f>CONCATENATE("     ","Travel                                            ")</f>
        <v xml:space="preserve">     Travel                                            </v>
      </c>
      <c r="C210" s="14"/>
      <c r="D210" s="2">
        <f>SUM(OSRRefD22_23x_0)</f>
        <v>46.81</v>
      </c>
      <c r="E210" s="2"/>
      <c r="F210" s="6">
        <f t="shared" si="32"/>
        <v>7.8953192327530842E-5</v>
      </c>
      <c r="G210" s="2"/>
      <c r="H210" s="2">
        <f>SUM(OSRRefH22_23x_0)</f>
        <v>93.02</v>
      </c>
      <c r="I210" s="2"/>
      <c r="J210" s="6">
        <f t="shared" si="33"/>
        <v>5.0583304018544939E-4</v>
      </c>
      <c r="K210" s="2"/>
      <c r="L210" s="2">
        <f t="shared" si="34"/>
        <v>-46.209999999999994</v>
      </c>
      <c r="M210" s="2"/>
      <c r="N210" s="6">
        <f t="shared" si="35"/>
        <v>-0.49677488712104917</v>
      </c>
      <c r="O210" s="14"/>
      <c r="P210" s="2">
        <f>SUM(OSRRefP22_23x_0)</f>
        <v>1135.57</v>
      </c>
      <c r="Q210" s="2"/>
      <c r="R210" s="6">
        <f t="shared" si="36"/>
        <v>1.9618593919961452E-4</v>
      </c>
      <c r="S210" s="2"/>
      <c r="T210" s="2">
        <f>SUM(OSRRefT22_23x_0)</f>
        <v>903.33</v>
      </c>
      <c r="U210" s="2"/>
      <c r="V210" s="6">
        <f t="shared" si="37"/>
        <v>2.1184176990784092E-4</v>
      </c>
      <c r="W210" s="2"/>
      <c r="X210" s="2">
        <f t="shared" si="38"/>
        <v>232.2399999999999</v>
      </c>
      <c r="Y210" s="2"/>
      <c r="Z210" s="6">
        <f t="shared" si="39"/>
        <v>0.25709319960590249</v>
      </c>
    </row>
    <row r="211" spans="1:26" s="69" customFormat="1" ht="15" hidden="1" customHeight="1" outlineLevel="2" x14ac:dyDescent="0.3">
      <c r="A211" s="25"/>
      <c r="B211" s="12" t="str">
        <f>CONCATENATE("          ","6292"," - ","TRAVEL/CONFERENCE")</f>
        <v xml:space="preserve">          6292 - TRAVEL/CONFERENCE</v>
      </c>
      <c r="C211" s="12"/>
      <c r="D211" s="8"/>
      <c r="E211" s="3"/>
      <c r="F211" s="7">
        <f t="shared" si="32"/>
        <v>0</v>
      </c>
      <c r="G211" s="3"/>
      <c r="H211" s="8"/>
      <c r="I211" s="3"/>
      <c r="J211" s="7">
        <f t="shared" si="33"/>
        <v>0</v>
      </c>
      <c r="K211" s="3"/>
      <c r="L211" s="8">
        <f t="shared" si="34"/>
        <v>0</v>
      </c>
      <c r="M211" s="3"/>
      <c r="N211" s="7">
        <f t="shared" si="35"/>
        <v>0</v>
      </c>
      <c r="O211" s="12"/>
      <c r="P211" s="8">
        <v>495</v>
      </c>
      <c r="Q211" s="3"/>
      <c r="R211" s="7">
        <f t="shared" si="36"/>
        <v>8.5518321110815892E-5</v>
      </c>
      <c r="S211" s="3"/>
      <c r="T211" s="8">
        <v>299.16000000000003</v>
      </c>
      <c r="U211" s="3"/>
      <c r="V211" s="7">
        <f t="shared" si="37"/>
        <v>7.0156624805585657E-5</v>
      </c>
      <c r="W211" s="3"/>
      <c r="X211" s="8">
        <f t="shared" si="38"/>
        <v>195.83999999999997</v>
      </c>
      <c r="Y211" s="3"/>
      <c r="Z211" s="7">
        <f t="shared" si="39"/>
        <v>0.65463297232250284</v>
      </c>
    </row>
    <row r="212" spans="1:26" s="69" customFormat="1" ht="15" hidden="1" customHeight="1" outlineLevel="2" x14ac:dyDescent="0.3">
      <c r="A212" s="25"/>
      <c r="B212" s="12" t="str">
        <f>CONCATENATE("          ","6294"," - ","TRAVEL OPERATIONAL")</f>
        <v xml:space="preserve">          6294 - TRAVEL OPERATIONAL</v>
      </c>
      <c r="C212" s="12"/>
      <c r="D212" s="8">
        <v>46.81</v>
      </c>
      <c r="E212" s="3"/>
      <c r="F212" s="7">
        <f t="shared" si="32"/>
        <v>7.8953192327530842E-5</v>
      </c>
      <c r="G212" s="3"/>
      <c r="H212" s="8">
        <v>93.02</v>
      </c>
      <c r="I212" s="3"/>
      <c r="J212" s="7">
        <f t="shared" si="33"/>
        <v>5.0583304018544939E-4</v>
      </c>
      <c r="K212" s="3"/>
      <c r="L212" s="8">
        <f t="shared" si="34"/>
        <v>-46.209999999999994</v>
      </c>
      <c r="M212" s="3"/>
      <c r="N212" s="7">
        <f t="shared" si="35"/>
        <v>-0.49677488712104917</v>
      </c>
      <c r="O212" s="12"/>
      <c r="P212" s="8">
        <v>403.48</v>
      </c>
      <c r="Q212" s="3"/>
      <c r="R212" s="7">
        <f t="shared" si="36"/>
        <v>6.9706933740993935E-5</v>
      </c>
      <c r="S212" s="3"/>
      <c r="T212" s="8">
        <v>544.28</v>
      </c>
      <c r="U212" s="3"/>
      <c r="V212" s="7">
        <f t="shared" si="37"/>
        <v>1.2764021844225218E-4</v>
      </c>
      <c r="W212" s="3"/>
      <c r="X212" s="8">
        <f t="shared" si="38"/>
        <v>-140.79999999999995</v>
      </c>
      <c r="Y212" s="3"/>
      <c r="Z212" s="7">
        <f t="shared" si="39"/>
        <v>-0.25869037995149546</v>
      </c>
    </row>
    <row r="213" spans="1:26" s="69" customFormat="1" ht="15" hidden="1" customHeight="1" outlineLevel="2" x14ac:dyDescent="0.3">
      <c r="A213" s="25"/>
      <c r="B213" s="12" t="str">
        <f>CONCATENATE("          ","6298"," - ","VEHICLE MILEAGE")</f>
        <v xml:space="preserve">          6298 - VEHICLE MILEAGE</v>
      </c>
      <c r="C213" s="12"/>
      <c r="D213" s="8"/>
      <c r="E213" s="3"/>
      <c r="F213" s="7">
        <f t="shared" si="32"/>
        <v>0</v>
      </c>
      <c r="G213" s="3"/>
      <c r="H213" s="8"/>
      <c r="I213" s="3"/>
      <c r="J213" s="7">
        <f t="shared" si="33"/>
        <v>0</v>
      </c>
      <c r="K213" s="3"/>
      <c r="L213" s="8">
        <f t="shared" si="34"/>
        <v>0</v>
      </c>
      <c r="M213" s="3"/>
      <c r="N213" s="7">
        <f t="shared" si="35"/>
        <v>0</v>
      </c>
      <c r="O213" s="12"/>
      <c r="P213" s="8">
        <v>237.09</v>
      </c>
      <c r="Q213" s="3"/>
      <c r="R213" s="7">
        <f t="shared" si="36"/>
        <v>4.0960684347804724E-5</v>
      </c>
      <c r="S213" s="3"/>
      <c r="T213" s="8">
        <v>59.89</v>
      </c>
      <c r="U213" s="3"/>
      <c r="V213" s="7">
        <f t="shared" si="37"/>
        <v>1.4044926660003091E-5</v>
      </c>
      <c r="W213" s="3"/>
      <c r="X213" s="8">
        <f t="shared" si="38"/>
        <v>177.2</v>
      </c>
      <c r="Y213" s="3"/>
      <c r="Z213" s="7">
        <f t="shared" si="39"/>
        <v>2.9587577224912338</v>
      </c>
    </row>
    <row r="214" spans="1:26" s="68" customFormat="1" ht="15" customHeight="1" outlineLevel="1" collapsed="1" x14ac:dyDescent="0.3">
      <c r="A214" s="26"/>
      <c r="B214" s="14" t="str">
        <f>CONCATENATE("     ","Utilities                                         ")</f>
        <v xml:space="preserve">     Utilities                                         </v>
      </c>
      <c r="C214" s="14"/>
      <c r="D214" s="2">
        <f>SUM(OSRRefD22_24x_0)</f>
        <v>6137.83</v>
      </c>
      <c r="E214" s="2"/>
      <c r="F214" s="6">
        <f t="shared" si="32"/>
        <v>1.0352515968034364E-2</v>
      </c>
      <c r="G214" s="2"/>
      <c r="H214" s="2">
        <f>SUM(OSRRefH22_24x_0)</f>
        <v>3429.45</v>
      </c>
      <c r="I214" s="2"/>
      <c r="J214" s="6">
        <f t="shared" si="33"/>
        <v>1.8648990751064173E-2</v>
      </c>
      <c r="K214" s="2"/>
      <c r="L214" s="2">
        <f t="shared" si="34"/>
        <v>2708.38</v>
      </c>
      <c r="M214" s="2"/>
      <c r="N214" s="6">
        <f t="shared" si="35"/>
        <v>0.78974179533161304</v>
      </c>
      <c r="O214" s="14"/>
      <c r="P214" s="2">
        <f>SUM(OSRRefP22_24x_0)</f>
        <v>49032.9</v>
      </c>
      <c r="Q214" s="2"/>
      <c r="R214" s="6">
        <f t="shared" si="36"/>
        <v>8.4711339135242914E-3</v>
      </c>
      <c r="S214" s="2"/>
      <c r="T214" s="2">
        <f>SUM(OSRRefT22_24x_0)</f>
        <v>52517.62</v>
      </c>
      <c r="U214" s="2"/>
      <c r="V214" s="6">
        <f t="shared" si="37"/>
        <v>1.2316014714608643E-2</v>
      </c>
      <c r="W214" s="2"/>
      <c r="X214" s="2">
        <f t="shared" si="38"/>
        <v>-3484.7200000000012</v>
      </c>
      <c r="Y214" s="2"/>
      <c r="Z214" s="6">
        <f t="shared" si="39"/>
        <v>-6.6353349599620109E-2</v>
      </c>
    </row>
    <row r="215" spans="1:26" s="69" customFormat="1" ht="15" hidden="1" customHeight="1" outlineLevel="2" x14ac:dyDescent="0.3">
      <c r="A215" s="25"/>
      <c r="B215" s="12" t="str">
        <f>CONCATENATE("          ","6274"," - ","UTILITIES")</f>
        <v xml:space="preserve">          6274 - UTILITIES</v>
      </c>
      <c r="C215" s="12"/>
      <c r="D215" s="8">
        <v>6137.83</v>
      </c>
      <c r="E215" s="3"/>
      <c r="F215" s="7">
        <f t="shared" si="32"/>
        <v>1.0352515968034364E-2</v>
      </c>
      <c r="G215" s="3"/>
      <c r="H215" s="8">
        <v>3429.45</v>
      </c>
      <c r="I215" s="3"/>
      <c r="J215" s="7">
        <f t="shared" si="33"/>
        <v>1.8648990751064173E-2</v>
      </c>
      <c r="K215" s="3"/>
      <c r="L215" s="8">
        <f t="shared" si="34"/>
        <v>2708.38</v>
      </c>
      <c r="M215" s="3"/>
      <c r="N215" s="7">
        <f t="shared" si="35"/>
        <v>0.78974179533161304</v>
      </c>
      <c r="O215" s="12"/>
      <c r="P215" s="8">
        <v>49032.9</v>
      </c>
      <c r="Q215" s="3"/>
      <c r="R215" s="7">
        <f t="shared" si="36"/>
        <v>8.4711339135242914E-3</v>
      </c>
      <c r="S215" s="3"/>
      <c r="T215" s="8">
        <v>52517.62</v>
      </c>
      <c r="U215" s="3"/>
      <c r="V215" s="7">
        <f t="shared" si="37"/>
        <v>1.2316014714608643E-2</v>
      </c>
      <c r="W215" s="3"/>
      <c r="X215" s="8">
        <f t="shared" si="38"/>
        <v>-3484.7200000000012</v>
      </c>
      <c r="Y215" s="3"/>
      <c r="Z215" s="7">
        <f t="shared" si="39"/>
        <v>-6.6353349599620109E-2</v>
      </c>
    </row>
    <row r="216" spans="1:26" s="64" customFormat="1" ht="15" customHeight="1" x14ac:dyDescent="0.3">
      <c r="A216" s="36"/>
      <c r="B216" s="36"/>
      <c r="C216" s="36"/>
      <c r="D216" s="2"/>
      <c r="E216" s="2"/>
      <c r="F216" s="6"/>
      <c r="G216" s="2"/>
      <c r="H216" s="2"/>
      <c r="I216" s="2"/>
      <c r="J216" s="6"/>
      <c r="K216" s="2"/>
      <c r="L216" s="2"/>
      <c r="M216" s="2"/>
      <c r="N216" s="6"/>
      <c r="O216" s="36"/>
      <c r="P216" s="2"/>
      <c r="Q216" s="2"/>
      <c r="R216" s="6"/>
      <c r="S216" s="2"/>
      <c r="T216" s="2"/>
      <c r="U216" s="2"/>
      <c r="V216" s="6"/>
      <c r="W216" s="2"/>
      <c r="X216" s="2"/>
      <c r="Y216" s="2"/>
      <c r="Z216" s="6"/>
    </row>
    <row r="217" spans="1:26" s="62" customFormat="1" ht="15" customHeight="1" collapsed="1" x14ac:dyDescent="0.3">
      <c r="A217" s="11"/>
      <c r="B217" s="28" t="s">
        <v>290</v>
      </c>
      <c r="C217" s="11"/>
      <c r="D217" s="5">
        <f>SUM(OSRRefD25x_0)</f>
        <v>182868.54</v>
      </c>
      <c r="E217" s="5"/>
      <c r="F217" s="13">
        <f>IF(D$12=0,0,D217/D$12)</f>
        <v>0.30843954303086452</v>
      </c>
      <c r="G217" s="5"/>
      <c r="H217" s="5">
        <f>SUM(OSRRefH25x_0)</f>
        <v>189046.82</v>
      </c>
      <c r="I217" s="5"/>
      <c r="J217" s="13">
        <f>IF(H$12=0,0,H217/H$12)</f>
        <v>1.028016853343275</v>
      </c>
      <c r="K217" s="5"/>
      <c r="L217" s="5">
        <f>+D217-H217</f>
        <v>-6178.2799999999988</v>
      </c>
      <c r="M217" s="5"/>
      <c r="N217" s="13">
        <f>IF(H217=0,0,L217/H217)</f>
        <v>-3.2681216219347137E-2</v>
      </c>
      <c r="O217" s="11"/>
      <c r="P217" s="5">
        <f>SUM(OSRRefP25x_0)</f>
        <v>910907.34000000008</v>
      </c>
      <c r="Q217" s="5"/>
      <c r="R217" s="13">
        <f>IF(P$12=0,0,P217/P$12)</f>
        <v>0.1573722553622609</v>
      </c>
      <c r="S217" s="5"/>
      <c r="T217" s="5">
        <f>SUM(OSRRefT25x_0)</f>
        <v>962302.23</v>
      </c>
      <c r="U217" s="5"/>
      <c r="V217" s="13">
        <f>IF(T$12=0,0,T217/T$12)</f>
        <v>0.22567146844393765</v>
      </c>
      <c r="W217" s="5"/>
      <c r="X217" s="5">
        <f>+P217-T217</f>
        <v>-51394.889999999898</v>
      </c>
      <c r="Y217" s="5"/>
      <c r="Z217" s="13">
        <f>IF(T217=0,0,X217/T217)</f>
        <v>-5.3408262391743497E-2</v>
      </c>
    </row>
    <row r="218" spans="1:26" s="69" customFormat="1" ht="15" hidden="1" customHeight="1" outlineLevel="1" x14ac:dyDescent="0.3">
      <c r="A218" s="42"/>
      <c r="B218" s="12" t="str">
        <f>CONCATENATE("          ","9150"," - ","MISC. INCOME")</f>
        <v xml:space="preserve">          9150 - MISC. INCOME</v>
      </c>
      <c r="C218" s="12"/>
      <c r="D218" s="3">
        <f>--7296.65</f>
        <v>7296.65</v>
      </c>
      <c r="E218" s="3"/>
      <c r="F218" s="20">
        <f>IF(D$12=0,0,D218/D$12)</f>
        <v>1.2307067096703223E-2</v>
      </c>
      <c r="G218" s="3"/>
      <c r="H218" s="3">
        <f>--15917.25</f>
        <v>15917.25</v>
      </c>
      <c r="I218" s="3"/>
      <c r="J218" s="20">
        <f>IF(H$12=0,0,H218/H$12)</f>
        <v>8.6556342280067144E-2</v>
      </c>
      <c r="K218" s="3"/>
      <c r="L218" s="3">
        <f>+D218-H218</f>
        <v>-8620.6</v>
      </c>
      <c r="M218" s="3"/>
      <c r="N218" s="20">
        <f>IF(H218=0,0,L218/H218)</f>
        <v>-0.54158852816912473</v>
      </c>
      <c r="O218" s="12"/>
      <c r="P218" s="3">
        <f>--327930.42</f>
        <v>327930.42</v>
      </c>
      <c r="Q218" s="3"/>
      <c r="R218" s="20">
        <f>IF(P$12=0,0,P218/P$12)</f>
        <v>5.6654664564777212E-2</v>
      </c>
      <c r="S218" s="3"/>
      <c r="T218" s="3">
        <f>--316528.75</f>
        <v>316528.75</v>
      </c>
      <c r="U218" s="3"/>
      <c r="V218" s="20">
        <f>IF(T$12=0,0,T218/T$12)</f>
        <v>7.4229805969818888E-2</v>
      </c>
      <c r="W218" s="3"/>
      <c r="X218" s="3">
        <f>+P218-T218</f>
        <v>11401.669999999984</v>
      </c>
      <c r="Y218" s="3"/>
      <c r="Z218" s="20">
        <f>IF(T218=0,0,X218/T218)</f>
        <v>3.6020961760977424E-2</v>
      </c>
    </row>
    <row r="219" spans="1:26" s="69" customFormat="1" ht="15" hidden="1" customHeight="1" outlineLevel="1" x14ac:dyDescent="0.3">
      <c r="A219" s="42"/>
      <c r="B219" s="12" t="str">
        <f>CONCATENATE("          ","9151"," - ","MISC. INCOME")</f>
        <v xml:space="preserve">          9151 - MISC. INCOME</v>
      </c>
      <c r="C219" s="12"/>
      <c r="D219" s="3">
        <f>0</f>
        <v>0</v>
      </c>
      <c r="E219" s="3"/>
      <c r="F219" s="20">
        <f>IF(D$12=0,0,D219/D$12)</f>
        <v>0</v>
      </c>
      <c r="G219" s="3"/>
      <c r="H219" s="3">
        <f>-2282.24</f>
        <v>-2282.2399999999998</v>
      </c>
      <c r="I219" s="3"/>
      <c r="J219" s="20">
        <f>IF(H$12=0,0,H219/H$12)</f>
        <v>-1.2410582644945604E-2</v>
      </c>
      <c r="K219" s="3"/>
      <c r="L219" s="3">
        <f>+D219-H219</f>
        <v>2282.2399999999998</v>
      </c>
      <c r="M219" s="3"/>
      <c r="N219" s="20">
        <f>IF(H219=0,0,L219/H219)</f>
        <v>-1</v>
      </c>
      <c r="O219" s="12"/>
      <c r="P219" s="3">
        <f>--323761.7</f>
        <v>323761.7</v>
      </c>
      <c r="Q219" s="3"/>
      <c r="R219" s="20">
        <f>IF(P$12=0,0,P219/P$12)</f>
        <v>5.5934458634310388E-2</v>
      </c>
      <c r="S219" s="3"/>
      <c r="T219" s="3">
        <f>--295628.46</f>
        <v>295628.46000000002</v>
      </c>
      <c r="U219" s="3"/>
      <c r="V219" s="20">
        <f>IF(T$12=0,0,T219/T$12)</f>
        <v>6.9328436121383494E-2</v>
      </c>
      <c r="W219" s="3"/>
      <c r="X219" s="3">
        <f>+P219-T219</f>
        <v>28133.239999999991</v>
      </c>
      <c r="Y219" s="3"/>
      <c r="Z219" s="20">
        <f>IF(T219=0,0,X219/T219)</f>
        <v>9.5164180065748699E-2</v>
      </c>
    </row>
    <row r="220" spans="1:26" s="69" customFormat="1" ht="15" hidden="1" customHeight="1" outlineLevel="1" x14ac:dyDescent="0.3">
      <c r="A220" s="42"/>
      <c r="B220" s="12" t="str">
        <f>CONCATENATE("          ","9152"," - ","MISC. INCOME")</f>
        <v xml:space="preserve">          9152 - MISC. INCOME</v>
      </c>
      <c r="C220" s="12"/>
      <c r="D220" s="3">
        <f>--516.89</f>
        <v>516.89</v>
      </c>
      <c r="E220" s="3"/>
      <c r="F220" s="20">
        <f>IF(D$12=0,0,D220/D$12)</f>
        <v>8.7182472937785552E-4</v>
      </c>
      <c r="G220" s="3"/>
      <c r="H220" s="3">
        <f>--397.11</f>
        <v>397.11</v>
      </c>
      <c r="I220" s="3"/>
      <c r="J220" s="20">
        <f>IF(H$12=0,0,H220/H$12)</f>
        <v>2.1594426853154573E-3</v>
      </c>
      <c r="K220" s="3"/>
      <c r="L220" s="3">
        <f>+D220-H220</f>
        <v>119.77999999999997</v>
      </c>
      <c r="M220" s="3"/>
      <c r="N220" s="20">
        <f>IF(H220=0,0,L220/H220)</f>
        <v>0.30162927148648983</v>
      </c>
      <c r="O220" s="12"/>
      <c r="P220" s="3">
        <f>--4384.52</f>
        <v>4384.5200000000004</v>
      </c>
      <c r="Q220" s="3"/>
      <c r="R220" s="20">
        <f>IF(P$12=0,0,P220/P$12)</f>
        <v>7.5748846318544351E-4</v>
      </c>
      <c r="S220" s="3"/>
      <c r="T220" s="3">
        <f>--3710.56</f>
        <v>3710.56</v>
      </c>
      <c r="U220" s="3"/>
      <c r="V220" s="20">
        <f>IF(T$12=0,0,T220/T$12)</f>
        <v>8.7017103134982583E-4</v>
      </c>
      <c r="W220" s="3"/>
      <c r="X220" s="3">
        <f>+P220-T220</f>
        <v>673.96000000000049</v>
      </c>
      <c r="Y220" s="3"/>
      <c r="Z220" s="20">
        <f>IF(T220=0,0,X220/T220)</f>
        <v>0.18163296106248128</v>
      </c>
    </row>
    <row r="221" spans="1:26" s="69" customFormat="1" ht="15" hidden="1" customHeight="1" outlineLevel="1" x14ac:dyDescent="0.3">
      <c r="A221" s="42"/>
      <c r="B221" s="12" t="str">
        <f>CONCATENATE("          ","9163"," - ","MISC. INCOME")</f>
        <v xml:space="preserve">          9163 - MISC. INCOME</v>
      </c>
      <c r="C221" s="12"/>
      <c r="D221" s="3">
        <f>--175055</f>
        <v>175055</v>
      </c>
      <c r="E221" s="3"/>
      <c r="F221" s="20">
        <f>IF(D$12=0,0,D221/D$12)</f>
        <v>0.2952606512047834</v>
      </c>
      <c r="G221" s="3"/>
      <c r="H221" s="3">
        <f>--175014.7</f>
        <v>175014.7</v>
      </c>
      <c r="I221" s="3"/>
      <c r="J221" s="20">
        <f>IF(H$12=0,0,H221/H$12)</f>
        <v>0.95171165102283795</v>
      </c>
      <c r="K221" s="3"/>
      <c r="L221" s="3">
        <f>+D221-H221</f>
        <v>40.299999999988358</v>
      </c>
      <c r="M221" s="3"/>
      <c r="N221" s="20">
        <f>IF(H221=0,0,L221/H221)</f>
        <v>2.3026637191040728E-4</v>
      </c>
      <c r="O221" s="12"/>
      <c r="P221" s="3">
        <f>--254830.7</f>
        <v>254830.7</v>
      </c>
      <c r="Q221" s="3"/>
      <c r="R221" s="20">
        <f>IF(P$12=0,0,P221/P$12)</f>
        <v>4.4025643699987863E-2</v>
      </c>
      <c r="S221" s="3"/>
      <c r="T221" s="3">
        <f>--346434.46</f>
        <v>346434.46</v>
      </c>
      <c r="U221" s="3"/>
      <c r="V221" s="20">
        <f>IF(T$12=0,0,T221/T$12)</f>
        <v>8.1243055321385454E-2</v>
      </c>
      <c r="W221" s="3"/>
      <c r="X221" s="3">
        <f>+P221-T221</f>
        <v>-91603.760000000009</v>
      </c>
      <c r="Y221" s="3"/>
      <c r="Z221" s="20">
        <f>IF(T221=0,0,X221/T221)</f>
        <v>-0.26441873016904843</v>
      </c>
    </row>
    <row r="222" spans="1:26" ht="15" customHeight="1" x14ac:dyDescent="0.3">
      <c r="A222" s="10"/>
      <c r="B222" s="11"/>
      <c r="C222" s="11"/>
      <c r="D222" s="4"/>
      <c r="E222" s="4"/>
      <c r="F222" s="9"/>
      <c r="G222" s="4"/>
      <c r="H222" s="4"/>
      <c r="I222" s="4"/>
      <c r="J222" s="9"/>
      <c r="K222" s="4"/>
      <c r="L222" s="4"/>
      <c r="M222" s="4"/>
      <c r="N222" s="9"/>
      <c r="O222" s="11"/>
      <c r="P222" s="4"/>
      <c r="Q222" s="4"/>
      <c r="R222" s="9"/>
      <c r="S222" s="4"/>
      <c r="T222" s="4"/>
      <c r="U222" s="4"/>
      <c r="V222" s="9"/>
      <c r="W222" s="4"/>
      <c r="X222" s="4"/>
      <c r="Y222" s="4"/>
      <c r="Z222" s="9"/>
    </row>
    <row r="223" spans="1:26" s="62" customFormat="1" ht="15" customHeight="1" x14ac:dyDescent="0.3">
      <c r="A223" s="11"/>
      <c r="B223" s="27" t="s">
        <v>291</v>
      </c>
      <c r="C223" s="27"/>
      <c r="D223" s="22">
        <f>+D125-D127+D217</f>
        <v>200120.94999999992</v>
      </c>
      <c r="E223" s="15"/>
      <c r="F223" s="21">
        <f>IF(D$12=0,0,D223/D$12)</f>
        <v>0.33753872792390893</v>
      </c>
      <c r="G223" s="15"/>
      <c r="H223" s="22">
        <f>+H125-H127+H217</f>
        <v>47812.380000000121</v>
      </c>
      <c r="I223" s="15"/>
      <c r="J223" s="21">
        <f>IF(H$12=0,0,H223/H$12)</f>
        <v>0.25999872644487249</v>
      </c>
      <c r="K223" s="17"/>
      <c r="L223" s="22">
        <f>+D223-H223</f>
        <v>152308.5699999998</v>
      </c>
      <c r="M223" s="17"/>
      <c r="N223" s="21">
        <f>IF(H223=0,0,L223/H223)</f>
        <v>3.1855467140518714</v>
      </c>
      <c r="O223" s="28"/>
      <c r="P223" s="22">
        <f>+P125-P127+P217</f>
        <v>525539.15999999992</v>
      </c>
      <c r="Q223" s="15"/>
      <c r="R223" s="21">
        <f>IF(P$12=0,0,P223/P$12)</f>
        <v>9.0794397254926149E-2</v>
      </c>
      <c r="S223" s="15"/>
      <c r="T223" s="22">
        <f>+T125-T127+T217</f>
        <v>122744.64000000153</v>
      </c>
      <c r="U223" s="15"/>
      <c r="V223" s="21">
        <f>IF(T$12=0,0,T223/T$12)</f>
        <v>2.8785097123200924E-2</v>
      </c>
      <c r="W223" s="17"/>
      <c r="X223" s="22">
        <f>+P223-T223</f>
        <v>402794.51999999839</v>
      </c>
      <c r="Y223" s="17"/>
      <c r="Z223" s="21">
        <f>IF(T223=0,0,X223/T223)</f>
        <v>3.2815650443065651</v>
      </c>
    </row>
    <row r="224" spans="1:26" ht="15" customHeight="1" x14ac:dyDescent="0.3">
      <c r="A224" s="10"/>
      <c r="B224" s="11"/>
      <c r="C224" s="10"/>
      <c r="D224" s="4"/>
      <c r="E224" s="4"/>
      <c r="F224" s="9"/>
      <c r="G224" s="4"/>
      <c r="H224" s="4"/>
      <c r="I224" s="4"/>
      <c r="J224" s="9"/>
      <c r="K224" s="4"/>
      <c r="L224" s="4"/>
      <c r="M224" s="4"/>
      <c r="N224" s="9"/>
      <c r="P224" s="4"/>
      <c r="Q224" s="4"/>
      <c r="R224" s="9"/>
      <c r="S224" s="4"/>
      <c r="T224" s="4"/>
      <c r="U224" s="4"/>
      <c r="V224" s="9"/>
      <c r="W224" s="4"/>
      <c r="X224" s="4"/>
      <c r="Y224" s="4"/>
      <c r="Z224" s="9"/>
    </row>
    <row r="225" spans="1:26" s="62" customFormat="1" ht="15" customHeight="1" x14ac:dyDescent="0.3">
      <c r="A225" s="48"/>
      <c r="B225" s="11" t="s">
        <v>292</v>
      </c>
      <c r="C225" s="11"/>
      <c r="D225" s="5">
        <v>42313.75</v>
      </c>
      <c r="E225" s="5"/>
      <c r="F225" s="13">
        <f>IF(D$12=0,0,D225/D$12)</f>
        <v>7.1369486046764755E-2</v>
      </c>
      <c r="G225" s="5"/>
      <c r="H225" s="5">
        <v>70768.800000000003</v>
      </c>
      <c r="I225" s="5"/>
      <c r="J225" s="13">
        <f>IF(H$12=0,0,H225/H$12)</f>
        <v>0.38483333965035516</v>
      </c>
      <c r="K225" s="5"/>
      <c r="L225" s="5">
        <f>+D225-H225</f>
        <v>-28455.050000000003</v>
      </c>
      <c r="M225" s="5"/>
      <c r="N225" s="13">
        <f>IF(H225=0,0,L225/H225)</f>
        <v>-0.40208467573280882</v>
      </c>
      <c r="O225" s="11"/>
      <c r="P225" s="5">
        <v>690811.45</v>
      </c>
      <c r="Q225" s="5"/>
      <c r="R225" s="13">
        <f>IF(P$12=0,0,P225/P$12)</f>
        <v>0.11934754627904713</v>
      </c>
      <c r="S225" s="5"/>
      <c r="T225" s="5">
        <v>878809.89</v>
      </c>
      <c r="U225" s="5"/>
      <c r="V225" s="13">
        <f>IF(T$12=0,0,T225/T$12)</f>
        <v>0.20609150865145073</v>
      </c>
      <c r="W225" s="5"/>
      <c r="X225" s="5">
        <f>+P225-T225</f>
        <v>-187998.44000000006</v>
      </c>
      <c r="Y225" s="5"/>
      <c r="Z225" s="13">
        <f>IF(T225=0,0,X225/T225)</f>
        <v>-0.21392390110675708</v>
      </c>
    </row>
    <row r="226" spans="1:26" ht="15" customHeight="1" x14ac:dyDescent="0.3">
      <c r="A226" s="10"/>
      <c r="B226" s="11"/>
      <c r="C226" s="11"/>
      <c r="D226" s="4"/>
      <c r="E226" s="4"/>
      <c r="F226" s="9"/>
      <c r="G226" s="4"/>
      <c r="H226" s="4"/>
      <c r="I226" s="4"/>
      <c r="J226" s="9"/>
      <c r="K226" s="4"/>
      <c r="L226" s="4"/>
      <c r="M226" s="4"/>
      <c r="N226" s="9"/>
      <c r="O226" s="11"/>
      <c r="P226" s="4"/>
      <c r="Q226" s="4"/>
      <c r="R226" s="9"/>
      <c r="S226" s="4"/>
      <c r="T226" s="4"/>
      <c r="U226" s="4"/>
      <c r="V226" s="9"/>
      <c r="W226" s="4"/>
      <c r="X226" s="4"/>
      <c r="Y226" s="4"/>
      <c r="Z226" s="9"/>
    </row>
    <row r="227" spans="1:26" s="62" customFormat="1" ht="15" customHeight="1" x14ac:dyDescent="0.3">
      <c r="A227" s="11"/>
      <c r="B227" s="27" t="s">
        <v>293</v>
      </c>
      <c r="C227" s="27"/>
      <c r="D227" s="34">
        <f>+D223-D225</f>
        <v>157807.19999999992</v>
      </c>
      <c r="E227" s="15"/>
      <c r="F227" s="33">
        <f>IF(D$12=0,0,D227/D$12)</f>
        <v>0.26616924187714419</v>
      </c>
      <c r="G227" s="15"/>
      <c r="H227" s="34">
        <f>+H223-H225</f>
        <v>-22956.419999999882</v>
      </c>
      <c r="I227" s="15"/>
      <c r="J227" s="33">
        <f>IF(H$12=0,0,H227/H$12)</f>
        <v>-0.12483461320548264</v>
      </c>
      <c r="K227" s="17"/>
      <c r="L227" s="34">
        <f>D227-H227</f>
        <v>180763.61999999982</v>
      </c>
      <c r="M227" s="17"/>
      <c r="N227" s="33">
        <f>IF(H227=0,0,L227/H227)</f>
        <v>-7.8742077379661444</v>
      </c>
      <c r="O227" s="28"/>
      <c r="P227" s="34">
        <f>+P223-P225</f>
        <v>-165272.29000000004</v>
      </c>
      <c r="Q227" s="15"/>
      <c r="R227" s="33">
        <f>IF(P$12=0,0,P227/P$12)</f>
        <v>-2.8553149024120986E-2</v>
      </c>
      <c r="S227" s="15"/>
      <c r="T227" s="34">
        <f>+T223-T225</f>
        <v>-756065.24999999849</v>
      </c>
      <c r="U227" s="15"/>
      <c r="V227" s="33">
        <f>IF(T$12=0,0,T227/T$12)</f>
        <v>-0.1773064115282498</v>
      </c>
      <c r="W227" s="17"/>
      <c r="X227" s="34">
        <f>P227-T227</f>
        <v>590792.95999999845</v>
      </c>
      <c r="Y227" s="17"/>
      <c r="Z227" s="33">
        <f>IF(T227=0,0,X227/T227)</f>
        <v>-0.78140472664230987</v>
      </c>
    </row>
    <row r="228" spans="1:26" ht="15" customHeight="1" x14ac:dyDescent="0.3">
      <c r="A228" s="10"/>
      <c r="B228" s="10"/>
      <c r="C228" s="10"/>
      <c r="D228" s="4"/>
      <c r="E228" s="4"/>
      <c r="F228" s="9"/>
      <c r="G228" s="4"/>
      <c r="H228" s="4"/>
      <c r="I228" s="4"/>
      <c r="J228" s="9"/>
      <c r="K228" s="4"/>
      <c r="L228" s="4"/>
      <c r="M228" s="4"/>
      <c r="N228" s="9"/>
      <c r="P228" s="4"/>
      <c r="Q228" s="4"/>
      <c r="R228" s="9"/>
      <c r="S228" s="4"/>
      <c r="T228" s="4"/>
      <c r="U228" s="4"/>
      <c r="V228" s="9"/>
      <c r="W228" s="4"/>
      <c r="X228" s="4"/>
      <c r="Y228" s="4"/>
      <c r="Z228" s="9"/>
    </row>
    <row r="229" spans="1:26" ht="15" customHeight="1" x14ac:dyDescent="0.3">
      <c r="A229" s="10"/>
      <c r="B229" s="10"/>
      <c r="C229" s="10"/>
      <c r="D229" s="4"/>
      <c r="E229" s="4"/>
      <c r="F229" s="9"/>
      <c r="G229" s="4"/>
      <c r="H229" s="4"/>
      <c r="I229" s="4"/>
      <c r="J229" s="9"/>
      <c r="K229" s="4"/>
      <c r="L229" s="4"/>
      <c r="M229" s="4"/>
      <c r="N229" s="9"/>
      <c r="P229" s="4"/>
      <c r="Q229" s="4"/>
      <c r="R229" s="9"/>
      <c r="S229" s="4"/>
      <c r="T229" s="4"/>
      <c r="U229" s="4"/>
      <c r="V229" s="9"/>
      <c r="W229" s="4"/>
      <c r="X229" s="4"/>
      <c r="Y229" s="4"/>
      <c r="Z229" s="9"/>
    </row>
    <row r="230" spans="1:26" s="62" customFormat="1" ht="15" customHeight="1" x14ac:dyDescent="0.3">
      <c r="A230" s="11"/>
      <c r="B230" s="27" t="s">
        <v>296</v>
      </c>
      <c r="C230" s="27"/>
      <c r="D230" s="31">
        <f>SUM(D227:D229)</f>
        <v>157807.19999999992</v>
      </c>
      <c r="E230" s="15"/>
      <c r="F230" s="32">
        <f>IF(D$12=0,0,D230/D$12)</f>
        <v>0.26616924187714419</v>
      </c>
      <c r="G230" s="15"/>
      <c r="H230" s="31">
        <f>SUM(H227:H229)</f>
        <v>-22956.419999999882</v>
      </c>
      <c r="I230" s="15"/>
      <c r="J230" s="32">
        <f>IF(H$12=0,0,H230/H$12)</f>
        <v>-0.12483461320548264</v>
      </c>
      <c r="K230" s="17"/>
      <c r="L230" s="31">
        <f>+D230-H230</f>
        <v>180763.61999999982</v>
      </c>
      <c r="M230" s="17"/>
      <c r="N230" s="32">
        <f>IF(H230=0,0,L230/H230)</f>
        <v>-7.8742077379661444</v>
      </c>
      <c r="O230" s="28"/>
      <c r="P230" s="31">
        <f>SUM(P227:P229)</f>
        <v>-165272.29000000004</v>
      </c>
      <c r="Q230" s="15"/>
      <c r="R230" s="32">
        <f>IF(P$12=0,0,P230/P$12)</f>
        <v>-2.8553149024120986E-2</v>
      </c>
      <c r="S230" s="15"/>
      <c r="T230" s="31">
        <f>SUM(T227:T229)</f>
        <v>-756065.24999999849</v>
      </c>
      <c r="U230" s="15"/>
      <c r="V230" s="32">
        <f>IF(T$12=0,0,T230/T$12)</f>
        <v>-0.1773064115282498</v>
      </c>
      <c r="W230" s="17"/>
      <c r="X230" s="31">
        <f>+P230-T230</f>
        <v>590792.95999999845</v>
      </c>
      <c r="Y230" s="17"/>
      <c r="Z230" s="32">
        <f>IF(T230=0,0,X230/T230)</f>
        <v>-0.78140472664230987</v>
      </c>
    </row>
    <row r="231" spans="1:26" ht="15" customHeight="1" x14ac:dyDescent="0.3">
      <c r="A231" s="10"/>
      <c r="C231" s="10"/>
      <c r="D231" s="19"/>
      <c r="E231" s="19"/>
      <c r="G231" s="19"/>
      <c r="H231" s="19"/>
      <c r="I231" s="19"/>
      <c r="J231" s="40"/>
      <c r="K231" s="19"/>
      <c r="L231" s="19"/>
      <c r="M231" s="19"/>
      <c r="P231" s="19"/>
      <c r="Q231" s="19"/>
      <c r="R231" s="40"/>
      <c r="S231" s="19"/>
      <c r="T231" s="19"/>
      <c r="U231" s="19"/>
      <c r="V231" s="40"/>
      <c r="W231" s="19"/>
      <c r="X231" s="19"/>
    </row>
    <row r="232" spans="1:26" ht="15" customHeight="1" x14ac:dyDescent="0.3">
      <c r="A232" s="10"/>
      <c r="B232" s="56">
        <v>44663.038579398148</v>
      </c>
      <c r="D232" s="19"/>
      <c r="E232" s="19"/>
      <c r="G232" s="19"/>
      <c r="H232" s="19"/>
      <c r="I232" s="19"/>
      <c r="J232" s="40"/>
      <c r="K232" s="19"/>
      <c r="L232" s="19"/>
      <c r="M232" s="19"/>
      <c r="P232" s="19"/>
      <c r="Q232" s="19"/>
      <c r="R232" s="40"/>
      <c r="S232" s="19"/>
      <c r="T232" s="19"/>
      <c r="U232" s="19"/>
      <c r="V232" s="40"/>
      <c r="W232" s="19"/>
      <c r="X232" s="19"/>
    </row>
    <row r="233" spans="1:26" ht="15" customHeight="1" x14ac:dyDescent="0.3">
      <c r="A233" s="10"/>
      <c r="B233" s="57" t="s">
        <v>297</v>
      </c>
      <c r="D233" s="19"/>
      <c r="E233" s="19"/>
      <c r="G233" s="19"/>
      <c r="H233" s="19"/>
      <c r="I233" s="19"/>
      <c r="J233" s="40"/>
      <c r="K233" s="19"/>
      <c r="L233" s="19"/>
      <c r="M233" s="19"/>
      <c r="P233" s="19"/>
      <c r="Q233" s="19"/>
      <c r="R233" s="40"/>
      <c r="S233" s="19"/>
      <c r="T233" s="19"/>
      <c r="U233" s="19"/>
      <c r="V233" s="40"/>
      <c r="W233" s="19"/>
      <c r="X233" s="19"/>
    </row>
    <row r="234" spans="1:26" ht="15" customHeight="1" x14ac:dyDescent="0.3">
      <c r="A234" s="10"/>
      <c r="B234" s="58"/>
      <c r="D234" s="19"/>
      <c r="E234" s="19"/>
      <c r="G234" s="19"/>
      <c r="H234" s="19"/>
      <c r="I234" s="19"/>
      <c r="J234" s="40"/>
      <c r="K234" s="19"/>
      <c r="L234" s="19"/>
      <c r="M234" s="19"/>
      <c r="P234" s="19"/>
      <c r="Q234" s="19"/>
      <c r="R234" s="40"/>
      <c r="S234" s="19"/>
      <c r="T234" s="19"/>
      <c r="U234" s="19"/>
      <c r="V234" s="40"/>
      <c r="W234" s="19"/>
      <c r="X234" s="19"/>
    </row>
    <row r="235" spans="1:26" ht="15" customHeight="1" x14ac:dyDescent="0.3">
      <c r="D235" s="19"/>
      <c r="E235" s="19"/>
      <c r="G235" s="19"/>
      <c r="H235" s="19"/>
      <c r="I235" s="19"/>
      <c r="J235" s="40"/>
      <c r="K235" s="19"/>
      <c r="L235" s="19"/>
      <c r="M235" s="19"/>
      <c r="P235" s="19"/>
      <c r="Q235" s="19"/>
      <c r="R235" s="40"/>
      <c r="S235" s="19"/>
      <c r="T235" s="19"/>
      <c r="U235" s="19"/>
      <c r="V235" s="40"/>
      <c r="W235" s="19"/>
      <c r="X23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70D7-881F-E06D-72ED-8132720DA7CC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278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A2661-F95D-D998-96EF-2F0EA8BC1C8F}">
  <sheetPr>
    <tabColor theme="5" tint="0.39997558519241921"/>
    <outlinePr summaryBelow="0" summaryRight="0"/>
  </sheetPr>
  <dimension ref="A2:Z26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302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1049578.45</v>
      </c>
      <c r="E12" s="5"/>
      <c r="F12" s="13"/>
      <c r="G12" s="5"/>
      <c r="H12" s="5">
        <f>SUM(OSRRefH13x_0)</f>
        <v>612979.92999999993</v>
      </c>
      <c r="I12" s="5"/>
      <c r="J12" s="13"/>
      <c r="K12" s="5"/>
      <c r="L12" s="5">
        <f t="shared" ref="L12:L43" si="0">+D12-H12</f>
        <v>436598.52</v>
      </c>
      <c r="M12" s="5"/>
      <c r="N12" s="13">
        <f t="shared" ref="N12:N43" si="1">IF(H12=0,0,L12/H12)</f>
        <v>0.71225581561862894</v>
      </c>
      <c r="O12" s="11"/>
      <c r="P12" s="5">
        <f>SUM(OSRRefP13x_0)</f>
        <v>7538705.2200000007</v>
      </c>
      <c r="Q12" s="5"/>
      <c r="R12" s="13"/>
      <c r="S12" s="5"/>
      <c r="T12" s="5">
        <f>SUM(OSRRefT13x_0)</f>
        <v>6283729.6700000018</v>
      </c>
      <c r="U12" s="5"/>
      <c r="V12" s="13"/>
      <c r="W12" s="5"/>
      <c r="X12" s="5">
        <f t="shared" ref="X12:X43" si="2">+P12-T12</f>
        <v>1254975.5499999989</v>
      </c>
      <c r="Y12" s="5"/>
      <c r="Z12" s="13">
        <f t="shared" ref="Z12:Z43" si="3">IF(T12=0,0,X12/T12)</f>
        <v>0.19971825904471135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--956973.18</f>
        <v>956973.18</v>
      </c>
      <c r="E13" s="3"/>
      <c r="F13" s="20"/>
      <c r="G13" s="3"/>
      <c r="H13" s="3">
        <f>-11598.32</f>
        <v>-11598.32</v>
      </c>
      <c r="I13" s="3"/>
      <c r="J13" s="20"/>
      <c r="K13" s="3"/>
      <c r="L13" s="3">
        <f t="shared" si="0"/>
        <v>968571.5</v>
      </c>
      <c r="M13" s="3"/>
      <c r="N13" s="20">
        <f t="shared" si="1"/>
        <v>-83.509637602687292</v>
      </c>
      <c r="O13" s="12"/>
      <c r="P13" s="3">
        <f>--6420091.27</f>
        <v>6420091.2699999996</v>
      </c>
      <c r="Q13" s="3"/>
      <c r="R13" s="20"/>
      <c r="S13" s="3"/>
      <c r="T13" s="3">
        <f>-122656.41</f>
        <v>-122656.41</v>
      </c>
      <c r="U13" s="3"/>
      <c r="V13" s="20"/>
      <c r="W13" s="3"/>
      <c r="X13" s="3">
        <f t="shared" si="2"/>
        <v>6542747.6799999997</v>
      </c>
      <c r="Y13" s="3"/>
      <c r="Z13" s="20">
        <f t="shared" si="3"/>
        <v>-53.342077107914697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--7739.23</f>
        <v>7739.23</v>
      </c>
      <c r="I14" s="3"/>
      <c r="J14" s="20"/>
      <c r="K14" s="3"/>
      <c r="L14" s="3">
        <f t="shared" si="0"/>
        <v>-7739.23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--1232463.24</f>
        <v>1232463.24</v>
      </c>
      <c r="U14" s="3"/>
      <c r="V14" s="20"/>
      <c r="W14" s="3"/>
      <c r="X14" s="3">
        <f t="shared" si="2"/>
        <v>-1232463.24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--1662.85</f>
        <v>1662.85</v>
      </c>
      <c r="I15" s="3"/>
      <c r="J15" s="20"/>
      <c r="K15" s="3"/>
      <c r="L15" s="3">
        <f t="shared" si="0"/>
        <v>-1662.85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--576797.33</f>
        <v>576797.32999999996</v>
      </c>
      <c r="U15" s="3"/>
      <c r="V15" s="20"/>
      <c r="W15" s="3"/>
      <c r="X15" s="3">
        <f t="shared" si="2"/>
        <v>-576797.32999999996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--49.99</f>
        <v>49.99</v>
      </c>
      <c r="I16" s="3"/>
      <c r="J16" s="20"/>
      <c r="K16" s="3"/>
      <c r="L16" s="3">
        <f t="shared" si="0"/>
        <v>-49.99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--17977.88</f>
        <v>17977.88</v>
      </c>
      <c r="U16" s="3"/>
      <c r="V16" s="20"/>
      <c r="W16" s="3"/>
      <c r="X16" s="3">
        <f t="shared" si="2"/>
        <v>-17977.88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--29.21</f>
        <v>29.21</v>
      </c>
      <c r="I18" s="3"/>
      <c r="J18" s="20"/>
      <c r="K18" s="3"/>
      <c r="L18" s="3">
        <f t="shared" si="0"/>
        <v>-29.21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--1202.02</f>
        <v>1202.02</v>
      </c>
      <c r="U18" s="3"/>
      <c r="V18" s="20"/>
      <c r="W18" s="3"/>
      <c r="X18" s="3">
        <f t="shared" si="2"/>
        <v>-1202.02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--35.82</f>
        <v>35.82</v>
      </c>
      <c r="I19" s="3"/>
      <c r="J19" s="20"/>
      <c r="K19" s="3"/>
      <c r="L19" s="3">
        <f t="shared" si="0"/>
        <v>-35.82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--447.7</f>
        <v>447.7</v>
      </c>
      <c r="U19" s="3"/>
      <c r="V19" s="20"/>
      <c r="W19" s="3"/>
      <c r="X19" s="3">
        <f t="shared" si="2"/>
        <v>-447.7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--67.3</f>
        <v>67.3</v>
      </c>
      <c r="I20" s="3"/>
      <c r="J20" s="20"/>
      <c r="K20" s="3"/>
      <c r="L20" s="3">
        <f t="shared" si="0"/>
        <v>-67.3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--400.14</f>
        <v>400.14</v>
      </c>
      <c r="U20" s="3"/>
      <c r="V20" s="20"/>
      <c r="W20" s="3"/>
      <c r="X20" s="3">
        <f t="shared" si="2"/>
        <v>-400.14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--16.37</f>
        <v>16.37</v>
      </c>
      <c r="I21" s="3"/>
      <c r="J21" s="20"/>
      <c r="K21" s="3"/>
      <c r="L21" s="3">
        <f t="shared" si="0"/>
        <v>-16.37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--464.75</f>
        <v>464.75</v>
      </c>
      <c r="U21" s="3"/>
      <c r="V21" s="20"/>
      <c r="W21" s="3"/>
      <c r="X21" s="3">
        <f t="shared" si="2"/>
        <v>-464.75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--3028</f>
        <v>3028</v>
      </c>
      <c r="I22" s="3"/>
      <c r="J22" s="20"/>
      <c r="K22" s="3"/>
      <c r="L22" s="3">
        <f t="shared" si="0"/>
        <v>-3028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--57512.32</f>
        <v>57512.32</v>
      </c>
      <c r="U22" s="3"/>
      <c r="V22" s="20"/>
      <c r="W22" s="3"/>
      <c r="X22" s="3">
        <f t="shared" si="2"/>
        <v>-57512.32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--3372.76</f>
        <v>3372.76</v>
      </c>
      <c r="I23" s="3"/>
      <c r="J23" s="20"/>
      <c r="K23" s="3"/>
      <c r="L23" s="3">
        <f t="shared" si="0"/>
        <v>-3372.76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--44249.38</f>
        <v>44249.38</v>
      </c>
      <c r="U23" s="3"/>
      <c r="V23" s="20"/>
      <c r="W23" s="3"/>
      <c r="X23" s="3">
        <f t="shared" si="2"/>
        <v>-44249.38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--434.03</f>
        <v>434.03</v>
      </c>
      <c r="I24" s="3"/>
      <c r="J24" s="20"/>
      <c r="K24" s="3"/>
      <c r="L24" s="3">
        <f t="shared" si="0"/>
        <v>-434.03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--3614.87</f>
        <v>3614.87</v>
      </c>
      <c r="U24" s="3"/>
      <c r="V24" s="20"/>
      <c r="W24" s="3"/>
      <c r="X24" s="3">
        <f t="shared" si="2"/>
        <v>-3614.87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--82653.17</f>
        <v>82653.17</v>
      </c>
      <c r="I26" s="3"/>
      <c r="J26" s="20"/>
      <c r="K26" s="3"/>
      <c r="L26" s="3">
        <f t="shared" si="0"/>
        <v>-82653.17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--754001.15</f>
        <v>754001.15</v>
      </c>
      <c r="U26" s="3"/>
      <c r="V26" s="20"/>
      <c r="W26" s="3"/>
      <c r="X26" s="3">
        <f t="shared" si="2"/>
        <v>-754001.15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--47817.47</f>
        <v>47817.47</v>
      </c>
      <c r="I27" s="3"/>
      <c r="J27" s="20"/>
      <c r="K27" s="3"/>
      <c r="L27" s="3">
        <f t="shared" si="0"/>
        <v>-47817.47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--324016.78</f>
        <v>324016.78000000003</v>
      </c>
      <c r="U27" s="3"/>
      <c r="V27" s="20"/>
      <c r="W27" s="3"/>
      <c r="X27" s="3">
        <f t="shared" si="2"/>
        <v>-324016.78000000003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--11053.28</f>
        <v>11053.28</v>
      </c>
      <c r="I28" s="3"/>
      <c r="J28" s="20"/>
      <c r="K28" s="3"/>
      <c r="L28" s="3">
        <f t="shared" si="0"/>
        <v>-11053.28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--90048.2</f>
        <v>90048.2</v>
      </c>
      <c r="U28" s="3"/>
      <c r="V28" s="20"/>
      <c r="W28" s="3"/>
      <c r="X28" s="3">
        <f t="shared" si="2"/>
        <v>-90048.2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--8285.51</f>
        <v>8285.51</v>
      </c>
      <c r="I29" s="3"/>
      <c r="J29" s="20"/>
      <c r="K29" s="3"/>
      <c r="L29" s="3">
        <f t="shared" si="0"/>
        <v>-8285.51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--132436.17</f>
        <v>132436.17000000001</v>
      </c>
      <c r="U29" s="3"/>
      <c r="V29" s="20"/>
      <c r="W29" s="3"/>
      <c r="X29" s="3">
        <f t="shared" si="2"/>
        <v>-132436.17000000001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--1774.45</f>
        <v>1774.45</v>
      </c>
      <c r="I30" s="3"/>
      <c r="J30" s="20"/>
      <c r="K30" s="3"/>
      <c r="L30" s="3">
        <f t="shared" si="0"/>
        <v>-1774.45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--31346.85</f>
        <v>31346.85</v>
      </c>
      <c r="U30" s="3"/>
      <c r="V30" s="20"/>
      <c r="W30" s="3"/>
      <c r="X30" s="3">
        <f t="shared" si="2"/>
        <v>-31346.85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--8707.87</f>
        <v>8707.8700000000008</v>
      </c>
      <c r="I31" s="3"/>
      <c r="J31" s="20"/>
      <c r="K31" s="3"/>
      <c r="L31" s="3">
        <f t="shared" si="0"/>
        <v>-8707.8700000000008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--144197.44</f>
        <v>144197.44</v>
      </c>
      <c r="U31" s="3"/>
      <c r="V31" s="20"/>
      <c r="W31" s="3"/>
      <c r="X31" s="3">
        <f t="shared" si="2"/>
        <v>-144197.44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--1204.4</f>
        <v>1204.4000000000001</v>
      </c>
      <c r="I32" s="3"/>
      <c r="J32" s="20"/>
      <c r="K32" s="3"/>
      <c r="L32" s="3">
        <f t="shared" si="0"/>
        <v>-1204.4000000000001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--60539.2</f>
        <v>60539.199999999997</v>
      </c>
      <c r="U32" s="3"/>
      <c r="V32" s="20"/>
      <c r="W32" s="3"/>
      <c r="X32" s="3">
        <f t="shared" si="2"/>
        <v>-60539.199999999997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","4082"," - ","TAXABLE SALES-COMPUTER HARDWAR")</f>
        <v xml:space="preserve">          4082 - TAXABLE SALES-COMPUTER HARDWAR</v>
      </c>
      <c r="C33" s="12"/>
      <c r="D33" s="3">
        <f>0</f>
        <v>0</v>
      </c>
      <c r="E33" s="3"/>
      <c r="F33" s="20"/>
      <c r="G33" s="3"/>
      <c r="H33" s="3">
        <f>--407027.89</f>
        <v>407027.89</v>
      </c>
      <c r="I33" s="3"/>
      <c r="J33" s="20"/>
      <c r="K33" s="3"/>
      <c r="L33" s="3">
        <f t="shared" si="0"/>
        <v>-407027.89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--1657866.36</f>
        <v>1657866.36</v>
      </c>
      <c r="U33" s="3"/>
      <c r="V33" s="20"/>
      <c r="W33" s="3"/>
      <c r="X33" s="3">
        <f t="shared" si="2"/>
        <v>-1657866.36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","4083"," - ","TAXABLE SALES-COMPUTER EQUIPME")</f>
        <v xml:space="preserve">          4083 - TAXABLE SALES-COMPUTER EQUIPME</v>
      </c>
      <c r="C34" s="12"/>
      <c r="D34" s="3">
        <f>0</f>
        <v>0</v>
      </c>
      <c r="E34" s="3"/>
      <c r="F34" s="20"/>
      <c r="G34" s="3"/>
      <c r="H34" s="3">
        <f>--22860.44</f>
        <v>22860.44</v>
      </c>
      <c r="I34" s="3"/>
      <c r="J34" s="20"/>
      <c r="K34" s="3"/>
      <c r="L34" s="3">
        <f t="shared" si="0"/>
        <v>-22860.44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--119669.26</f>
        <v>119669.26</v>
      </c>
      <c r="U34" s="3"/>
      <c r="V34" s="20"/>
      <c r="W34" s="3"/>
      <c r="X34" s="3">
        <f t="shared" si="2"/>
        <v>-119669.26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","4085"," - ","TAXABLE SALES-SOFTWARE")</f>
        <v xml:space="preserve">          4085 - TAXABLE SALES-SOFTWARE</v>
      </c>
      <c r="C35" s="12"/>
      <c r="D35" s="3">
        <f>0</f>
        <v>0</v>
      </c>
      <c r="E35" s="3"/>
      <c r="F35" s="20"/>
      <c r="G35" s="3"/>
      <c r="H35" s="3">
        <f>--219.98</f>
        <v>219.98</v>
      </c>
      <c r="I35" s="3"/>
      <c r="J35" s="20"/>
      <c r="K35" s="3"/>
      <c r="L35" s="3">
        <f t="shared" si="0"/>
        <v>-219.98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--3098.91</f>
        <v>3098.91</v>
      </c>
      <c r="U35" s="3"/>
      <c r="V35" s="20"/>
      <c r="W35" s="3"/>
      <c r="X35" s="3">
        <f t="shared" si="2"/>
        <v>-3098.91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","4086"," - ","TAXABLE SALES-COMPUTER SUPPLIE")</f>
        <v xml:space="preserve">          4086 - TAXABLE SALES-COMPUTER SUPPLIE</v>
      </c>
      <c r="C36" s="12"/>
      <c r="D36" s="3">
        <f>0</f>
        <v>0</v>
      </c>
      <c r="E36" s="3"/>
      <c r="F36" s="20"/>
      <c r="G36" s="3"/>
      <c r="H36" s="3">
        <f>--503.73</f>
        <v>503.73</v>
      </c>
      <c r="I36" s="3"/>
      <c r="J36" s="20"/>
      <c r="K36" s="3"/>
      <c r="L36" s="3">
        <f t="shared" si="0"/>
        <v>-503.73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--59450.9</f>
        <v>59450.9</v>
      </c>
      <c r="U36" s="3"/>
      <c r="V36" s="20"/>
      <c r="W36" s="3"/>
      <c r="X36" s="3">
        <f t="shared" si="2"/>
        <v>-59450.9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--775.28</f>
        <v>775.28</v>
      </c>
      <c r="I37" s="3"/>
      <c r="J37" s="20"/>
      <c r="K37" s="3"/>
      <c r="L37" s="3">
        <f t="shared" si="0"/>
        <v>-775.28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--915.13</f>
        <v>915.13</v>
      </c>
      <c r="U37" s="3"/>
      <c r="V37" s="20"/>
      <c r="W37" s="3"/>
      <c r="X37" s="3">
        <f t="shared" si="2"/>
        <v>-915.13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--177551.92</f>
        <v>177551.92</v>
      </c>
      <c r="E38" s="3"/>
      <c r="F38" s="20"/>
      <c r="G38" s="3"/>
      <c r="H38" s="3">
        <f>--2050.54</f>
        <v>2050.54</v>
      </c>
      <c r="I38" s="3"/>
      <c r="J38" s="20"/>
      <c r="K38" s="3"/>
      <c r="L38" s="3">
        <f t="shared" si="0"/>
        <v>175501.38</v>
      </c>
      <c r="M38" s="3"/>
      <c r="N38" s="20">
        <f t="shared" si="1"/>
        <v>85.587884167097457</v>
      </c>
      <c r="O38" s="12"/>
      <c r="P38" s="3">
        <f>--1674959.45</f>
        <v>1674959.45</v>
      </c>
      <c r="Q38" s="3"/>
      <c r="R38" s="20"/>
      <c r="S38" s="3"/>
      <c r="T38" s="3">
        <f>--286224.1</f>
        <v>286224.09999999998</v>
      </c>
      <c r="U38" s="3"/>
      <c r="V38" s="20"/>
      <c r="W38" s="3"/>
      <c r="X38" s="3">
        <f t="shared" si="2"/>
        <v>1388735.35</v>
      </c>
      <c r="Y38" s="3"/>
      <c r="Z38" s="20">
        <f t="shared" si="3"/>
        <v>4.8519162083136962</v>
      </c>
    </row>
    <row r="39" spans="1:26" s="69" customFormat="1" ht="15" hidden="1" customHeight="1" outlineLevel="1" x14ac:dyDescent="0.3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--1044.17</f>
        <v>1044.17</v>
      </c>
      <c r="I39" s="3"/>
      <c r="J39" s="20"/>
      <c r="K39" s="3"/>
      <c r="L39" s="3">
        <f t="shared" si="0"/>
        <v>-1044.17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--112055.71</f>
        <v>112055.71</v>
      </c>
      <c r="U39" s="3"/>
      <c r="V39" s="20"/>
      <c r="W39" s="3"/>
      <c r="X39" s="3">
        <f t="shared" si="2"/>
        <v>-112055.71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--1572.06</f>
        <v>1572.06</v>
      </c>
      <c r="I40" s="3"/>
      <c r="J40" s="20"/>
      <c r="K40" s="3"/>
      <c r="L40" s="3">
        <f t="shared" si="0"/>
        <v>-1572.06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--47959.43</f>
        <v>47959.43</v>
      </c>
      <c r="U40" s="3"/>
      <c r="V40" s="20"/>
      <c r="W40" s="3"/>
      <c r="X40" s="3">
        <f t="shared" si="2"/>
        <v>-47959.43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--1097.13</f>
        <v>1097.1300000000001</v>
      </c>
      <c r="I42" s="3"/>
      <c r="J42" s="20"/>
      <c r="K42" s="3"/>
      <c r="L42" s="3">
        <f t="shared" si="0"/>
        <v>-1097.1300000000001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--476971.18</f>
        <v>476971.18</v>
      </c>
      <c r="U42" s="3"/>
      <c r="V42" s="20"/>
      <c r="W42" s="3"/>
      <c r="X42" s="3">
        <f t="shared" si="2"/>
        <v>-476971.18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--1250</f>
        <v>1250</v>
      </c>
      <c r="I43" s="3"/>
      <c r="J43" s="20"/>
      <c r="K43" s="3"/>
      <c r="L43" s="3">
        <f t="shared" si="0"/>
        <v>-1250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--11389.25</f>
        <v>11389.25</v>
      </c>
      <c r="U43" s="3"/>
      <c r="V43" s="20"/>
      <c r="W43" s="3"/>
      <c r="X43" s="3">
        <f t="shared" si="2"/>
        <v>-11389.25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--389.95</f>
        <v>389.95</v>
      </c>
      <c r="I46" s="3"/>
      <c r="J46" s="20"/>
      <c r="K46" s="3"/>
      <c r="L46" s="3">
        <f t="shared" si="4"/>
        <v>-389.95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--6607.31</f>
        <v>6607.31</v>
      </c>
      <c r="U46" s="3"/>
      <c r="V46" s="20"/>
      <c r="W46" s="3"/>
      <c r="X46" s="3">
        <f t="shared" si="6"/>
        <v>-6607.31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--38.58</f>
        <v>38.58</v>
      </c>
      <c r="U47" s="3"/>
      <c r="V47" s="20"/>
      <c r="W47" s="3"/>
      <c r="X47" s="3">
        <f t="shared" si="6"/>
        <v>-38.58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--829.28</f>
        <v>829.28</v>
      </c>
      <c r="I48" s="3"/>
      <c r="J48" s="20"/>
      <c r="K48" s="3"/>
      <c r="L48" s="3">
        <f t="shared" si="4"/>
        <v>-829.28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--10404.43</f>
        <v>10404.43</v>
      </c>
      <c r="U48" s="3"/>
      <c r="V48" s="20"/>
      <c r="W48" s="3"/>
      <c r="X48" s="3">
        <f t="shared" si="6"/>
        <v>-10404.43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--22.49</f>
        <v>22.49</v>
      </c>
      <c r="U49" s="3"/>
      <c r="V49" s="20"/>
      <c r="W49" s="3"/>
      <c r="X49" s="3">
        <f t="shared" si="6"/>
        <v>-22.49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--16626.41</f>
        <v>16626.41</v>
      </c>
      <c r="I53" s="3"/>
      <c r="J53" s="20"/>
      <c r="K53" s="3"/>
      <c r="L53" s="3">
        <f t="shared" si="4"/>
        <v>-16626.41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--131751.69</f>
        <v>131751.69</v>
      </c>
      <c r="U53" s="3"/>
      <c r="V53" s="20"/>
      <c r="W53" s="3"/>
      <c r="X53" s="3">
        <f t="shared" si="6"/>
        <v>-131751.69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--1055.22</f>
        <v>1055.22</v>
      </c>
      <c r="I54" s="3"/>
      <c r="J54" s="20"/>
      <c r="K54" s="3"/>
      <c r="L54" s="3">
        <f t="shared" si="4"/>
        <v>-1055.22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--9568.24</f>
        <v>9568.24</v>
      </c>
      <c r="U54" s="3"/>
      <c r="V54" s="20"/>
      <c r="W54" s="3"/>
      <c r="X54" s="3">
        <f t="shared" si="6"/>
        <v>-9568.24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--16.9</f>
        <v>16.899999999999999</v>
      </c>
      <c r="I55" s="3"/>
      <c r="J55" s="20"/>
      <c r="K55" s="3"/>
      <c r="L55" s="3">
        <f t="shared" si="4"/>
        <v>-16.899999999999999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--2281.37</f>
        <v>2281.37</v>
      </c>
      <c r="U55" s="3"/>
      <c r="V55" s="20"/>
      <c r="W55" s="3"/>
      <c r="X55" s="3">
        <f t="shared" si="6"/>
        <v>-2281.37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--261.82</f>
        <v>261.82</v>
      </c>
      <c r="I56" s="3"/>
      <c r="J56" s="20"/>
      <c r="K56" s="3"/>
      <c r="L56" s="3">
        <f t="shared" si="4"/>
        <v>-261.82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--2381.48</f>
        <v>2381.48</v>
      </c>
      <c r="U56" s="3"/>
      <c r="V56" s="20"/>
      <c r="W56" s="3"/>
      <c r="X56" s="3">
        <f t="shared" si="6"/>
        <v>-2381.48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--29.9</f>
        <v>29.9</v>
      </c>
      <c r="I57" s="3"/>
      <c r="J57" s="20"/>
      <c r="K57" s="3"/>
      <c r="L57" s="3">
        <f t="shared" si="4"/>
        <v>-29.9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--679.25</f>
        <v>679.25</v>
      </c>
      <c r="U57" s="3"/>
      <c r="V57" s="20"/>
      <c r="W57" s="3"/>
      <c r="X57" s="3">
        <f t="shared" si="6"/>
        <v>-679.25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--53716.09</f>
        <v>53716.09</v>
      </c>
      <c r="U58" s="3"/>
      <c r="V58" s="20"/>
      <c r="W58" s="3"/>
      <c r="X58" s="3">
        <f t="shared" si="6"/>
        <v>-53716.09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--90.7</f>
        <v>90.7</v>
      </c>
      <c r="I59" s="3"/>
      <c r="J59" s="20"/>
      <c r="K59" s="3"/>
      <c r="L59" s="3">
        <f t="shared" si="4"/>
        <v>-90.7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--299.1</f>
        <v>299.10000000000002</v>
      </c>
      <c r="U59" s="3"/>
      <c r="V59" s="20"/>
      <c r="W59" s="3"/>
      <c r="X59" s="3">
        <f t="shared" si="6"/>
        <v>-299.10000000000002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--11</f>
        <v>11</v>
      </c>
      <c r="I60" s="3"/>
      <c r="J60" s="20"/>
      <c r="K60" s="3"/>
      <c r="L60" s="3">
        <f t="shared" si="4"/>
        <v>-11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--143.5</f>
        <v>143.5</v>
      </c>
      <c r="U60" s="3"/>
      <c r="V60" s="20"/>
      <c r="W60" s="3"/>
      <c r="X60" s="3">
        <f t="shared" si="6"/>
        <v>-143.5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","4181"," - ","NON-TAXABLE SALES-ELECTRONICS")</f>
        <v xml:space="preserve">          4181 - NON-TAXABLE SALES-ELECTRONICS</v>
      </c>
      <c r="C61" s="12"/>
      <c r="D61" s="3">
        <f>0</f>
        <v>0</v>
      </c>
      <c r="E61" s="3"/>
      <c r="F61" s="20"/>
      <c r="G61" s="3"/>
      <c r="H61" s="3">
        <f>--285.97</f>
        <v>285.97000000000003</v>
      </c>
      <c r="I61" s="3"/>
      <c r="J61" s="20"/>
      <c r="K61" s="3"/>
      <c r="L61" s="3">
        <f t="shared" si="4"/>
        <v>-285.97000000000003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--12478.63</f>
        <v>12478.63</v>
      </c>
      <c r="U61" s="3"/>
      <c r="V61" s="20"/>
      <c r="W61" s="3"/>
      <c r="X61" s="3">
        <f t="shared" si="6"/>
        <v>-12478.63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","4182"," - ","NON-TAXABLE SALES-COMPUTER HAR")</f>
        <v xml:space="preserve">          4182 - NON-TAXABLE SALES-COMPUTER HAR</v>
      </c>
      <c r="C62" s="12"/>
      <c r="D62" s="3">
        <f>0</f>
        <v>0</v>
      </c>
      <c r="E62" s="3"/>
      <c r="F62" s="20"/>
      <c r="G62" s="3"/>
      <c r="H62" s="3">
        <f>--33767.84</f>
        <v>33767.839999999997</v>
      </c>
      <c r="I62" s="3"/>
      <c r="J62" s="20"/>
      <c r="K62" s="3"/>
      <c r="L62" s="3">
        <f t="shared" si="4"/>
        <v>-33767.839999999997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--253414.83</f>
        <v>253414.83</v>
      </c>
      <c r="U62" s="3"/>
      <c r="V62" s="20"/>
      <c r="W62" s="3"/>
      <c r="X62" s="3">
        <f t="shared" si="6"/>
        <v>-253414.83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","4183"," - ","NON-TAXABLE SALES-COMPUTER EQU")</f>
        <v xml:space="preserve">          4183 - NON-TAXABLE SALES-COMPUTER EQU</v>
      </c>
      <c r="C63" s="12"/>
      <c r="D63" s="3">
        <f>0</f>
        <v>0</v>
      </c>
      <c r="E63" s="3"/>
      <c r="F63" s="20"/>
      <c r="G63" s="3"/>
      <c r="H63" s="3">
        <f>--2983.61</f>
        <v>2983.61</v>
      </c>
      <c r="I63" s="3"/>
      <c r="J63" s="20"/>
      <c r="K63" s="3"/>
      <c r="L63" s="3">
        <f t="shared" si="4"/>
        <v>-2983.61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--16606.43</f>
        <v>16606.43</v>
      </c>
      <c r="U63" s="3"/>
      <c r="V63" s="20"/>
      <c r="W63" s="3"/>
      <c r="X63" s="3">
        <f t="shared" si="6"/>
        <v>-16606.43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","4185"," - ","NON-TAXABLE SALES-SOFTWARE")</f>
        <v xml:space="preserve">          4185 - NON-TAXABLE SALES-SOFTWARE</v>
      </c>
      <c r="C64" s="12"/>
      <c r="D64" s="3">
        <f>0</f>
        <v>0</v>
      </c>
      <c r="E64" s="3"/>
      <c r="F64" s="20"/>
      <c r="G64" s="3"/>
      <c r="H64" s="3">
        <f>--3559.59</f>
        <v>3559.59</v>
      </c>
      <c r="I64" s="3"/>
      <c r="J64" s="20"/>
      <c r="K64" s="3"/>
      <c r="L64" s="3">
        <f t="shared" si="4"/>
        <v>-3559.59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--38686.78</f>
        <v>38686.78</v>
      </c>
      <c r="U64" s="3"/>
      <c r="V64" s="20"/>
      <c r="W64" s="3"/>
      <c r="X64" s="3">
        <f t="shared" si="6"/>
        <v>-38686.78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","4186"," - ","NON-TAXABLE SALES-COMPUTER SUP")</f>
        <v xml:space="preserve">          4186 - NON-TAXABLE SALES-COMPUTER SUP</v>
      </c>
      <c r="C65" s="12"/>
      <c r="D65" s="3">
        <f>0</f>
        <v>0</v>
      </c>
      <c r="E65" s="3"/>
      <c r="F65" s="20"/>
      <c r="G65" s="3"/>
      <c r="H65" s="3">
        <f>--424.94</f>
        <v>424.94</v>
      </c>
      <c r="I65" s="3"/>
      <c r="J65" s="20"/>
      <c r="K65" s="3"/>
      <c r="L65" s="3">
        <f t="shared" si="4"/>
        <v>-424.94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--3255.2</f>
        <v>3255.2</v>
      </c>
      <c r="U65" s="3"/>
      <c r="V65" s="20"/>
      <c r="W65" s="3"/>
      <c r="X65" s="3">
        <f t="shared" si="6"/>
        <v>-3255.2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","4200"," - ","TAXABLE RETURNS")</f>
        <v xml:space="preserve">          4200 - TAXABLE RETURNS</v>
      </c>
      <c r="C66" s="12"/>
      <c r="D66" s="3">
        <f>-75345.79</f>
        <v>-75345.789999999994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-75345.789999999994</v>
      </c>
      <c r="M66" s="3"/>
      <c r="N66" s="20">
        <f t="shared" si="5"/>
        <v>0</v>
      </c>
      <c r="O66" s="12"/>
      <c r="P66" s="3">
        <f>-430918.22</f>
        <v>-430918.22</v>
      </c>
      <c r="Q66" s="3"/>
      <c r="R66" s="20"/>
      <c r="S66" s="3"/>
      <c r="T66" s="3">
        <f>0</f>
        <v>0</v>
      </c>
      <c r="U66" s="3"/>
      <c r="V66" s="20"/>
      <c r="W66" s="3"/>
      <c r="X66" s="3">
        <f t="shared" si="6"/>
        <v>-430918.22</v>
      </c>
      <c r="Y66" s="3"/>
      <c r="Z66" s="20">
        <f t="shared" si="7"/>
        <v>0</v>
      </c>
    </row>
    <row r="67" spans="1:26" s="69" customFormat="1" ht="15" hidden="1" customHeight="1" outlineLevel="1" x14ac:dyDescent="0.3">
      <c r="A67" s="42"/>
      <c r="B67" s="12" t="str">
        <f>CONCATENATE("          ","4201"," - ","SALES RETURN TAXABLE-NEW TEXT")</f>
        <v xml:space="preserve">          4201 - SALES RETURN TAXABLE-NEW TEXT</v>
      </c>
      <c r="C67" s="12"/>
      <c r="D67" s="3">
        <f>0</f>
        <v>0</v>
      </c>
      <c r="E67" s="3"/>
      <c r="F67" s="20"/>
      <c r="G67" s="3"/>
      <c r="H67" s="3">
        <f>-596.94</f>
        <v>-596.94000000000005</v>
      </c>
      <c r="I67" s="3"/>
      <c r="J67" s="20"/>
      <c r="K67" s="3"/>
      <c r="L67" s="3">
        <f t="shared" si="4"/>
        <v>596.94000000000005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-51261.17</f>
        <v>-51261.17</v>
      </c>
      <c r="U67" s="3"/>
      <c r="V67" s="20"/>
      <c r="W67" s="3"/>
      <c r="X67" s="3">
        <f t="shared" si="6"/>
        <v>51261.17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","4202"," - ","SALES RETURN TAXABLE-USED TEXT")</f>
        <v xml:space="preserve">          4202 - SALES RETURN TAXABLE-USED TEXT</v>
      </c>
      <c r="C68" s="12"/>
      <c r="D68" s="3">
        <f>0</f>
        <v>0</v>
      </c>
      <c r="E68" s="3"/>
      <c r="F68" s="20"/>
      <c r="G68" s="3"/>
      <c r="H68" s="3">
        <f>-153.8</f>
        <v>-153.80000000000001</v>
      </c>
      <c r="I68" s="3"/>
      <c r="J68" s="20"/>
      <c r="K68" s="3"/>
      <c r="L68" s="3">
        <f t="shared" si="4"/>
        <v>153.80000000000001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-19889.31</f>
        <v>-19889.310000000001</v>
      </c>
      <c r="U68" s="3"/>
      <c r="V68" s="20"/>
      <c r="W68" s="3"/>
      <c r="X68" s="3">
        <f t="shared" si="6"/>
        <v>19889.310000000001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","4204"," - ","SALES RETURN TAXABLE-DIGITAL T")</f>
        <v xml:space="preserve">          4204 - SALES RETURN TAXABLE-DIGITAL T</v>
      </c>
      <c r="C69" s="12"/>
      <c r="D69" s="3">
        <f>0</f>
        <v>0</v>
      </c>
      <c r="E69" s="3"/>
      <c r="F69" s="20"/>
      <c r="G69" s="3"/>
      <c r="H69" s="3">
        <f>0</f>
        <v>0</v>
      </c>
      <c r="I69" s="3"/>
      <c r="J69" s="20"/>
      <c r="K69" s="3"/>
      <c r="L69" s="3">
        <f t="shared" si="4"/>
        <v>0</v>
      </c>
      <c r="M69" s="3"/>
      <c r="N69" s="20">
        <f t="shared" si="5"/>
        <v>0</v>
      </c>
      <c r="O69" s="12"/>
      <c r="P69" s="3">
        <f>0</f>
        <v>0</v>
      </c>
      <c r="Q69" s="3"/>
      <c r="R69" s="20"/>
      <c r="S69" s="3"/>
      <c r="T69" s="3">
        <f>-1763.1</f>
        <v>-1763.1</v>
      </c>
      <c r="U69" s="3"/>
      <c r="V69" s="20"/>
      <c r="W69" s="3"/>
      <c r="X69" s="3">
        <f t="shared" si="6"/>
        <v>1763.1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","4213"," - ","NON-TAXABLE SALES-TRADE BOOKS")</f>
        <v xml:space="preserve">          4213 - NON-TAXABLE SALES-TRADE BOOKS</v>
      </c>
      <c r="C70" s="12"/>
      <c r="D70" s="3">
        <f>0</f>
        <v>0</v>
      </c>
      <c r="E70" s="3"/>
      <c r="F70" s="20"/>
      <c r="G70" s="3"/>
      <c r="H70" s="3">
        <f>0</f>
        <v>0</v>
      </c>
      <c r="I70" s="3"/>
      <c r="J70" s="20"/>
      <c r="K70" s="3"/>
      <c r="L70" s="3">
        <f t="shared" si="4"/>
        <v>0</v>
      </c>
      <c r="M70" s="3"/>
      <c r="N70" s="20">
        <f t="shared" si="5"/>
        <v>0</v>
      </c>
      <c r="O70" s="12"/>
      <c r="P70" s="3">
        <f>0</f>
        <v>0</v>
      </c>
      <c r="Q70" s="3"/>
      <c r="R70" s="20"/>
      <c r="S70" s="3"/>
      <c r="T70" s="3">
        <f>-69.93</f>
        <v>-69.930000000000007</v>
      </c>
      <c r="U70" s="3"/>
      <c r="V70" s="20"/>
      <c r="W70" s="3"/>
      <c r="X70" s="3">
        <f t="shared" si="6"/>
        <v>69.930000000000007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","4218"," - ","SALES RETURN TAXABLE-STUDY GUI")</f>
        <v xml:space="preserve">          4218 - SALES RETURN TAXABLE-STUDY GUI</v>
      </c>
      <c r="C71" s="12"/>
      <c r="D71" s="3">
        <f>0</f>
        <v>0</v>
      </c>
      <c r="E71" s="3"/>
      <c r="F71" s="20"/>
      <c r="G71" s="3"/>
      <c r="H71" s="3">
        <f>-5.21</f>
        <v>-5.21</v>
      </c>
      <c r="I71" s="3"/>
      <c r="J71" s="20"/>
      <c r="K71" s="3"/>
      <c r="L71" s="3">
        <f t="shared" si="4"/>
        <v>5.21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-5.21</f>
        <v>-5.21</v>
      </c>
      <c r="U71" s="3"/>
      <c r="V71" s="20"/>
      <c r="W71" s="3"/>
      <c r="X71" s="3">
        <f t="shared" si="6"/>
        <v>5.21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","4226"," - ","SALES RETURN TAXABLE-WRITING I")</f>
        <v xml:space="preserve">          4226 - SALES RETURN TAXABLE-WRITING I</v>
      </c>
      <c r="C72" s="12"/>
      <c r="D72" s="3">
        <f>0</f>
        <v>0</v>
      </c>
      <c r="E72" s="3"/>
      <c r="F72" s="20"/>
      <c r="G72" s="3"/>
      <c r="H72" s="3">
        <f>0</f>
        <v>0</v>
      </c>
      <c r="I72" s="3"/>
      <c r="J72" s="20"/>
      <c r="K72" s="3"/>
      <c r="L72" s="3">
        <f t="shared" si="4"/>
        <v>0</v>
      </c>
      <c r="M72" s="3"/>
      <c r="N72" s="20">
        <f t="shared" si="5"/>
        <v>0</v>
      </c>
      <c r="O72" s="12"/>
      <c r="P72" s="3">
        <f>0</f>
        <v>0</v>
      </c>
      <c r="Q72" s="3"/>
      <c r="R72" s="20"/>
      <c r="S72" s="3"/>
      <c r="T72" s="3">
        <f>-34.23</f>
        <v>-34.229999999999997</v>
      </c>
      <c r="U72" s="3"/>
      <c r="V72" s="20"/>
      <c r="W72" s="3"/>
      <c r="X72" s="3">
        <f t="shared" si="6"/>
        <v>34.229999999999997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","4227"," - ","SALES RETURN TAXABLE-SCHOOL SU")</f>
        <v xml:space="preserve">          4227 - SALES RETURN TAXABLE-SCHOOL SU</v>
      </c>
      <c r="C73" s="12"/>
      <c r="D73" s="3">
        <f>0</f>
        <v>0</v>
      </c>
      <c r="E73" s="3"/>
      <c r="F73" s="20"/>
      <c r="G73" s="3"/>
      <c r="H73" s="3">
        <f>-64.39</f>
        <v>-64.39</v>
      </c>
      <c r="I73" s="3"/>
      <c r="J73" s="20"/>
      <c r="K73" s="3"/>
      <c r="L73" s="3">
        <f t="shared" si="4"/>
        <v>64.39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-846.12</f>
        <v>-846.12</v>
      </c>
      <c r="U73" s="3"/>
      <c r="V73" s="20"/>
      <c r="W73" s="3"/>
      <c r="X73" s="3">
        <f t="shared" si="6"/>
        <v>846.12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","4228"," - ","SALES RETURN TAXABLE-ART/TECH")</f>
        <v xml:space="preserve">          4228 - SALES RETURN TAXABLE-ART/TECH</v>
      </c>
      <c r="C74" s="12"/>
      <c r="D74" s="3">
        <f>0</f>
        <v>0</v>
      </c>
      <c r="E74" s="3"/>
      <c r="F74" s="20"/>
      <c r="G74" s="3"/>
      <c r="H74" s="3">
        <f>-98.38</f>
        <v>-98.38</v>
      </c>
      <c r="I74" s="3"/>
      <c r="J74" s="20"/>
      <c r="K74" s="3"/>
      <c r="L74" s="3">
        <f t="shared" si="4"/>
        <v>98.38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-12837.62</f>
        <v>-12837.62</v>
      </c>
      <c r="U74" s="3"/>
      <c r="V74" s="20"/>
      <c r="W74" s="3"/>
      <c r="X74" s="3">
        <f t="shared" si="6"/>
        <v>12837.62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","4240"," - ","SALES RETURN TAXABLE-LOGO CLOT")</f>
        <v xml:space="preserve">          4240 - SALES RETURN TAXABLE-LOGO CLOT</v>
      </c>
      <c r="C75" s="12"/>
      <c r="D75" s="3">
        <f>0</f>
        <v>0</v>
      </c>
      <c r="E75" s="3"/>
      <c r="F75" s="20"/>
      <c r="G75" s="3"/>
      <c r="H75" s="3">
        <f>-3924.84</f>
        <v>-3924.84</v>
      </c>
      <c r="I75" s="3"/>
      <c r="J75" s="20"/>
      <c r="K75" s="3"/>
      <c r="L75" s="3">
        <f t="shared" si="4"/>
        <v>3924.84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-35054.35</f>
        <v>-35054.35</v>
      </c>
      <c r="U75" s="3"/>
      <c r="V75" s="20"/>
      <c r="W75" s="3"/>
      <c r="X75" s="3">
        <f t="shared" si="6"/>
        <v>35054.35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","4241"," - ","SALES RETURN TAXABLE-LOGO GIFT")</f>
        <v xml:space="preserve">          4241 - SALES RETURN TAXABLE-LOGO GIFT</v>
      </c>
      <c r="C76" s="12"/>
      <c r="D76" s="3">
        <f>0</f>
        <v>0</v>
      </c>
      <c r="E76" s="3"/>
      <c r="F76" s="20"/>
      <c r="G76" s="3"/>
      <c r="H76" s="3">
        <f>-1222.82</f>
        <v>-1222.82</v>
      </c>
      <c r="I76" s="3"/>
      <c r="J76" s="20"/>
      <c r="K76" s="3"/>
      <c r="L76" s="3">
        <f t="shared" ref="L76:L94" si="8">+D76-H76</f>
        <v>1222.82</v>
      </c>
      <c r="M76" s="3"/>
      <c r="N76" s="20">
        <f t="shared" ref="N76:N94" si="9">IF(H76=0,0,L76/H76)</f>
        <v>-1</v>
      </c>
      <c r="O76" s="12"/>
      <c r="P76" s="3">
        <f>0</f>
        <v>0</v>
      </c>
      <c r="Q76" s="3"/>
      <c r="R76" s="20"/>
      <c r="S76" s="3"/>
      <c r="T76" s="3">
        <f>-6518.34</f>
        <v>-6518.34</v>
      </c>
      <c r="U76" s="3"/>
      <c r="V76" s="20"/>
      <c r="W76" s="3"/>
      <c r="X76" s="3">
        <f t="shared" ref="X76:X94" si="10">+P76-T76</f>
        <v>6518.34</v>
      </c>
      <c r="Y76" s="3"/>
      <c r="Z76" s="20">
        <f t="shared" ref="Z76:Z94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","4242"," - ","SALES RETURN TAXABLE-EVERYDAY")</f>
        <v xml:space="preserve">          4242 - SALES RETURN TAXABLE-EVERYDAY</v>
      </c>
      <c r="C77" s="12"/>
      <c r="D77" s="3">
        <f>0</f>
        <v>0</v>
      </c>
      <c r="E77" s="3"/>
      <c r="F77" s="20"/>
      <c r="G77" s="3"/>
      <c r="H77" s="3">
        <f>-565.08</f>
        <v>-565.08000000000004</v>
      </c>
      <c r="I77" s="3"/>
      <c r="J77" s="20"/>
      <c r="K77" s="3"/>
      <c r="L77" s="3">
        <f t="shared" si="8"/>
        <v>565.08000000000004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-2303.82</f>
        <v>-2303.8200000000002</v>
      </c>
      <c r="U77" s="3"/>
      <c r="V77" s="20"/>
      <c r="W77" s="3"/>
      <c r="X77" s="3">
        <f t="shared" si="10"/>
        <v>2303.8200000000002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","4243"," - ","SALES RETURN TAXABLE-CARDS")</f>
        <v xml:space="preserve">          4243 - SALES RETURN TAXABLE-CARDS</v>
      </c>
      <c r="C78" s="12"/>
      <c r="D78" s="3">
        <f>0</f>
        <v>0</v>
      </c>
      <c r="E78" s="3"/>
      <c r="F78" s="20"/>
      <c r="G78" s="3"/>
      <c r="H78" s="3">
        <f>-572.63</f>
        <v>-572.63</v>
      </c>
      <c r="I78" s="3"/>
      <c r="J78" s="20"/>
      <c r="K78" s="3"/>
      <c r="L78" s="3">
        <f t="shared" si="8"/>
        <v>572.63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-5942.23</f>
        <v>-5942.23</v>
      </c>
      <c r="U78" s="3"/>
      <c r="V78" s="20"/>
      <c r="W78" s="3"/>
      <c r="X78" s="3">
        <f t="shared" si="10"/>
        <v>5942.23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","4244"," - ","SALES RETURN TAXABLE-ACCESSORI")</f>
        <v xml:space="preserve">          4244 - SALES RETURN TAXABLE-ACCESSORI</v>
      </c>
      <c r="C79" s="12"/>
      <c r="D79" s="3">
        <f>0</f>
        <v>0</v>
      </c>
      <c r="E79" s="3"/>
      <c r="F79" s="20"/>
      <c r="G79" s="3"/>
      <c r="H79" s="3">
        <f>-240.42</f>
        <v>-240.42</v>
      </c>
      <c r="I79" s="3"/>
      <c r="J79" s="20"/>
      <c r="K79" s="3"/>
      <c r="L79" s="3">
        <f t="shared" si="8"/>
        <v>240.42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-1235.26</f>
        <v>-1235.26</v>
      </c>
      <c r="U79" s="3"/>
      <c r="V79" s="20"/>
      <c r="W79" s="3"/>
      <c r="X79" s="3">
        <f t="shared" si="10"/>
        <v>1235.26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","4245"," - ","SALES RETURN TAXABLE-SPECIAL O")</f>
        <v xml:space="preserve">          4245 - SALES RETURN TAXABLE-SPECIAL O</v>
      </c>
      <c r="C80" s="12"/>
      <c r="D80" s="3">
        <f>0</f>
        <v>0</v>
      </c>
      <c r="E80" s="3"/>
      <c r="F80" s="20"/>
      <c r="G80" s="3"/>
      <c r="H80" s="3">
        <f>0</f>
        <v>0</v>
      </c>
      <c r="I80" s="3"/>
      <c r="J80" s="20"/>
      <c r="K80" s="3"/>
      <c r="L80" s="3">
        <f t="shared" si="8"/>
        <v>0</v>
      </c>
      <c r="M80" s="3"/>
      <c r="N80" s="20">
        <f t="shared" si="9"/>
        <v>0</v>
      </c>
      <c r="O80" s="12"/>
      <c r="P80" s="3">
        <f>0</f>
        <v>0</v>
      </c>
      <c r="Q80" s="3"/>
      <c r="R80" s="20"/>
      <c r="S80" s="3"/>
      <c r="T80" s="3">
        <f>-11353.59</f>
        <v>-11353.59</v>
      </c>
      <c r="U80" s="3"/>
      <c r="V80" s="20"/>
      <c r="W80" s="3"/>
      <c r="X80" s="3">
        <f t="shared" si="10"/>
        <v>11353.59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","4281"," - ","SALES RETURN TAXABLE-ELECTRONI")</f>
        <v xml:space="preserve">          4281 - SALES RETURN TAXABLE-ELECTRONI</v>
      </c>
      <c r="C81" s="12"/>
      <c r="D81" s="3">
        <f>0</f>
        <v>0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0</v>
      </c>
      <c r="M81" s="3"/>
      <c r="N81" s="20">
        <f t="shared" si="9"/>
        <v>0</v>
      </c>
      <c r="O81" s="12"/>
      <c r="P81" s="3">
        <f>0</f>
        <v>0</v>
      </c>
      <c r="Q81" s="3"/>
      <c r="R81" s="20"/>
      <c r="S81" s="3"/>
      <c r="T81" s="3">
        <f>-14762.14</f>
        <v>-14762.14</v>
      </c>
      <c r="U81" s="3"/>
      <c r="V81" s="20"/>
      <c r="W81" s="3"/>
      <c r="X81" s="3">
        <f t="shared" si="10"/>
        <v>14762.14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","4282"," - ","SALES RETURN TAXABLE-COMPUTER")</f>
        <v xml:space="preserve">          4282 - SALES RETURN TAXABLE-COMPUTER</v>
      </c>
      <c r="C82" s="12"/>
      <c r="D82" s="3">
        <f>0</f>
        <v>0</v>
      </c>
      <c r="E82" s="3"/>
      <c r="F82" s="20"/>
      <c r="G82" s="3"/>
      <c r="H82" s="3">
        <f>-43137</f>
        <v>-43137</v>
      </c>
      <c r="I82" s="3"/>
      <c r="J82" s="20"/>
      <c r="K82" s="3"/>
      <c r="L82" s="3">
        <f t="shared" si="8"/>
        <v>43137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-172765.16</f>
        <v>-172765.16</v>
      </c>
      <c r="U82" s="3"/>
      <c r="V82" s="20"/>
      <c r="W82" s="3"/>
      <c r="X82" s="3">
        <f t="shared" si="10"/>
        <v>172765.16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","4283"," - ","SALES RETURN TAXABLE-COMPUTER")</f>
        <v xml:space="preserve">          4283 - SALES RETURN TAXABLE-COMPUTER</v>
      </c>
      <c r="C83" s="12"/>
      <c r="D83" s="3">
        <f>0</f>
        <v>0</v>
      </c>
      <c r="E83" s="3"/>
      <c r="F83" s="20"/>
      <c r="G83" s="3"/>
      <c r="H83" s="3">
        <f>-389.97</f>
        <v>-389.97</v>
      </c>
      <c r="I83" s="3"/>
      <c r="J83" s="20"/>
      <c r="K83" s="3"/>
      <c r="L83" s="3">
        <f t="shared" si="8"/>
        <v>389.97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-3749.25</f>
        <v>-3749.25</v>
      </c>
      <c r="U83" s="3"/>
      <c r="V83" s="20"/>
      <c r="W83" s="3"/>
      <c r="X83" s="3">
        <f t="shared" si="10"/>
        <v>3749.25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","4285"," - ","SALES RETURN TAXABLE-SOFTWARE")</f>
        <v xml:space="preserve">          4285 - SALES RETURN TAXABLE-SOFTWARE</v>
      </c>
      <c r="C84" s="12"/>
      <c r="D84" s="3">
        <f>0</f>
        <v>0</v>
      </c>
      <c r="E84" s="3"/>
      <c r="F84" s="20"/>
      <c r="G84" s="3"/>
      <c r="H84" s="3">
        <f>-149.99</f>
        <v>-149.99</v>
      </c>
      <c r="I84" s="3"/>
      <c r="J84" s="20"/>
      <c r="K84" s="3"/>
      <c r="L84" s="3">
        <f t="shared" si="8"/>
        <v>149.99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-991.96</f>
        <v>-991.96</v>
      </c>
      <c r="U84" s="3"/>
      <c r="V84" s="20"/>
      <c r="W84" s="3"/>
      <c r="X84" s="3">
        <f t="shared" si="10"/>
        <v>991.96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","4286"," - ","SALES RETURN TAXABLE-COMPUTER")</f>
        <v xml:space="preserve">          4286 - SALES RETURN TAXABLE-COMPUTER</v>
      </c>
      <c r="C85" s="12"/>
      <c r="D85" s="3">
        <f>0</f>
        <v>0</v>
      </c>
      <c r="E85" s="3"/>
      <c r="F85" s="20"/>
      <c r="G85" s="3"/>
      <c r="H85" s="3">
        <f>-39.98</f>
        <v>-39.979999999999997</v>
      </c>
      <c r="I85" s="3"/>
      <c r="J85" s="20"/>
      <c r="K85" s="3"/>
      <c r="L85" s="3">
        <f t="shared" si="8"/>
        <v>39.979999999999997</v>
      </c>
      <c r="M85" s="3"/>
      <c r="N85" s="20">
        <f t="shared" si="9"/>
        <v>-1</v>
      </c>
      <c r="O85" s="12"/>
      <c r="P85" s="3">
        <f>0</f>
        <v>0</v>
      </c>
      <c r="Q85" s="3"/>
      <c r="R85" s="20"/>
      <c r="S85" s="3"/>
      <c r="T85" s="3">
        <f>-4802.29</f>
        <v>-4802.29</v>
      </c>
      <c r="U85" s="3"/>
      <c r="V85" s="20"/>
      <c r="W85" s="3"/>
      <c r="X85" s="3">
        <f t="shared" si="10"/>
        <v>4802.29</v>
      </c>
      <c r="Y85" s="3"/>
      <c r="Z85" s="20">
        <f t="shared" si="11"/>
        <v>-1</v>
      </c>
    </row>
    <row r="86" spans="1:26" s="69" customFormat="1" ht="15" hidden="1" customHeight="1" outlineLevel="1" x14ac:dyDescent="0.3">
      <c r="A86" s="42"/>
      <c r="B86" s="12" t="str">
        <f>CONCATENATE("          ","4300"," - ","NON-TAX RETURNS")</f>
        <v xml:space="preserve">          4300 - NON-TAX RETURNS</v>
      </c>
      <c r="C86" s="12"/>
      <c r="D86" s="3">
        <f>0</f>
        <v>0</v>
      </c>
      <c r="E86" s="3"/>
      <c r="F86" s="20"/>
      <c r="G86" s="3"/>
      <c r="H86" s="3">
        <f>0</f>
        <v>0</v>
      </c>
      <c r="I86" s="3"/>
      <c r="J86" s="20"/>
      <c r="K86" s="3"/>
      <c r="L86" s="3">
        <f t="shared" si="8"/>
        <v>0</v>
      </c>
      <c r="M86" s="3"/>
      <c r="N86" s="20">
        <f t="shared" si="9"/>
        <v>0</v>
      </c>
      <c r="O86" s="12"/>
      <c r="P86" s="3">
        <f>-32361.72</f>
        <v>-32361.72</v>
      </c>
      <c r="Q86" s="3"/>
      <c r="R86" s="20"/>
      <c r="S86" s="3"/>
      <c r="T86" s="3">
        <f>0</f>
        <v>0</v>
      </c>
      <c r="U86" s="3"/>
      <c r="V86" s="20"/>
      <c r="W86" s="3"/>
      <c r="X86" s="3">
        <f t="shared" si="10"/>
        <v>-32361.72</v>
      </c>
      <c r="Y86" s="3"/>
      <c r="Z86" s="20">
        <f t="shared" si="11"/>
        <v>0</v>
      </c>
    </row>
    <row r="87" spans="1:26" s="69" customFormat="1" ht="15" hidden="1" customHeight="1" outlineLevel="1" x14ac:dyDescent="0.3">
      <c r="A87" s="42"/>
      <c r="B87" s="12" t="str">
        <f>CONCATENATE("          ","4301"," - ","SALES RETURN NON TAXABLE-NEW T")</f>
        <v xml:space="preserve">          4301 - SALES RETURN NON TAXABLE-NEW T</v>
      </c>
      <c r="C87" s="12"/>
      <c r="D87" s="3">
        <f>0</f>
        <v>0</v>
      </c>
      <c r="E87" s="3"/>
      <c r="F87" s="20"/>
      <c r="G87" s="3"/>
      <c r="H87" s="3">
        <f>0</f>
        <v>0</v>
      </c>
      <c r="I87" s="3"/>
      <c r="J87" s="20"/>
      <c r="K87" s="3"/>
      <c r="L87" s="3">
        <f t="shared" si="8"/>
        <v>0</v>
      </c>
      <c r="M87" s="3"/>
      <c r="N87" s="20">
        <f t="shared" si="9"/>
        <v>0</v>
      </c>
      <c r="O87" s="12"/>
      <c r="P87" s="3">
        <f>0</f>
        <v>0</v>
      </c>
      <c r="Q87" s="3"/>
      <c r="R87" s="20"/>
      <c r="S87" s="3"/>
      <c r="T87" s="3">
        <f>-3237.29</f>
        <v>-3237.29</v>
      </c>
      <c r="U87" s="3"/>
      <c r="V87" s="20"/>
      <c r="W87" s="3"/>
      <c r="X87" s="3">
        <f t="shared" si="10"/>
        <v>3237.29</v>
      </c>
      <c r="Y87" s="3"/>
      <c r="Z87" s="20">
        <f t="shared" si="11"/>
        <v>-1</v>
      </c>
    </row>
    <row r="88" spans="1:26" s="69" customFormat="1" ht="15" hidden="1" customHeight="1" outlineLevel="1" x14ac:dyDescent="0.3">
      <c r="A88" s="42"/>
      <c r="B88" s="12" t="str">
        <f>CONCATENATE("          ","4302"," - ","SALES RETURN NON TAXABLE-TEXT")</f>
        <v xml:space="preserve">          4302 - SALES RETURN NON TAXABLE-TEXT</v>
      </c>
      <c r="C88" s="12"/>
      <c r="D88" s="3">
        <f>0</f>
        <v>0</v>
      </c>
      <c r="E88" s="3"/>
      <c r="F88" s="20"/>
      <c r="G88" s="3"/>
      <c r="H88" s="3">
        <f>-270.87</f>
        <v>-270.87</v>
      </c>
      <c r="I88" s="3"/>
      <c r="J88" s="20"/>
      <c r="K88" s="3"/>
      <c r="L88" s="3">
        <f t="shared" si="8"/>
        <v>270.87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-2344.35</f>
        <v>-2344.35</v>
      </c>
      <c r="U88" s="3"/>
      <c r="V88" s="20"/>
      <c r="W88" s="3"/>
      <c r="X88" s="3">
        <f t="shared" si="10"/>
        <v>2344.35</v>
      </c>
      <c r="Y88" s="3"/>
      <c r="Z88" s="20">
        <f t="shared" si="11"/>
        <v>-1</v>
      </c>
    </row>
    <row r="89" spans="1:26" s="69" customFormat="1" ht="15" hidden="1" customHeight="1" outlineLevel="1" x14ac:dyDescent="0.3">
      <c r="A89" s="42"/>
      <c r="B89" s="12" t="str">
        <f>CONCATENATE("          ","4304"," - ","SALES RETURN NON TAXABLE-DIGIT")</f>
        <v xml:space="preserve">          4304 - SALES RETURN NON TAXABLE-DIGIT</v>
      </c>
      <c r="C89" s="12"/>
      <c r="D89" s="3">
        <f>0</f>
        <v>0</v>
      </c>
      <c r="E89" s="3"/>
      <c r="F89" s="20"/>
      <c r="G89" s="3"/>
      <c r="H89" s="3">
        <f>-275.04</f>
        <v>-275.04000000000002</v>
      </c>
      <c r="I89" s="3"/>
      <c r="J89" s="20"/>
      <c r="K89" s="3"/>
      <c r="L89" s="3">
        <f t="shared" si="8"/>
        <v>275.04000000000002</v>
      </c>
      <c r="M89" s="3"/>
      <c r="N89" s="20">
        <f t="shared" si="9"/>
        <v>-1</v>
      </c>
      <c r="O89" s="12"/>
      <c r="P89" s="3">
        <f>0</f>
        <v>0</v>
      </c>
      <c r="Q89" s="3"/>
      <c r="R89" s="20"/>
      <c r="S89" s="3"/>
      <c r="T89" s="3">
        <f>-27543.76</f>
        <v>-27543.759999999998</v>
      </c>
      <c r="U89" s="3"/>
      <c r="V89" s="20"/>
      <c r="W89" s="3"/>
      <c r="X89" s="3">
        <f t="shared" si="10"/>
        <v>27543.759999999998</v>
      </c>
      <c r="Y89" s="3"/>
      <c r="Z89" s="20">
        <f t="shared" si="11"/>
        <v>-1</v>
      </c>
    </row>
    <row r="90" spans="1:26" s="69" customFormat="1" ht="15" hidden="1" customHeight="1" outlineLevel="1" x14ac:dyDescent="0.3">
      <c r="A90" s="42"/>
      <c r="B90" s="12" t="str">
        <f>CONCATENATE("          ","4340"," - ","SALES RETURN NON TAXABLE-LOGO")</f>
        <v xml:space="preserve">          4340 - SALES RETURN NON TAXABLE-LOGO</v>
      </c>
      <c r="C90" s="12"/>
      <c r="D90" s="3">
        <f>0</f>
        <v>0</v>
      </c>
      <c r="E90" s="3"/>
      <c r="F90" s="20"/>
      <c r="G90" s="3"/>
      <c r="H90" s="3">
        <f>-350.55</f>
        <v>-350.55</v>
      </c>
      <c r="I90" s="3"/>
      <c r="J90" s="20"/>
      <c r="K90" s="3"/>
      <c r="L90" s="3">
        <f t="shared" si="8"/>
        <v>350.55</v>
      </c>
      <c r="M90" s="3"/>
      <c r="N90" s="20">
        <f t="shared" si="9"/>
        <v>-1</v>
      </c>
      <c r="O90" s="12"/>
      <c r="P90" s="3">
        <f>0</f>
        <v>0</v>
      </c>
      <c r="Q90" s="3"/>
      <c r="R90" s="20"/>
      <c r="S90" s="3"/>
      <c r="T90" s="3">
        <f>-2643.39</f>
        <v>-2643.39</v>
      </c>
      <c r="U90" s="3"/>
      <c r="V90" s="20"/>
      <c r="W90" s="3"/>
      <c r="X90" s="3">
        <f t="shared" si="10"/>
        <v>2643.39</v>
      </c>
      <c r="Y90" s="3"/>
      <c r="Z90" s="20">
        <f t="shared" si="11"/>
        <v>-1</v>
      </c>
    </row>
    <row r="91" spans="1:26" s="69" customFormat="1" ht="15" hidden="1" customHeight="1" outlineLevel="1" x14ac:dyDescent="0.3">
      <c r="A91" s="42"/>
      <c r="B91" s="12" t="str">
        <f>CONCATENATE("          ","4341"," - ","SALES RETURN NON TAXABLE-LOGO")</f>
        <v xml:space="preserve">          4341 - SALES RETURN NON TAXABLE-LOGO</v>
      </c>
      <c r="C91" s="12"/>
      <c r="D91" s="3">
        <f>0</f>
        <v>0</v>
      </c>
      <c r="E91" s="3"/>
      <c r="F91" s="20"/>
      <c r="G91" s="3"/>
      <c r="H91" s="3">
        <f>-29.9</f>
        <v>-29.9</v>
      </c>
      <c r="I91" s="3"/>
      <c r="J91" s="20"/>
      <c r="K91" s="3"/>
      <c r="L91" s="3">
        <f t="shared" si="8"/>
        <v>29.9</v>
      </c>
      <c r="M91" s="3"/>
      <c r="N91" s="20">
        <f t="shared" si="9"/>
        <v>-1</v>
      </c>
      <c r="O91" s="12"/>
      <c r="P91" s="3">
        <f>0</f>
        <v>0</v>
      </c>
      <c r="Q91" s="3"/>
      <c r="R91" s="20"/>
      <c r="S91" s="3"/>
      <c r="T91" s="3">
        <f>-392.54</f>
        <v>-392.54</v>
      </c>
      <c r="U91" s="3"/>
      <c r="V91" s="20"/>
      <c r="W91" s="3"/>
      <c r="X91" s="3">
        <f t="shared" si="10"/>
        <v>392.54</v>
      </c>
      <c r="Y91" s="3"/>
      <c r="Z91" s="20">
        <f t="shared" si="11"/>
        <v>-1</v>
      </c>
    </row>
    <row r="92" spans="1:26" s="69" customFormat="1" ht="15" hidden="1" customHeight="1" outlineLevel="1" x14ac:dyDescent="0.3">
      <c r="A92" s="42"/>
      <c r="B92" s="12" t="str">
        <f>CONCATENATE("          ","4342"," - ","SALES RETURN NON TAXABLE-EVERY")</f>
        <v xml:space="preserve">          4342 - SALES RETURN NON TAXABLE-EVERY</v>
      </c>
      <c r="C92" s="12"/>
      <c r="D92" s="3">
        <f>0</f>
        <v>0</v>
      </c>
      <c r="E92" s="3"/>
      <c r="F92" s="20"/>
      <c r="G92" s="3"/>
      <c r="H92" s="3">
        <f>0</f>
        <v>0</v>
      </c>
      <c r="I92" s="3"/>
      <c r="J92" s="20"/>
      <c r="K92" s="3"/>
      <c r="L92" s="3">
        <f t="shared" si="8"/>
        <v>0</v>
      </c>
      <c r="M92" s="3"/>
      <c r="N92" s="20">
        <f t="shared" si="9"/>
        <v>0</v>
      </c>
      <c r="O92" s="12"/>
      <c r="P92" s="3">
        <f>0</f>
        <v>0</v>
      </c>
      <c r="Q92" s="3"/>
      <c r="R92" s="20"/>
      <c r="S92" s="3"/>
      <c r="T92" s="3">
        <f>-118.7</f>
        <v>-118.7</v>
      </c>
      <c r="U92" s="3"/>
      <c r="V92" s="20"/>
      <c r="W92" s="3"/>
      <c r="X92" s="3">
        <f t="shared" si="10"/>
        <v>118.7</v>
      </c>
      <c r="Y92" s="3"/>
      <c r="Z92" s="20">
        <f t="shared" si="11"/>
        <v>-1</v>
      </c>
    </row>
    <row r="93" spans="1:26" s="69" customFormat="1" ht="15" hidden="1" customHeight="1" outlineLevel="1" x14ac:dyDescent="0.3">
      <c r="A93" s="42"/>
      <c r="B93" s="12" t="str">
        <f>CONCATENATE("          ","4381"," - ","SALES RETURN NON TAXABLE-ELECT")</f>
        <v xml:space="preserve">          4381 - SALES RETURN NON TAXABLE-ELECT</v>
      </c>
      <c r="C93" s="12"/>
      <c r="D93" s="3">
        <f>0</f>
        <v>0</v>
      </c>
      <c r="E93" s="3"/>
      <c r="F93" s="20"/>
      <c r="G93" s="3"/>
      <c r="H93" s="3">
        <f>0</f>
        <v>0</v>
      </c>
      <c r="I93" s="3"/>
      <c r="J93" s="20"/>
      <c r="K93" s="3"/>
      <c r="L93" s="3">
        <f t="shared" si="8"/>
        <v>0</v>
      </c>
      <c r="M93" s="3"/>
      <c r="N93" s="20">
        <f t="shared" si="9"/>
        <v>0</v>
      </c>
      <c r="O93" s="12"/>
      <c r="P93" s="3">
        <f>0</f>
        <v>0</v>
      </c>
      <c r="Q93" s="3"/>
      <c r="R93" s="20"/>
      <c r="S93" s="3"/>
      <c r="T93" s="3">
        <f>-5624.15</f>
        <v>-5624.15</v>
      </c>
      <c r="U93" s="3"/>
      <c r="V93" s="20"/>
      <c r="W93" s="3"/>
      <c r="X93" s="3">
        <f t="shared" si="10"/>
        <v>5624.15</v>
      </c>
      <c r="Y93" s="3"/>
      <c r="Z93" s="20">
        <f t="shared" si="11"/>
        <v>-1</v>
      </c>
    </row>
    <row r="94" spans="1:26" s="69" customFormat="1" ht="15" hidden="1" customHeight="1" outlineLevel="1" x14ac:dyDescent="0.3">
      <c r="A94" s="42"/>
      <c r="B94" s="12" t="str">
        <f>CONCATENATE("          ","4500"," - ","SALES DISCOUNT")</f>
        <v xml:space="preserve">          4500 - SALES DISCOUNT</v>
      </c>
      <c r="C94" s="12"/>
      <c r="D94" s="3">
        <f>-9600.86</f>
        <v>-9600.86</v>
      </c>
      <c r="E94" s="3"/>
      <c r="F94" s="20"/>
      <c r="G94" s="3"/>
      <c r="H94" s="3">
        <f>0</f>
        <v>0</v>
      </c>
      <c r="I94" s="3"/>
      <c r="J94" s="20"/>
      <c r="K94" s="3"/>
      <c r="L94" s="3">
        <f t="shared" si="8"/>
        <v>-9600.86</v>
      </c>
      <c r="M94" s="3"/>
      <c r="N94" s="20">
        <f t="shared" si="9"/>
        <v>0</v>
      </c>
      <c r="O94" s="12"/>
      <c r="P94" s="3">
        <f>-93065.56</f>
        <v>-93065.56</v>
      </c>
      <c r="Q94" s="3"/>
      <c r="R94" s="20"/>
      <c r="S94" s="3"/>
      <c r="T94" s="3">
        <f>0</f>
        <v>0</v>
      </c>
      <c r="U94" s="3"/>
      <c r="V94" s="20"/>
      <c r="W94" s="3"/>
      <c r="X94" s="3">
        <f t="shared" si="10"/>
        <v>-93065.56</v>
      </c>
      <c r="Y94" s="3"/>
      <c r="Z94" s="20">
        <f t="shared" si="11"/>
        <v>0</v>
      </c>
    </row>
    <row r="95" spans="1:26" ht="15" customHeight="1" x14ac:dyDescent="0.3">
      <c r="A95" s="10"/>
      <c r="B95" s="11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2" customFormat="1" ht="15" customHeight="1" collapsed="1" x14ac:dyDescent="0.3">
      <c r="A96" s="11"/>
      <c r="B96" s="28" t="s">
        <v>287</v>
      </c>
      <c r="C96" s="11"/>
      <c r="D96" s="5">
        <f>SUM(OSRRefD16x_0)</f>
        <v>629996.12</v>
      </c>
      <c r="E96" s="5"/>
      <c r="F96" s="13">
        <f t="shared" ref="F96:F127" si="12">IF(D$12=0,0,D96/D$12)</f>
        <v>0.60023728574076574</v>
      </c>
      <c r="G96" s="5"/>
      <c r="H96" s="5">
        <f>SUM(OSRRefH16x_0)</f>
        <v>454474.85000000003</v>
      </c>
      <c r="I96" s="5"/>
      <c r="J96" s="13">
        <f t="shared" ref="J96:J127" si="13">IF(H$12=0,0,H96/H$12)</f>
        <v>0.74141880958484252</v>
      </c>
      <c r="K96" s="5"/>
      <c r="L96" s="5">
        <f t="shared" ref="L96:L127" si="14">+D96-H96</f>
        <v>175521.26999999996</v>
      </c>
      <c r="M96" s="5"/>
      <c r="N96" s="13">
        <f t="shared" ref="N96:N127" si="15">IF(H96=0,0,L96/H96)</f>
        <v>0.38620678349968091</v>
      </c>
      <c r="O96" s="11"/>
      <c r="P96" s="5">
        <f>SUM(OSRRefP16x_0)</f>
        <v>4796307.67</v>
      </c>
      <c r="Q96" s="5"/>
      <c r="R96" s="13">
        <f t="shared" ref="R96:R127" si="16">IF(P$12=0,0,P96/P$12)</f>
        <v>0.63622432898364467</v>
      </c>
      <c r="S96" s="5"/>
      <c r="T96" s="5">
        <f>SUM(OSRRefT16x_0)</f>
        <v>4585497.6000000006</v>
      </c>
      <c r="U96" s="5"/>
      <c r="V96" s="13">
        <f t="shared" ref="V96:V127" si="17">IF(T$12=0,0,T96/T$12)</f>
        <v>0.72974138621720808</v>
      </c>
      <c r="W96" s="5"/>
      <c r="X96" s="5">
        <f t="shared" ref="X96:X127" si="18">+P96-T96</f>
        <v>210810.06999999937</v>
      </c>
      <c r="Y96" s="5"/>
      <c r="Z96" s="13">
        <f t="shared" ref="Z96:Z127" si="19">IF(T96=0,0,X96/T96)</f>
        <v>4.5973215644033776E-2</v>
      </c>
    </row>
    <row r="97" spans="1:26" s="69" customFormat="1" ht="15" hidden="1" customHeight="1" outlineLevel="1" x14ac:dyDescent="0.3">
      <c r="A97" s="42"/>
      <c r="B97" s="12" t="str">
        <f>CONCATENATE("          ","5000"," - ","PURCHASES @ COST")</f>
        <v xml:space="preserve">          5000 - PURCHASES @ COST</v>
      </c>
      <c r="C97" s="12"/>
      <c r="D97" s="3">
        <v>491484.13</v>
      </c>
      <c r="E97" s="3"/>
      <c r="F97" s="20">
        <f t="shared" si="12"/>
        <v>0.46826812231139087</v>
      </c>
      <c r="G97" s="3"/>
      <c r="H97" s="3">
        <v>0</v>
      </c>
      <c r="I97" s="3"/>
      <c r="J97" s="20">
        <f t="shared" si="13"/>
        <v>0</v>
      </c>
      <c r="K97" s="3"/>
      <c r="L97" s="3">
        <f t="shared" si="14"/>
        <v>491484.13</v>
      </c>
      <c r="M97" s="3"/>
      <c r="N97" s="20">
        <f t="shared" si="15"/>
        <v>0</v>
      </c>
      <c r="O97" s="12"/>
      <c r="P97" s="3">
        <v>5077169.03</v>
      </c>
      <c r="Q97" s="3"/>
      <c r="R97" s="20">
        <f t="shared" si="16"/>
        <v>0.67348024386606797</v>
      </c>
      <c r="S97" s="3"/>
      <c r="T97" s="3">
        <v>0</v>
      </c>
      <c r="U97" s="3"/>
      <c r="V97" s="20">
        <f t="shared" si="17"/>
        <v>0</v>
      </c>
      <c r="W97" s="3"/>
      <c r="X97" s="3">
        <f t="shared" si="18"/>
        <v>5077169.03</v>
      </c>
      <c r="Y97" s="3"/>
      <c r="Z97" s="20">
        <f t="shared" si="19"/>
        <v>0</v>
      </c>
    </row>
    <row r="98" spans="1:26" s="69" customFormat="1" ht="15" hidden="1" customHeight="1" outlineLevel="1" x14ac:dyDescent="0.3">
      <c r="A98" s="42"/>
      <c r="B98" s="12" t="str">
        <f>CONCATENATE("          ","5001"," - ","PURCHASES @ COST-NEW TEXT")</f>
        <v xml:space="preserve">          5001 - PURCHASES @ COST-NEW TEXT</v>
      </c>
      <c r="C98" s="12"/>
      <c r="D98" s="3"/>
      <c r="E98" s="3"/>
      <c r="F98" s="20">
        <f t="shared" si="12"/>
        <v>0</v>
      </c>
      <c r="G98" s="3"/>
      <c r="H98" s="3">
        <v>-290899.24</v>
      </c>
      <c r="I98" s="3"/>
      <c r="J98" s="20">
        <f t="shared" si="13"/>
        <v>-0.47456568439361468</v>
      </c>
      <c r="K98" s="3"/>
      <c r="L98" s="3">
        <f t="shared" si="14"/>
        <v>290899.24</v>
      </c>
      <c r="M98" s="3"/>
      <c r="N98" s="20">
        <f t="shared" si="15"/>
        <v>-1</v>
      </c>
      <c r="O98" s="12"/>
      <c r="P98" s="3">
        <v>0</v>
      </c>
      <c r="Q98" s="3"/>
      <c r="R98" s="20">
        <f t="shared" si="16"/>
        <v>0</v>
      </c>
      <c r="S98" s="3"/>
      <c r="T98" s="3">
        <v>1035516.4</v>
      </c>
      <c r="U98" s="3"/>
      <c r="V98" s="20">
        <f t="shared" si="17"/>
        <v>0.16479327634729388</v>
      </c>
      <c r="W98" s="3"/>
      <c r="X98" s="3">
        <f t="shared" si="18"/>
        <v>-1035516.4</v>
      </c>
      <c r="Y98" s="3"/>
      <c r="Z98" s="20">
        <f t="shared" si="19"/>
        <v>-1</v>
      </c>
    </row>
    <row r="99" spans="1:26" s="69" customFormat="1" ht="15" hidden="1" customHeight="1" outlineLevel="1" x14ac:dyDescent="0.3">
      <c r="A99" s="42"/>
      <c r="B99" s="12" t="str">
        <f>CONCATENATE("          ","5002"," - ","PURCHASES @ COST-USED TEXT")</f>
        <v xml:space="preserve">          5002 - PURCHASES @ COST-USED TEXT</v>
      </c>
      <c r="C99" s="12"/>
      <c r="D99" s="3"/>
      <c r="E99" s="3"/>
      <c r="F99" s="20">
        <f t="shared" si="12"/>
        <v>0</v>
      </c>
      <c r="G99" s="3"/>
      <c r="H99" s="3">
        <v>14728.45</v>
      </c>
      <c r="I99" s="3"/>
      <c r="J99" s="20">
        <f t="shared" si="13"/>
        <v>2.40276219157779E-2</v>
      </c>
      <c r="K99" s="3"/>
      <c r="L99" s="3">
        <f t="shared" si="14"/>
        <v>-14728.45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397052.67</v>
      </c>
      <c r="U99" s="3"/>
      <c r="V99" s="20">
        <f t="shared" si="17"/>
        <v>6.3187420664453861E-2</v>
      </c>
      <c r="W99" s="3"/>
      <c r="X99" s="3">
        <f t="shared" si="18"/>
        <v>-397052.67</v>
      </c>
      <c r="Y99" s="3"/>
      <c r="Z99" s="20">
        <f t="shared" si="19"/>
        <v>-1</v>
      </c>
    </row>
    <row r="100" spans="1:26" s="69" customFormat="1" ht="15" hidden="1" customHeight="1" outlineLevel="1" x14ac:dyDescent="0.3">
      <c r="A100" s="42"/>
      <c r="B100" s="12" t="str">
        <f>CONCATENATE("          ","5003"," - ","PURCHASES @ COST-RENTAL TEXT")</f>
        <v xml:space="preserve">          5003 - PURCHASES @ COST-RENTAL TEXT</v>
      </c>
      <c r="C100" s="12"/>
      <c r="D100" s="3"/>
      <c r="E100" s="3"/>
      <c r="F100" s="20">
        <f t="shared" si="12"/>
        <v>0</v>
      </c>
      <c r="G100" s="3"/>
      <c r="H100" s="3"/>
      <c r="I100" s="3"/>
      <c r="J100" s="20">
        <f t="shared" si="13"/>
        <v>0</v>
      </c>
      <c r="K100" s="3"/>
      <c r="L100" s="3">
        <f t="shared" si="14"/>
        <v>0</v>
      </c>
      <c r="M100" s="3"/>
      <c r="N100" s="20">
        <f t="shared" si="15"/>
        <v>0</v>
      </c>
      <c r="O100" s="12"/>
      <c r="P100" s="3"/>
      <c r="Q100" s="3"/>
      <c r="R100" s="20">
        <f t="shared" si="16"/>
        <v>0</v>
      </c>
      <c r="S100" s="3"/>
      <c r="T100" s="3">
        <v>32.520000000000003</v>
      </c>
      <c r="U100" s="3"/>
      <c r="V100" s="20">
        <f t="shared" si="17"/>
        <v>5.1752703740993355E-6</v>
      </c>
      <c r="W100" s="3"/>
      <c r="X100" s="3">
        <f t="shared" si="18"/>
        <v>-32.520000000000003</v>
      </c>
      <c r="Y100" s="3"/>
      <c r="Z100" s="20">
        <f t="shared" si="19"/>
        <v>-1</v>
      </c>
    </row>
    <row r="101" spans="1:26" s="69" customFormat="1" ht="15" hidden="1" customHeight="1" outlineLevel="1" x14ac:dyDescent="0.3">
      <c r="A101" s="42"/>
      <c r="B101" s="12" t="str">
        <f>CONCATENATE("          ","5004"," - ","PURCHASES @ COST-DIGITAL TEXT")</f>
        <v xml:space="preserve">          5004 - PURCHASES @ COST-DIGITAL TEXT</v>
      </c>
      <c r="C101" s="12"/>
      <c r="D101" s="3"/>
      <c r="E101" s="3"/>
      <c r="F101" s="20">
        <f t="shared" si="12"/>
        <v>0</v>
      </c>
      <c r="G101" s="3"/>
      <c r="H101" s="3">
        <v>-13446.08</v>
      </c>
      <c r="I101" s="3"/>
      <c r="J101" s="20">
        <f t="shared" si="13"/>
        <v>-2.1935595835902818E-2</v>
      </c>
      <c r="K101" s="3"/>
      <c r="L101" s="3">
        <f t="shared" si="14"/>
        <v>13446.08</v>
      </c>
      <c r="M101" s="3"/>
      <c r="N101" s="20">
        <f t="shared" si="15"/>
        <v>-1</v>
      </c>
      <c r="O101" s="12"/>
      <c r="P101" s="3">
        <v>0</v>
      </c>
      <c r="Q101" s="3"/>
      <c r="R101" s="20">
        <f t="shared" si="16"/>
        <v>0</v>
      </c>
      <c r="S101" s="3"/>
      <c r="T101" s="3">
        <v>206562.5</v>
      </c>
      <c r="U101" s="3"/>
      <c r="V101" s="20">
        <f t="shared" si="17"/>
        <v>3.2872594915433394E-2</v>
      </c>
      <c r="W101" s="3"/>
      <c r="X101" s="3">
        <f t="shared" si="18"/>
        <v>-206562.5</v>
      </c>
      <c r="Y101" s="3"/>
      <c r="Z101" s="20">
        <f t="shared" si="19"/>
        <v>-1</v>
      </c>
    </row>
    <row r="102" spans="1:26" s="69" customFormat="1" ht="15" hidden="1" customHeight="1" outlineLevel="1" x14ac:dyDescent="0.3">
      <c r="A102" s="42"/>
      <c r="B102" s="12" t="str">
        <f>CONCATENATE("          ","5011"," - ","PURCHASES @ COST-NO VALUE TEXT")</f>
        <v xml:space="preserve">          5011 - PURCHASES @ COST-NO VALUE TEXT</v>
      </c>
      <c r="C102" s="12"/>
      <c r="D102" s="3"/>
      <c r="E102" s="3"/>
      <c r="F102" s="20">
        <f t="shared" si="12"/>
        <v>0</v>
      </c>
      <c r="G102" s="3"/>
      <c r="H102" s="3"/>
      <c r="I102" s="3"/>
      <c r="J102" s="20">
        <f t="shared" si="13"/>
        <v>0</v>
      </c>
      <c r="K102" s="3"/>
      <c r="L102" s="3">
        <f t="shared" si="14"/>
        <v>0</v>
      </c>
      <c r="M102" s="3"/>
      <c r="N102" s="20">
        <f t="shared" si="15"/>
        <v>0</v>
      </c>
      <c r="O102" s="12"/>
      <c r="P102" s="3"/>
      <c r="Q102" s="3"/>
      <c r="R102" s="20">
        <f t="shared" si="16"/>
        <v>0</v>
      </c>
      <c r="S102" s="3"/>
      <c r="T102" s="3">
        <v>67.17</v>
      </c>
      <c r="U102" s="3"/>
      <c r="V102" s="20">
        <f t="shared" si="17"/>
        <v>1.0689511409232852E-5</v>
      </c>
      <c r="W102" s="3"/>
      <c r="X102" s="3">
        <f t="shared" si="18"/>
        <v>-67.17</v>
      </c>
      <c r="Y102" s="3"/>
      <c r="Z102" s="20">
        <f t="shared" si="19"/>
        <v>-1</v>
      </c>
    </row>
    <row r="103" spans="1:26" s="69" customFormat="1" ht="15" hidden="1" customHeight="1" outlineLevel="1" x14ac:dyDescent="0.3">
      <c r="A103" s="42"/>
      <c r="B103" s="12" t="str">
        <f>CONCATENATE("          ","5013"," - ","PURCHASES @ COST-TRADE BOOKS")</f>
        <v xml:space="preserve">          5013 - PURCHASES @ COST-TRADE BOOKS</v>
      </c>
      <c r="C103" s="12"/>
      <c r="D103" s="3"/>
      <c r="E103" s="3"/>
      <c r="F103" s="20">
        <f t="shared" si="12"/>
        <v>0</v>
      </c>
      <c r="G103" s="3"/>
      <c r="H103" s="3">
        <v>2907.93</v>
      </c>
      <c r="I103" s="3"/>
      <c r="J103" s="20">
        <f t="shared" si="13"/>
        <v>4.7439236713671855E-3</v>
      </c>
      <c r="K103" s="3"/>
      <c r="L103" s="3">
        <f t="shared" si="14"/>
        <v>-2907.93</v>
      </c>
      <c r="M103" s="3"/>
      <c r="N103" s="20">
        <f t="shared" si="15"/>
        <v>-1</v>
      </c>
      <c r="O103" s="12"/>
      <c r="P103" s="3"/>
      <c r="Q103" s="3"/>
      <c r="R103" s="20">
        <f t="shared" si="16"/>
        <v>0</v>
      </c>
      <c r="S103" s="3"/>
      <c r="T103" s="3">
        <v>8870.02</v>
      </c>
      <c r="U103" s="3"/>
      <c r="V103" s="20">
        <f t="shared" si="17"/>
        <v>1.4115852313551225E-3</v>
      </c>
      <c r="W103" s="3"/>
      <c r="X103" s="3">
        <f t="shared" si="18"/>
        <v>-8870.02</v>
      </c>
      <c r="Y103" s="3"/>
      <c r="Z103" s="20">
        <f t="shared" si="19"/>
        <v>-1</v>
      </c>
    </row>
    <row r="104" spans="1:26" s="69" customFormat="1" ht="15" hidden="1" customHeight="1" outlineLevel="1" x14ac:dyDescent="0.3">
      <c r="A104" s="42"/>
      <c r="B104" s="12" t="str">
        <f>CONCATENATE("          ","5014"," - ","PURCHASES @ COST-REMAINDERS")</f>
        <v xml:space="preserve">          5014 - PURCHASES @ COST-REMAINDERS</v>
      </c>
      <c r="C104" s="12"/>
      <c r="D104" s="3"/>
      <c r="E104" s="3"/>
      <c r="F104" s="20">
        <f t="shared" si="12"/>
        <v>0</v>
      </c>
      <c r="G104" s="3"/>
      <c r="H104" s="3"/>
      <c r="I104" s="3"/>
      <c r="J104" s="20">
        <f t="shared" si="13"/>
        <v>0</v>
      </c>
      <c r="K104" s="3"/>
      <c r="L104" s="3">
        <f t="shared" si="14"/>
        <v>0</v>
      </c>
      <c r="M104" s="3"/>
      <c r="N104" s="20">
        <f t="shared" si="15"/>
        <v>0</v>
      </c>
      <c r="O104" s="12"/>
      <c r="P104" s="3"/>
      <c r="Q104" s="3"/>
      <c r="R104" s="20">
        <f t="shared" si="16"/>
        <v>0</v>
      </c>
      <c r="S104" s="3"/>
      <c r="T104" s="3">
        <v>111.57</v>
      </c>
      <c r="U104" s="3"/>
      <c r="V104" s="20">
        <f t="shared" si="17"/>
        <v>1.7755378709663677E-5</v>
      </c>
      <c r="W104" s="3"/>
      <c r="X104" s="3">
        <f t="shared" si="18"/>
        <v>-111.57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","5018"," - ","PURCHASES @ COST-STUDY GUIDES")</f>
        <v xml:space="preserve">          5018 - PURCHASES @ COST-STUDY GUIDES</v>
      </c>
      <c r="C105" s="12"/>
      <c r="D105" s="3"/>
      <c r="E105" s="3"/>
      <c r="F105" s="20">
        <f t="shared" si="12"/>
        <v>0</v>
      </c>
      <c r="G105" s="3"/>
      <c r="H105" s="3">
        <v>444.87</v>
      </c>
      <c r="I105" s="3"/>
      <c r="J105" s="20">
        <f t="shared" si="13"/>
        <v>7.2574969950484362E-4</v>
      </c>
      <c r="K105" s="3"/>
      <c r="L105" s="3">
        <f t="shared" si="14"/>
        <v>-444.87</v>
      </c>
      <c r="M105" s="3"/>
      <c r="N105" s="20">
        <f t="shared" si="15"/>
        <v>-1</v>
      </c>
      <c r="O105" s="12"/>
      <c r="P105" s="3"/>
      <c r="Q105" s="3"/>
      <c r="R105" s="20">
        <f t="shared" si="16"/>
        <v>0</v>
      </c>
      <c r="S105" s="3"/>
      <c r="T105" s="3">
        <v>967.21</v>
      </c>
      <c r="U105" s="3"/>
      <c r="V105" s="20">
        <f t="shared" si="17"/>
        <v>1.5392291692904731E-4</v>
      </c>
      <c r="W105" s="3"/>
      <c r="X105" s="3">
        <f t="shared" si="18"/>
        <v>-967.21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","5025"," - ","PURCHASES @ COST-TEST FORMS")</f>
        <v xml:space="preserve">          5025 - PURCHASES @ COST-TEST FORMS</v>
      </c>
      <c r="C106" s="12"/>
      <c r="D106" s="3"/>
      <c r="E106" s="3"/>
      <c r="F106" s="20">
        <f t="shared" si="12"/>
        <v>0</v>
      </c>
      <c r="G106" s="3"/>
      <c r="H106" s="3"/>
      <c r="I106" s="3"/>
      <c r="J106" s="20">
        <f t="shared" si="13"/>
        <v>0</v>
      </c>
      <c r="K106" s="3"/>
      <c r="L106" s="3">
        <f t="shared" si="14"/>
        <v>0</v>
      </c>
      <c r="M106" s="3"/>
      <c r="N106" s="20">
        <f t="shared" si="15"/>
        <v>0</v>
      </c>
      <c r="O106" s="12"/>
      <c r="P106" s="3"/>
      <c r="Q106" s="3"/>
      <c r="R106" s="20">
        <f t="shared" si="16"/>
        <v>0</v>
      </c>
      <c r="S106" s="3"/>
      <c r="T106" s="3">
        <v>599.29</v>
      </c>
      <c r="U106" s="3"/>
      <c r="V106" s="20">
        <f t="shared" si="17"/>
        <v>9.537170302872049E-5</v>
      </c>
      <c r="W106" s="3"/>
      <c r="X106" s="3">
        <f t="shared" si="18"/>
        <v>-599.29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","5026"," - ","PURCHASES @ COST-WRITING INSTR")</f>
        <v xml:space="preserve">          5026 - PURCHASES @ COST-WRITING INSTR</v>
      </c>
      <c r="C107" s="12"/>
      <c r="D107" s="3"/>
      <c r="E107" s="3"/>
      <c r="F107" s="20">
        <f t="shared" si="12"/>
        <v>0</v>
      </c>
      <c r="G107" s="3"/>
      <c r="H107" s="3">
        <v>209.64</v>
      </c>
      <c r="I107" s="3"/>
      <c r="J107" s="20">
        <f t="shared" si="13"/>
        <v>3.4200140940992966E-4</v>
      </c>
      <c r="K107" s="3"/>
      <c r="L107" s="3">
        <f t="shared" si="14"/>
        <v>-209.64</v>
      </c>
      <c r="M107" s="3"/>
      <c r="N107" s="20">
        <f t="shared" si="15"/>
        <v>-1</v>
      </c>
      <c r="O107" s="12"/>
      <c r="P107" s="3">
        <v>0</v>
      </c>
      <c r="Q107" s="3"/>
      <c r="R107" s="20">
        <f t="shared" si="16"/>
        <v>0</v>
      </c>
      <c r="S107" s="3"/>
      <c r="T107" s="3">
        <v>584.54999999999995</v>
      </c>
      <c r="U107" s="3"/>
      <c r="V107" s="20">
        <f t="shared" si="17"/>
        <v>9.302596239790178E-5</v>
      </c>
      <c r="W107" s="3"/>
      <c r="X107" s="3">
        <f t="shared" si="18"/>
        <v>-584.54999999999995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","5027"," - ","PURCHASES @ COST-SCHOOL SUPPLI")</f>
        <v xml:space="preserve">          5027 - PURCHASES @ COST-SCHOOL SUPPLI</v>
      </c>
      <c r="C108" s="12"/>
      <c r="D108" s="3"/>
      <c r="E108" s="3"/>
      <c r="F108" s="20">
        <f t="shared" si="12"/>
        <v>0</v>
      </c>
      <c r="G108" s="3"/>
      <c r="H108" s="3">
        <v>2824.53</v>
      </c>
      <c r="I108" s="3"/>
      <c r="J108" s="20">
        <f t="shared" si="13"/>
        <v>4.607867014504048E-3</v>
      </c>
      <c r="K108" s="3"/>
      <c r="L108" s="3">
        <f t="shared" si="14"/>
        <v>-2824.53</v>
      </c>
      <c r="M108" s="3"/>
      <c r="N108" s="20">
        <f t="shared" si="15"/>
        <v>-1</v>
      </c>
      <c r="O108" s="12"/>
      <c r="P108" s="3">
        <v>0</v>
      </c>
      <c r="Q108" s="3"/>
      <c r="R108" s="20">
        <f t="shared" si="16"/>
        <v>0</v>
      </c>
      <c r="S108" s="3"/>
      <c r="T108" s="3">
        <v>21895.88</v>
      </c>
      <c r="U108" s="3"/>
      <c r="V108" s="20">
        <f t="shared" si="17"/>
        <v>3.4845356420305706E-3</v>
      </c>
      <c r="W108" s="3"/>
      <c r="X108" s="3">
        <f t="shared" si="18"/>
        <v>-21895.88</v>
      </c>
      <c r="Y108" s="3"/>
      <c r="Z108" s="20">
        <f t="shared" si="19"/>
        <v>-1</v>
      </c>
    </row>
    <row r="109" spans="1:26" s="69" customFormat="1" ht="15" hidden="1" customHeight="1" outlineLevel="1" x14ac:dyDescent="0.3">
      <c r="A109" s="42"/>
      <c r="B109" s="12" t="str">
        <f>CONCATENATE("          ","5028"," - ","PURCHASES @ COST-ART/TECH")</f>
        <v xml:space="preserve">          5028 - PURCHASES @ COST-ART/TECH</v>
      </c>
      <c r="C109" s="12"/>
      <c r="D109" s="3"/>
      <c r="E109" s="3"/>
      <c r="F109" s="20">
        <f t="shared" si="12"/>
        <v>0</v>
      </c>
      <c r="G109" s="3"/>
      <c r="H109" s="3">
        <v>3443.78</v>
      </c>
      <c r="I109" s="3"/>
      <c r="J109" s="20">
        <f t="shared" si="13"/>
        <v>5.6180958485867565E-3</v>
      </c>
      <c r="K109" s="3"/>
      <c r="L109" s="3">
        <f t="shared" si="14"/>
        <v>-3443.78</v>
      </c>
      <c r="M109" s="3"/>
      <c r="N109" s="20">
        <f t="shared" si="15"/>
        <v>-1</v>
      </c>
      <c r="O109" s="12"/>
      <c r="P109" s="3">
        <v>0</v>
      </c>
      <c r="Q109" s="3"/>
      <c r="R109" s="20">
        <f t="shared" si="16"/>
        <v>0</v>
      </c>
      <c r="S109" s="3"/>
      <c r="T109" s="3">
        <v>45635.360000000001</v>
      </c>
      <c r="U109" s="3"/>
      <c r="V109" s="20">
        <f t="shared" si="17"/>
        <v>7.262463918184435E-3</v>
      </c>
      <c r="W109" s="3"/>
      <c r="X109" s="3">
        <f t="shared" si="18"/>
        <v>-45635.360000000001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","5031"," - ","PURCHASES @ COST-FOOD")</f>
        <v xml:space="preserve">          5031 - PURCHASES @ COST-FOOD</v>
      </c>
      <c r="C110" s="12"/>
      <c r="D110" s="3"/>
      <c r="E110" s="3"/>
      <c r="F110" s="20">
        <f t="shared" si="12"/>
        <v>0</v>
      </c>
      <c r="G110" s="3"/>
      <c r="H110" s="3"/>
      <c r="I110" s="3"/>
      <c r="J110" s="20">
        <f t="shared" si="13"/>
        <v>0</v>
      </c>
      <c r="K110" s="3"/>
      <c r="L110" s="3">
        <f t="shared" si="14"/>
        <v>0</v>
      </c>
      <c r="M110" s="3"/>
      <c r="N110" s="20">
        <f t="shared" si="15"/>
        <v>0</v>
      </c>
      <c r="O110" s="12"/>
      <c r="P110" s="3">
        <v>0</v>
      </c>
      <c r="Q110" s="3"/>
      <c r="R110" s="20">
        <f t="shared" si="16"/>
        <v>0</v>
      </c>
      <c r="S110" s="3"/>
      <c r="T110" s="3">
        <v>7785.72</v>
      </c>
      <c r="U110" s="3"/>
      <c r="V110" s="20">
        <f t="shared" si="17"/>
        <v>1.2390284765385201E-3</v>
      </c>
      <c r="W110" s="3"/>
      <c r="X110" s="3">
        <f t="shared" si="18"/>
        <v>-7785.72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","5040"," - ","PURCHASES @ COST-LOGO CLOTHING")</f>
        <v xml:space="preserve">          5040 - PURCHASES @ COST-LOGO CLOTHING</v>
      </c>
      <c r="C111" s="12"/>
      <c r="D111" s="3"/>
      <c r="E111" s="3"/>
      <c r="F111" s="20">
        <f t="shared" si="12"/>
        <v>0</v>
      </c>
      <c r="G111" s="3"/>
      <c r="H111" s="3">
        <v>45900.51</v>
      </c>
      <c r="I111" s="3"/>
      <c r="J111" s="20">
        <f t="shared" si="13"/>
        <v>7.4880934519340636E-2</v>
      </c>
      <c r="K111" s="3"/>
      <c r="L111" s="3">
        <f t="shared" si="14"/>
        <v>-45900.51</v>
      </c>
      <c r="M111" s="3"/>
      <c r="N111" s="20">
        <f t="shared" si="15"/>
        <v>-1</v>
      </c>
      <c r="O111" s="12"/>
      <c r="P111" s="3">
        <v>0</v>
      </c>
      <c r="Q111" s="3"/>
      <c r="R111" s="20">
        <f t="shared" si="16"/>
        <v>0</v>
      </c>
      <c r="S111" s="3"/>
      <c r="T111" s="3">
        <v>239871.6</v>
      </c>
      <c r="U111" s="3"/>
      <c r="V111" s="20">
        <f t="shared" si="17"/>
        <v>3.8173443575270791E-2</v>
      </c>
      <c r="W111" s="3"/>
      <c r="X111" s="3">
        <f t="shared" si="18"/>
        <v>-239871.6</v>
      </c>
      <c r="Y111" s="3"/>
      <c r="Z111" s="20">
        <f t="shared" si="19"/>
        <v>-1</v>
      </c>
    </row>
    <row r="112" spans="1:26" s="69" customFormat="1" ht="15" hidden="1" customHeight="1" outlineLevel="1" x14ac:dyDescent="0.3">
      <c r="A112" s="42"/>
      <c r="B112" s="12" t="str">
        <f>CONCATENATE("          ","5041"," - ","PURCHASES @ COST-LOGO GIFTS")</f>
        <v xml:space="preserve">          5041 - PURCHASES @ COST-LOGO GIFTS</v>
      </c>
      <c r="C112" s="12"/>
      <c r="D112" s="3"/>
      <c r="E112" s="3"/>
      <c r="F112" s="20">
        <f t="shared" si="12"/>
        <v>0</v>
      </c>
      <c r="G112" s="3"/>
      <c r="H112" s="3">
        <v>899.63</v>
      </c>
      <c r="I112" s="3"/>
      <c r="J112" s="20">
        <f t="shared" si="13"/>
        <v>1.4676336956089249E-3</v>
      </c>
      <c r="K112" s="3"/>
      <c r="L112" s="3">
        <f t="shared" si="14"/>
        <v>-899.63</v>
      </c>
      <c r="M112" s="3"/>
      <c r="N112" s="20">
        <f t="shared" si="15"/>
        <v>-1</v>
      </c>
      <c r="O112" s="12"/>
      <c r="P112" s="3">
        <v>0</v>
      </c>
      <c r="Q112" s="3"/>
      <c r="R112" s="20">
        <f t="shared" si="16"/>
        <v>0</v>
      </c>
      <c r="S112" s="3"/>
      <c r="T112" s="3">
        <v>68463.44</v>
      </c>
      <c r="U112" s="3"/>
      <c r="V112" s="20">
        <f t="shared" si="17"/>
        <v>1.089535094529297E-2</v>
      </c>
      <c r="W112" s="3"/>
      <c r="X112" s="3">
        <f t="shared" si="18"/>
        <v>-68463.44</v>
      </c>
      <c r="Y112" s="3"/>
      <c r="Z112" s="20">
        <f t="shared" si="19"/>
        <v>-1</v>
      </c>
    </row>
    <row r="113" spans="1:26" s="69" customFormat="1" ht="15" hidden="1" customHeight="1" outlineLevel="1" x14ac:dyDescent="0.3">
      <c r="A113" s="42"/>
      <c r="B113" s="12" t="str">
        <f>CONCATENATE("          ","5042"," - ","PURCHASES @ COST-EVERYDAY GIFT")</f>
        <v xml:space="preserve">          5042 - PURCHASES @ COST-EVERYDAY GIFT</v>
      </c>
      <c r="C113" s="12"/>
      <c r="D113" s="3"/>
      <c r="E113" s="3"/>
      <c r="F113" s="20">
        <f t="shared" si="12"/>
        <v>0</v>
      </c>
      <c r="G113" s="3"/>
      <c r="H113" s="3">
        <v>-270</v>
      </c>
      <c r="I113" s="3"/>
      <c r="J113" s="20">
        <f t="shared" si="13"/>
        <v>-4.4047119128353849E-4</v>
      </c>
      <c r="K113" s="3"/>
      <c r="L113" s="3">
        <f t="shared" si="14"/>
        <v>270</v>
      </c>
      <c r="M113" s="3"/>
      <c r="N113" s="20">
        <f t="shared" si="15"/>
        <v>-1</v>
      </c>
      <c r="O113" s="12"/>
      <c r="P113" s="3">
        <v>0</v>
      </c>
      <c r="Q113" s="3"/>
      <c r="R113" s="20">
        <f t="shared" si="16"/>
        <v>0</v>
      </c>
      <c r="S113" s="3"/>
      <c r="T113" s="3">
        <v>18748.18</v>
      </c>
      <c r="U113" s="3"/>
      <c r="V113" s="20">
        <f t="shared" si="17"/>
        <v>2.9836070271304325E-3</v>
      </c>
      <c r="W113" s="3"/>
      <c r="X113" s="3">
        <f t="shared" si="18"/>
        <v>-18748.18</v>
      </c>
      <c r="Y113" s="3"/>
      <c r="Z113" s="20">
        <f t="shared" si="19"/>
        <v>-1</v>
      </c>
    </row>
    <row r="114" spans="1:26" s="69" customFormat="1" ht="15" hidden="1" customHeight="1" outlineLevel="1" x14ac:dyDescent="0.3">
      <c r="A114" s="42"/>
      <c r="B114" s="12" t="str">
        <f>CONCATENATE("          ","5043"," - ","PURCHASES @ COST-CARDS")</f>
        <v xml:space="preserve">          5043 - PURCHASES @ COST-CARDS</v>
      </c>
      <c r="C114" s="12"/>
      <c r="D114" s="3"/>
      <c r="E114" s="3"/>
      <c r="F114" s="20">
        <f t="shared" si="12"/>
        <v>0</v>
      </c>
      <c r="G114" s="3"/>
      <c r="H114" s="3"/>
      <c r="I114" s="3"/>
      <c r="J114" s="20">
        <f t="shared" si="13"/>
        <v>0</v>
      </c>
      <c r="K114" s="3"/>
      <c r="L114" s="3">
        <f t="shared" si="14"/>
        <v>0</v>
      </c>
      <c r="M114" s="3"/>
      <c r="N114" s="20">
        <f t="shared" si="15"/>
        <v>0</v>
      </c>
      <c r="O114" s="12"/>
      <c r="P114" s="3">
        <v>0</v>
      </c>
      <c r="Q114" s="3"/>
      <c r="R114" s="20">
        <f t="shared" si="16"/>
        <v>0</v>
      </c>
      <c r="S114" s="3"/>
      <c r="T114" s="3">
        <v>55364.33</v>
      </c>
      <c r="U114" s="3"/>
      <c r="V114" s="20">
        <f t="shared" si="17"/>
        <v>8.8107434449833655E-3</v>
      </c>
      <c r="W114" s="3"/>
      <c r="X114" s="3">
        <f t="shared" si="18"/>
        <v>-55364.33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","5044"," - ","PURCHASES @ COST-ACCESSORIES")</f>
        <v xml:space="preserve">          5044 - PURCHASES @ COST-ACCESSORIES</v>
      </c>
      <c r="C115" s="12"/>
      <c r="D115" s="3"/>
      <c r="E115" s="3"/>
      <c r="F115" s="20">
        <f t="shared" si="12"/>
        <v>0</v>
      </c>
      <c r="G115" s="3"/>
      <c r="H115" s="3"/>
      <c r="I115" s="3"/>
      <c r="J115" s="20">
        <f t="shared" si="13"/>
        <v>0</v>
      </c>
      <c r="K115" s="3"/>
      <c r="L115" s="3">
        <f t="shared" si="14"/>
        <v>0</v>
      </c>
      <c r="M115" s="3"/>
      <c r="N115" s="20">
        <f t="shared" si="15"/>
        <v>0</v>
      </c>
      <c r="O115" s="12"/>
      <c r="P115" s="3">
        <v>0</v>
      </c>
      <c r="Q115" s="3"/>
      <c r="R115" s="20">
        <f t="shared" si="16"/>
        <v>0</v>
      </c>
      <c r="S115" s="3"/>
      <c r="T115" s="3">
        <v>1064.83</v>
      </c>
      <c r="U115" s="3"/>
      <c r="V115" s="20">
        <f t="shared" si="17"/>
        <v>1.6945827652067017E-4</v>
      </c>
      <c r="W115" s="3"/>
      <c r="X115" s="3">
        <f t="shared" si="18"/>
        <v>-1064.83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","5045"," - ","PURCHASES @ COST-SPECIAL ORDER")</f>
        <v xml:space="preserve">          5045 - PURCHASES @ COST-SPECIAL ORDER</v>
      </c>
      <c r="C116" s="12"/>
      <c r="D116" s="3"/>
      <c r="E116" s="3"/>
      <c r="F116" s="20">
        <f t="shared" si="12"/>
        <v>0</v>
      </c>
      <c r="G116" s="3"/>
      <c r="H116" s="3">
        <v>13853.18</v>
      </c>
      <c r="I116" s="3"/>
      <c r="J116" s="20">
        <f t="shared" si="13"/>
        <v>2.2599728509871443E-2</v>
      </c>
      <c r="K116" s="3"/>
      <c r="L116" s="3">
        <f t="shared" si="14"/>
        <v>-13853.18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109226.69</v>
      </c>
      <c r="U116" s="3"/>
      <c r="V116" s="20">
        <f t="shared" si="17"/>
        <v>1.7382461648767899E-2</v>
      </c>
      <c r="W116" s="3"/>
      <c r="X116" s="3">
        <f t="shared" si="18"/>
        <v>-109226.69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","5081"," - ","PURCHASES @ COST-ELECTRONICS")</f>
        <v xml:space="preserve">          5081 - PURCHASES @ COST-ELECTRONICS</v>
      </c>
      <c r="C117" s="12"/>
      <c r="D117" s="3"/>
      <c r="E117" s="3"/>
      <c r="F117" s="20">
        <f t="shared" si="12"/>
        <v>0</v>
      </c>
      <c r="G117" s="3"/>
      <c r="H117" s="3">
        <v>309.97000000000003</v>
      </c>
      <c r="I117" s="3"/>
      <c r="J117" s="20">
        <f t="shared" si="13"/>
        <v>5.0567724134132751E-4</v>
      </c>
      <c r="K117" s="3"/>
      <c r="L117" s="3">
        <f t="shared" si="14"/>
        <v>-309.97000000000003</v>
      </c>
      <c r="M117" s="3"/>
      <c r="N117" s="20">
        <f t="shared" si="15"/>
        <v>-1</v>
      </c>
      <c r="O117" s="12"/>
      <c r="P117" s="3">
        <v>0</v>
      </c>
      <c r="Q117" s="3"/>
      <c r="R117" s="20">
        <f t="shared" si="16"/>
        <v>0</v>
      </c>
      <c r="S117" s="3"/>
      <c r="T117" s="3">
        <v>32467.87</v>
      </c>
      <c r="U117" s="3"/>
      <c r="V117" s="20">
        <f t="shared" si="17"/>
        <v>5.1669743456675453E-3</v>
      </c>
      <c r="W117" s="3"/>
      <c r="X117" s="3">
        <f t="shared" si="18"/>
        <v>-32467.87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","5082"," - ","PURCHASES @ COST-COMPUTER HARD")</f>
        <v xml:space="preserve">          5082 - PURCHASES @ COST-COMPUTER HARD</v>
      </c>
      <c r="C118" s="12"/>
      <c r="D118" s="3">
        <v>-16384.86</v>
      </c>
      <c r="E118" s="3"/>
      <c r="F118" s="20">
        <f t="shared" si="12"/>
        <v>-1.5610895974474326E-2</v>
      </c>
      <c r="G118" s="3"/>
      <c r="H118" s="3">
        <v>132715.92000000001</v>
      </c>
      <c r="I118" s="3"/>
      <c r="J118" s="20">
        <f t="shared" si="13"/>
        <v>0.21650940512848443</v>
      </c>
      <c r="K118" s="3"/>
      <c r="L118" s="3">
        <f t="shared" si="14"/>
        <v>-149100.78000000003</v>
      </c>
      <c r="M118" s="3"/>
      <c r="N118" s="20">
        <f t="shared" si="15"/>
        <v>-1.1234581352410473</v>
      </c>
      <c r="O118" s="12"/>
      <c r="P118" s="3">
        <v>-110193.26</v>
      </c>
      <c r="Q118" s="3"/>
      <c r="R118" s="20">
        <f t="shared" si="16"/>
        <v>-1.4617000769264723E-2</v>
      </c>
      <c r="S118" s="3"/>
      <c r="T118" s="3">
        <v>1396293.76</v>
      </c>
      <c r="U118" s="3"/>
      <c r="V118" s="20">
        <f t="shared" si="17"/>
        <v>0.22220780226530648</v>
      </c>
      <c r="W118" s="3"/>
      <c r="X118" s="3">
        <f t="shared" si="18"/>
        <v>-1506487.02</v>
      </c>
      <c r="Y118" s="3"/>
      <c r="Z118" s="20">
        <f t="shared" si="19"/>
        <v>-1.0789183932183439</v>
      </c>
    </row>
    <row r="119" spans="1:26" s="69" customFormat="1" ht="15" hidden="1" customHeight="1" outlineLevel="1" x14ac:dyDescent="0.3">
      <c r="A119" s="42"/>
      <c r="B119" s="12" t="str">
        <f>CONCATENATE("          ","5083"," - ","PURCHASES @ COST-COMPUTER EQUI")</f>
        <v xml:space="preserve">          5083 - PURCHASES @ COST-COMPUTER EQUI</v>
      </c>
      <c r="C119" s="12"/>
      <c r="D119" s="3"/>
      <c r="E119" s="3"/>
      <c r="F119" s="20">
        <f t="shared" si="12"/>
        <v>0</v>
      </c>
      <c r="G119" s="3"/>
      <c r="H119" s="3">
        <v>6015.06</v>
      </c>
      <c r="I119" s="3"/>
      <c r="J119" s="20">
        <f t="shared" si="13"/>
        <v>9.8128171994146703E-3</v>
      </c>
      <c r="K119" s="3"/>
      <c r="L119" s="3">
        <f t="shared" si="14"/>
        <v>-6015.06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105203.33</v>
      </c>
      <c r="U119" s="3"/>
      <c r="V119" s="20">
        <f t="shared" si="17"/>
        <v>1.6742179489716968E-2</v>
      </c>
      <c r="W119" s="3"/>
      <c r="X119" s="3">
        <f t="shared" si="18"/>
        <v>-105203.33</v>
      </c>
      <c r="Y119" s="3"/>
      <c r="Z119" s="20">
        <f t="shared" si="19"/>
        <v>-1</v>
      </c>
    </row>
    <row r="120" spans="1:26" s="69" customFormat="1" ht="15" hidden="1" customHeight="1" outlineLevel="1" x14ac:dyDescent="0.3">
      <c r="A120" s="42"/>
      <c r="B120" s="12" t="str">
        <f>CONCATENATE("          ","5085"," - ","PURCHASES @ COST-SOFTWARE")</f>
        <v xml:space="preserve">          5085 - PURCHASES @ COST-SOFTWARE</v>
      </c>
      <c r="C120" s="12"/>
      <c r="D120" s="3"/>
      <c r="E120" s="3"/>
      <c r="F120" s="20">
        <f t="shared" si="12"/>
        <v>0</v>
      </c>
      <c r="G120" s="3"/>
      <c r="H120" s="3">
        <v>3753.26</v>
      </c>
      <c r="I120" s="3"/>
      <c r="J120" s="20">
        <f t="shared" si="13"/>
        <v>6.1229737162846439E-3</v>
      </c>
      <c r="K120" s="3"/>
      <c r="L120" s="3">
        <f t="shared" si="14"/>
        <v>-3753.26</v>
      </c>
      <c r="M120" s="3"/>
      <c r="N120" s="20">
        <f t="shared" si="15"/>
        <v>-1</v>
      </c>
      <c r="O120" s="12"/>
      <c r="P120" s="3">
        <v>0</v>
      </c>
      <c r="Q120" s="3"/>
      <c r="R120" s="20">
        <f t="shared" si="16"/>
        <v>0</v>
      </c>
      <c r="S120" s="3"/>
      <c r="T120" s="3">
        <v>33898.71</v>
      </c>
      <c r="U120" s="3"/>
      <c r="V120" s="20">
        <f t="shared" si="17"/>
        <v>5.3946798764816992E-3</v>
      </c>
      <c r="W120" s="3"/>
      <c r="X120" s="3">
        <f t="shared" si="18"/>
        <v>-33898.71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","5086"," - ","PURCHASES @ COST-COMPUTER SUPP")</f>
        <v xml:space="preserve">          5086 - PURCHASES @ COST-COMPUTER SUPP</v>
      </c>
      <c r="C121" s="12"/>
      <c r="D121" s="3"/>
      <c r="E121" s="3"/>
      <c r="F121" s="20">
        <f t="shared" si="12"/>
        <v>0</v>
      </c>
      <c r="G121" s="3"/>
      <c r="H121" s="3">
        <v>525.71</v>
      </c>
      <c r="I121" s="3"/>
      <c r="J121" s="20">
        <f t="shared" si="13"/>
        <v>8.5763003692470013E-4</v>
      </c>
      <c r="K121" s="3"/>
      <c r="L121" s="3">
        <f t="shared" si="14"/>
        <v>-525.71</v>
      </c>
      <c r="M121" s="3"/>
      <c r="N121" s="20">
        <f t="shared" si="15"/>
        <v>-1</v>
      </c>
      <c r="O121" s="12"/>
      <c r="P121" s="3">
        <v>0</v>
      </c>
      <c r="Q121" s="3"/>
      <c r="R121" s="20">
        <f t="shared" si="16"/>
        <v>0</v>
      </c>
      <c r="S121" s="3"/>
      <c r="T121" s="3">
        <v>23664.2</v>
      </c>
      <c r="U121" s="3"/>
      <c r="V121" s="20">
        <f t="shared" si="17"/>
        <v>3.7659481299742153E-3</v>
      </c>
      <c r="W121" s="3"/>
      <c r="X121" s="3">
        <f t="shared" si="18"/>
        <v>-23664.2</v>
      </c>
      <c r="Y121" s="3"/>
      <c r="Z121" s="20">
        <f t="shared" si="19"/>
        <v>-1</v>
      </c>
    </row>
    <row r="122" spans="1:26" s="69" customFormat="1" ht="15" hidden="1" customHeight="1" outlineLevel="1" x14ac:dyDescent="0.3">
      <c r="A122" s="42"/>
      <c r="B122" s="12" t="str">
        <f>CONCATENATE("          ","5092"," - ","PURCHASES @ COST-GRAD MERCH")</f>
        <v xml:space="preserve">          5092 - PURCHASES @ COST-GRAD MERCH</v>
      </c>
      <c r="C122" s="12"/>
      <c r="D122" s="3"/>
      <c r="E122" s="3"/>
      <c r="F122" s="20">
        <f t="shared" si="12"/>
        <v>0</v>
      </c>
      <c r="G122" s="3"/>
      <c r="H122" s="3"/>
      <c r="I122" s="3"/>
      <c r="J122" s="20">
        <f t="shared" si="13"/>
        <v>0</v>
      </c>
      <c r="K122" s="3"/>
      <c r="L122" s="3">
        <f t="shared" si="14"/>
        <v>0</v>
      </c>
      <c r="M122" s="3"/>
      <c r="N122" s="20">
        <f t="shared" si="15"/>
        <v>0</v>
      </c>
      <c r="O122" s="12"/>
      <c r="P122" s="3"/>
      <c r="Q122" s="3"/>
      <c r="R122" s="20">
        <f t="shared" si="16"/>
        <v>0</v>
      </c>
      <c r="S122" s="3"/>
      <c r="T122" s="3">
        <v>0</v>
      </c>
      <c r="U122" s="3"/>
      <c r="V122" s="20">
        <f t="shared" si="17"/>
        <v>0</v>
      </c>
      <c r="W122" s="3"/>
      <c r="X122" s="3">
        <f t="shared" si="18"/>
        <v>0</v>
      </c>
      <c r="Y122" s="3"/>
      <c r="Z122" s="20">
        <f t="shared" si="19"/>
        <v>0</v>
      </c>
    </row>
    <row r="123" spans="1:26" s="69" customFormat="1" ht="15" hidden="1" customHeight="1" outlineLevel="1" x14ac:dyDescent="0.3">
      <c r="A123" s="42"/>
      <c r="B123" s="12" t="str">
        <f>CONCATENATE("          ","5200"," - ","PURCHASES OFFSET")</f>
        <v xml:space="preserve">          5200 - PURCHASES OFFSET</v>
      </c>
      <c r="C123" s="12"/>
      <c r="D123" s="3">
        <v>-516882.53</v>
      </c>
      <c r="E123" s="3"/>
      <c r="F123" s="20">
        <f t="shared" si="12"/>
        <v>-0.49246678988121378</v>
      </c>
      <c r="G123" s="3"/>
      <c r="H123" s="3">
        <v>73739.19</v>
      </c>
      <c r="I123" s="3"/>
      <c r="J123" s="20">
        <f t="shared" si="13"/>
        <v>0.12029625505030811</v>
      </c>
      <c r="K123" s="3"/>
      <c r="L123" s="3">
        <f t="shared" si="14"/>
        <v>-590621.72</v>
      </c>
      <c r="M123" s="3"/>
      <c r="N123" s="20">
        <f t="shared" si="15"/>
        <v>-8.0096041196004446</v>
      </c>
      <c r="O123" s="12"/>
      <c r="P123" s="3">
        <v>-4903335.74</v>
      </c>
      <c r="Q123" s="3"/>
      <c r="R123" s="20">
        <f t="shared" si="16"/>
        <v>-0.65042147118202343</v>
      </c>
      <c r="S123" s="3"/>
      <c r="T123" s="3">
        <v>-3351949.73</v>
      </c>
      <c r="U123" s="3"/>
      <c r="V123" s="20">
        <f t="shared" si="17"/>
        <v>-0.53343315292556159</v>
      </c>
      <c r="W123" s="3"/>
      <c r="X123" s="3">
        <f t="shared" si="18"/>
        <v>-1551386.0100000002</v>
      </c>
      <c r="Y123" s="3"/>
      <c r="Z123" s="20">
        <f t="shared" si="19"/>
        <v>0.46283092974667023</v>
      </c>
    </row>
    <row r="124" spans="1:26" s="69" customFormat="1" ht="15" hidden="1" customHeight="1" outlineLevel="1" x14ac:dyDescent="0.3">
      <c r="A124" s="42"/>
      <c r="B124" s="12" t="str">
        <f>CONCATENATE("          ","5300"," - ","COG$ OFFSET")</f>
        <v xml:space="preserve">          5300 - COG$ OFFSET</v>
      </c>
      <c r="C124" s="12"/>
      <c r="D124" s="3">
        <v>647373.84</v>
      </c>
      <c r="E124" s="3"/>
      <c r="F124" s="20">
        <f t="shared" si="12"/>
        <v>0.61679414244833242</v>
      </c>
      <c r="G124" s="3"/>
      <c r="H124" s="3">
        <v>453621</v>
      </c>
      <c r="I124" s="3"/>
      <c r="J124" s="20">
        <f t="shared" si="13"/>
        <v>0.74002586022677785</v>
      </c>
      <c r="K124" s="3"/>
      <c r="L124" s="3">
        <f t="shared" si="14"/>
        <v>193752.83999999997</v>
      </c>
      <c r="M124" s="3"/>
      <c r="N124" s="20">
        <f t="shared" si="15"/>
        <v>0.42712493469217688</v>
      </c>
      <c r="O124" s="12"/>
      <c r="P124" s="3">
        <v>4584379.68</v>
      </c>
      <c r="Q124" s="3"/>
      <c r="R124" s="20">
        <f t="shared" si="16"/>
        <v>0.60811234107386936</v>
      </c>
      <c r="S124" s="3"/>
      <c r="T124" s="3">
        <v>4038084</v>
      </c>
      <c r="U124" s="3"/>
      <c r="V124" s="20">
        <f t="shared" si="17"/>
        <v>0.64262535342326377</v>
      </c>
      <c r="W124" s="3"/>
      <c r="X124" s="3">
        <f t="shared" si="18"/>
        <v>546295.6799999997</v>
      </c>
      <c r="Y124" s="3"/>
      <c r="Z124" s="20">
        <f t="shared" si="19"/>
        <v>0.13528586329556286</v>
      </c>
    </row>
    <row r="125" spans="1:26" s="69" customFormat="1" ht="15" hidden="1" customHeight="1" outlineLevel="1" x14ac:dyDescent="0.3">
      <c r="A125" s="42"/>
      <c r="B125" s="12" t="str">
        <f>CONCATENATE("          ","5500"," - ","FREIGHT-IN")</f>
        <v xml:space="preserve">          5500 - FREIGHT-IN</v>
      </c>
      <c r="C125" s="12"/>
      <c r="D125" s="3">
        <v>24405.54</v>
      </c>
      <c r="E125" s="3"/>
      <c r="F125" s="20">
        <f t="shared" si="12"/>
        <v>2.3252706836730502E-2</v>
      </c>
      <c r="G125" s="3"/>
      <c r="H125" s="3"/>
      <c r="I125" s="3"/>
      <c r="J125" s="20">
        <f t="shared" si="13"/>
        <v>0</v>
      </c>
      <c r="K125" s="3"/>
      <c r="L125" s="3">
        <f t="shared" si="14"/>
        <v>24405.54</v>
      </c>
      <c r="M125" s="3"/>
      <c r="N125" s="20">
        <f t="shared" si="15"/>
        <v>0</v>
      </c>
      <c r="O125" s="12"/>
      <c r="P125" s="3">
        <v>148287.96</v>
      </c>
      <c r="Q125" s="3"/>
      <c r="R125" s="20">
        <f t="shared" si="16"/>
        <v>1.9670215994995487E-2</v>
      </c>
      <c r="S125" s="3"/>
      <c r="T125" s="3">
        <v>0</v>
      </c>
      <c r="U125" s="3"/>
      <c r="V125" s="20">
        <f t="shared" si="17"/>
        <v>0</v>
      </c>
      <c r="W125" s="3"/>
      <c r="X125" s="3">
        <f t="shared" si="18"/>
        <v>148287.96</v>
      </c>
      <c r="Y125" s="3"/>
      <c r="Z125" s="20">
        <f t="shared" si="19"/>
        <v>0</v>
      </c>
    </row>
    <row r="126" spans="1:26" s="69" customFormat="1" ht="15" hidden="1" customHeight="1" outlineLevel="1" x14ac:dyDescent="0.3">
      <c r="A126" s="42"/>
      <c r="B126" s="12" t="str">
        <f>CONCATENATE("          ","5501"," - ","FREIGHT-IN-NEW TEXT")</f>
        <v xml:space="preserve">          5501 - FREIGHT-IN-NEW TEXT</v>
      </c>
      <c r="C126" s="12"/>
      <c r="D126" s="3"/>
      <c r="E126" s="3"/>
      <c r="F126" s="20">
        <f t="shared" si="12"/>
        <v>0</v>
      </c>
      <c r="G126" s="3"/>
      <c r="H126" s="3">
        <v>785.54</v>
      </c>
      <c r="I126" s="3"/>
      <c r="J126" s="20">
        <f t="shared" si="13"/>
        <v>1.281510146669892E-3</v>
      </c>
      <c r="K126" s="3"/>
      <c r="L126" s="3">
        <f t="shared" si="14"/>
        <v>-785.54</v>
      </c>
      <c r="M126" s="3"/>
      <c r="N126" s="20">
        <f t="shared" si="15"/>
        <v>-1</v>
      </c>
      <c r="O126" s="12"/>
      <c r="P126" s="3">
        <v>0</v>
      </c>
      <c r="Q126" s="3"/>
      <c r="R126" s="20">
        <f t="shared" si="16"/>
        <v>0</v>
      </c>
      <c r="S126" s="3"/>
      <c r="T126" s="3">
        <v>50042.46</v>
      </c>
      <c r="U126" s="3"/>
      <c r="V126" s="20">
        <f t="shared" si="17"/>
        <v>7.963814904214361E-3</v>
      </c>
      <c r="W126" s="3"/>
      <c r="X126" s="3">
        <f t="shared" si="18"/>
        <v>-50042.46</v>
      </c>
      <c r="Y126" s="3"/>
      <c r="Z126" s="20">
        <f t="shared" si="19"/>
        <v>-1</v>
      </c>
    </row>
    <row r="127" spans="1:26" s="69" customFormat="1" ht="15" hidden="1" customHeight="1" outlineLevel="1" x14ac:dyDescent="0.3">
      <c r="A127" s="42"/>
      <c r="B127" s="12" t="str">
        <f>CONCATENATE("          ","5502"," - ","FREIGHT-IN-USED TEXT")</f>
        <v xml:space="preserve">          5502 - FREIGHT-IN-USED TEXT</v>
      </c>
      <c r="C127" s="12"/>
      <c r="D127" s="3"/>
      <c r="E127" s="3"/>
      <c r="F127" s="20">
        <f t="shared" si="12"/>
        <v>0</v>
      </c>
      <c r="G127" s="3"/>
      <c r="H127" s="3">
        <v>663.37</v>
      </c>
      <c r="I127" s="3"/>
      <c r="J127" s="20">
        <f t="shared" si="13"/>
        <v>1.0822050894880035E-3</v>
      </c>
      <c r="K127" s="3"/>
      <c r="L127" s="3">
        <f t="shared" si="14"/>
        <v>-663.37</v>
      </c>
      <c r="M127" s="3"/>
      <c r="N127" s="20">
        <f t="shared" si="15"/>
        <v>-1</v>
      </c>
      <c r="O127" s="12"/>
      <c r="P127" s="3">
        <v>0</v>
      </c>
      <c r="Q127" s="3"/>
      <c r="R127" s="20">
        <f t="shared" si="16"/>
        <v>0</v>
      </c>
      <c r="S127" s="3"/>
      <c r="T127" s="3">
        <v>17800.13</v>
      </c>
      <c r="U127" s="3"/>
      <c r="V127" s="20">
        <f t="shared" si="17"/>
        <v>2.8327332547391391E-3</v>
      </c>
      <c r="W127" s="3"/>
      <c r="X127" s="3">
        <f t="shared" si="18"/>
        <v>-17800.13</v>
      </c>
      <c r="Y127" s="3"/>
      <c r="Z127" s="20">
        <f t="shared" si="19"/>
        <v>-1</v>
      </c>
    </row>
    <row r="128" spans="1:26" s="69" customFormat="1" ht="15" hidden="1" customHeight="1" outlineLevel="1" x14ac:dyDescent="0.3">
      <c r="A128" s="42"/>
      <c r="B128" s="12" t="str">
        <f>CONCATENATE("          ","5504"," - ","FREIGHT-IN-DIGITAL TEXT")</f>
        <v xml:space="preserve">          5504 - FREIGHT-IN-DIGITAL TEXT</v>
      </c>
      <c r="C128" s="12"/>
      <c r="D128" s="3"/>
      <c r="E128" s="3"/>
      <c r="F128" s="20">
        <f t="shared" ref="F128:F146" si="20">IF(D$12=0,0,D128/D$12)</f>
        <v>0</v>
      </c>
      <c r="G128" s="3"/>
      <c r="H128" s="3"/>
      <c r="I128" s="3"/>
      <c r="J128" s="20">
        <f t="shared" ref="J128:J146" si="21">IF(H$12=0,0,H128/H$12)</f>
        <v>0</v>
      </c>
      <c r="K128" s="3"/>
      <c r="L128" s="3">
        <f t="shared" ref="L128:L146" si="22">+D128-H128</f>
        <v>0</v>
      </c>
      <c r="M128" s="3"/>
      <c r="N128" s="20">
        <f t="shared" ref="N128:N146" si="23">IF(H128=0,0,L128/H128)</f>
        <v>0</v>
      </c>
      <c r="O128" s="12"/>
      <c r="P128" s="3"/>
      <c r="Q128" s="3"/>
      <c r="R128" s="20">
        <f t="shared" ref="R128:R146" si="24">IF(P$12=0,0,P128/P$12)</f>
        <v>0</v>
      </c>
      <c r="S128" s="3"/>
      <c r="T128" s="3">
        <v>28.92</v>
      </c>
      <c r="U128" s="3"/>
      <c r="V128" s="20">
        <f t="shared" ref="V128:V146" si="25">IF(T$12=0,0,T128/T$12)</f>
        <v>4.6023622146049439E-6</v>
      </c>
      <c r="W128" s="3"/>
      <c r="X128" s="3">
        <f t="shared" ref="X128:X146" si="26">+P128-T128</f>
        <v>-28.92</v>
      </c>
      <c r="Y128" s="3"/>
      <c r="Z128" s="20">
        <f t="shared" ref="Z128:Z146" si="27">IF(T128=0,0,X128/T128)</f>
        <v>-1</v>
      </c>
    </row>
    <row r="129" spans="1:26" s="69" customFormat="1" ht="15" hidden="1" customHeight="1" outlineLevel="1" x14ac:dyDescent="0.3">
      <c r="A129" s="42"/>
      <c r="B129" s="12" t="str">
        <f>CONCATENATE("          ","5513"," - ","FREIGHT-IN-TRADE BOOKS")</f>
        <v xml:space="preserve">          5513 - FREIGHT-IN-TRADE BOOKS</v>
      </c>
      <c r="C129" s="12"/>
      <c r="D129" s="3"/>
      <c r="E129" s="3"/>
      <c r="F129" s="20">
        <f t="shared" si="20"/>
        <v>0</v>
      </c>
      <c r="G129" s="3"/>
      <c r="H129" s="3">
        <v>51.76</v>
      </c>
      <c r="I129" s="3"/>
      <c r="J129" s="20">
        <f t="shared" si="21"/>
        <v>8.4439958743836853E-5</v>
      </c>
      <c r="K129" s="3"/>
      <c r="L129" s="3">
        <f t="shared" si="22"/>
        <v>-51.76</v>
      </c>
      <c r="M129" s="3"/>
      <c r="N129" s="20">
        <f t="shared" si="23"/>
        <v>-1</v>
      </c>
      <c r="O129" s="12"/>
      <c r="P129" s="3"/>
      <c r="Q129" s="3"/>
      <c r="R129" s="20">
        <f t="shared" si="24"/>
        <v>0</v>
      </c>
      <c r="S129" s="3"/>
      <c r="T129" s="3">
        <v>85.28</v>
      </c>
      <c r="U129" s="3"/>
      <c r="V129" s="20">
        <f t="shared" si="25"/>
        <v>1.357155773380047E-5</v>
      </c>
      <c r="W129" s="3"/>
      <c r="X129" s="3">
        <f t="shared" si="26"/>
        <v>-85.28</v>
      </c>
      <c r="Y129" s="3"/>
      <c r="Z129" s="20">
        <f t="shared" si="27"/>
        <v>-1</v>
      </c>
    </row>
    <row r="130" spans="1:26" s="69" customFormat="1" ht="15" hidden="1" customHeight="1" outlineLevel="1" x14ac:dyDescent="0.3">
      <c r="A130" s="42"/>
      <c r="B130" s="12" t="str">
        <f>CONCATENATE("          ","5518"," - ","FREIGHT-IN-STUDY GUIDES")</f>
        <v xml:space="preserve">          5518 - FREIGHT-IN-STUDY GUIDES</v>
      </c>
      <c r="C130" s="12"/>
      <c r="D130" s="3"/>
      <c r="E130" s="3"/>
      <c r="F130" s="20">
        <f t="shared" si="20"/>
        <v>0</v>
      </c>
      <c r="G130" s="3"/>
      <c r="H130" s="3"/>
      <c r="I130" s="3"/>
      <c r="J130" s="20">
        <f t="shared" si="21"/>
        <v>0</v>
      </c>
      <c r="K130" s="3"/>
      <c r="L130" s="3">
        <f t="shared" si="22"/>
        <v>0</v>
      </c>
      <c r="M130" s="3"/>
      <c r="N130" s="20">
        <f t="shared" si="23"/>
        <v>0</v>
      </c>
      <c r="O130" s="12"/>
      <c r="P130" s="3">
        <v>0</v>
      </c>
      <c r="Q130" s="3"/>
      <c r="R130" s="20">
        <f t="shared" si="24"/>
        <v>0</v>
      </c>
      <c r="S130" s="3"/>
      <c r="T130" s="3"/>
      <c r="U130" s="3"/>
      <c r="V130" s="20">
        <f t="shared" si="25"/>
        <v>0</v>
      </c>
      <c r="W130" s="3"/>
      <c r="X130" s="3">
        <f t="shared" si="26"/>
        <v>0</v>
      </c>
      <c r="Y130" s="3"/>
      <c r="Z130" s="20">
        <f t="shared" si="27"/>
        <v>0</v>
      </c>
    </row>
    <row r="131" spans="1:26" s="69" customFormat="1" ht="15" hidden="1" customHeight="1" outlineLevel="1" x14ac:dyDescent="0.3">
      <c r="A131" s="42"/>
      <c r="B131" s="12" t="str">
        <f>CONCATENATE("          ","5525"," - ","FREIGHT-IN-TEST FORMS")</f>
        <v xml:space="preserve">          5525 - FREIGHT-IN-TEST FORMS</v>
      </c>
      <c r="C131" s="12"/>
      <c r="D131" s="3"/>
      <c r="E131" s="3"/>
      <c r="F131" s="20">
        <f t="shared" si="20"/>
        <v>0</v>
      </c>
      <c r="G131" s="3"/>
      <c r="H131" s="3"/>
      <c r="I131" s="3"/>
      <c r="J131" s="20">
        <f t="shared" si="21"/>
        <v>0</v>
      </c>
      <c r="K131" s="3"/>
      <c r="L131" s="3">
        <f t="shared" si="22"/>
        <v>0</v>
      </c>
      <c r="M131" s="3"/>
      <c r="N131" s="20">
        <f t="shared" si="23"/>
        <v>0</v>
      </c>
      <c r="O131" s="12"/>
      <c r="P131" s="3"/>
      <c r="Q131" s="3"/>
      <c r="R131" s="20">
        <f t="shared" si="24"/>
        <v>0</v>
      </c>
      <c r="S131" s="3"/>
      <c r="T131" s="3">
        <v>48.14</v>
      </c>
      <c r="U131" s="3"/>
      <c r="V131" s="20">
        <f t="shared" si="25"/>
        <v>7.6610552216833323E-6</v>
      </c>
      <c r="W131" s="3"/>
      <c r="X131" s="3">
        <f t="shared" si="26"/>
        <v>-48.14</v>
      </c>
      <c r="Y131" s="3"/>
      <c r="Z131" s="20">
        <f t="shared" si="27"/>
        <v>-1</v>
      </c>
    </row>
    <row r="132" spans="1:26" s="69" customFormat="1" ht="15" hidden="1" customHeight="1" outlineLevel="1" x14ac:dyDescent="0.3">
      <c r="A132" s="42"/>
      <c r="B132" s="12" t="str">
        <f>CONCATENATE("          ","5526"," - ","FREIGHT-IN-WRITING INSTRUMENTS")</f>
        <v xml:space="preserve">          5526 - FREIGHT-IN-WRITING INSTRUMENTS</v>
      </c>
      <c r="C132" s="12"/>
      <c r="D132" s="3"/>
      <c r="E132" s="3"/>
      <c r="F132" s="20">
        <f t="shared" si="20"/>
        <v>0</v>
      </c>
      <c r="G132" s="3"/>
      <c r="H132" s="3"/>
      <c r="I132" s="3"/>
      <c r="J132" s="20">
        <f t="shared" si="21"/>
        <v>0</v>
      </c>
      <c r="K132" s="3"/>
      <c r="L132" s="3">
        <f t="shared" si="22"/>
        <v>0</v>
      </c>
      <c r="M132" s="3"/>
      <c r="N132" s="20">
        <f t="shared" si="23"/>
        <v>0</v>
      </c>
      <c r="O132" s="12"/>
      <c r="P132" s="3"/>
      <c r="Q132" s="3"/>
      <c r="R132" s="20">
        <f t="shared" si="24"/>
        <v>0</v>
      </c>
      <c r="S132" s="3"/>
      <c r="T132" s="3">
        <v>0</v>
      </c>
      <c r="U132" s="3"/>
      <c r="V132" s="20">
        <f t="shared" si="25"/>
        <v>0</v>
      </c>
      <c r="W132" s="3"/>
      <c r="X132" s="3">
        <f t="shared" si="26"/>
        <v>0</v>
      </c>
      <c r="Y132" s="3"/>
      <c r="Z132" s="20">
        <f t="shared" si="27"/>
        <v>0</v>
      </c>
    </row>
    <row r="133" spans="1:26" s="69" customFormat="1" ht="15" hidden="1" customHeight="1" outlineLevel="1" x14ac:dyDescent="0.3">
      <c r="A133" s="42"/>
      <c r="B133" s="12" t="str">
        <f>CONCATENATE("          ","5527"," - ","FREIGHT-IN-SCHOOL SUPPLIES")</f>
        <v xml:space="preserve">          5527 - FREIGHT-IN-SCHOOL SUPPLIES</v>
      </c>
      <c r="C133" s="12"/>
      <c r="D133" s="3"/>
      <c r="E133" s="3"/>
      <c r="F133" s="20">
        <f t="shared" si="20"/>
        <v>0</v>
      </c>
      <c r="G133" s="3"/>
      <c r="H133" s="3">
        <v>41.12</v>
      </c>
      <c r="I133" s="3"/>
      <c r="J133" s="20">
        <f t="shared" si="21"/>
        <v>6.708213105770037E-5</v>
      </c>
      <c r="K133" s="3"/>
      <c r="L133" s="3">
        <f t="shared" si="22"/>
        <v>-41.12</v>
      </c>
      <c r="M133" s="3"/>
      <c r="N133" s="20">
        <f t="shared" si="23"/>
        <v>-1</v>
      </c>
      <c r="O133" s="12"/>
      <c r="P133" s="3">
        <v>0</v>
      </c>
      <c r="Q133" s="3"/>
      <c r="R133" s="20">
        <f t="shared" si="24"/>
        <v>0</v>
      </c>
      <c r="S133" s="3"/>
      <c r="T133" s="3">
        <v>218.62</v>
      </c>
      <c r="U133" s="3"/>
      <c r="V133" s="20">
        <f t="shared" si="25"/>
        <v>3.4791439396851064E-5</v>
      </c>
      <c r="W133" s="3"/>
      <c r="X133" s="3">
        <f t="shared" si="26"/>
        <v>-218.62</v>
      </c>
      <c r="Y133" s="3"/>
      <c r="Z133" s="20">
        <f t="shared" si="27"/>
        <v>-1</v>
      </c>
    </row>
    <row r="134" spans="1:26" s="69" customFormat="1" ht="15" hidden="1" customHeight="1" outlineLevel="1" x14ac:dyDescent="0.3">
      <c r="A134" s="42"/>
      <c r="B134" s="12" t="str">
        <f>CONCATENATE("          ","5528"," - ","FREIGHT-IN-ART/TECH")</f>
        <v xml:space="preserve">          5528 - FREIGHT-IN-ART/TECH</v>
      </c>
      <c r="C134" s="12"/>
      <c r="D134" s="3"/>
      <c r="E134" s="3"/>
      <c r="F134" s="20">
        <f t="shared" si="20"/>
        <v>0</v>
      </c>
      <c r="G134" s="3"/>
      <c r="H134" s="3">
        <v>103.71</v>
      </c>
      <c r="I134" s="3"/>
      <c r="J134" s="20">
        <f t="shared" si="21"/>
        <v>1.6918987869635473E-4</v>
      </c>
      <c r="K134" s="3"/>
      <c r="L134" s="3">
        <f t="shared" si="22"/>
        <v>-103.71</v>
      </c>
      <c r="M134" s="3"/>
      <c r="N134" s="20">
        <f t="shared" si="23"/>
        <v>-1</v>
      </c>
      <c r="O134" s="12"/>
      <c r="P134" s="3">
        <v>0</v>
      </c>
      <c r="Q134" s="3"/>
      <c r="R134" s="20">
        <f t="shared" si="24"/>
        <v>0</v>
      </c>
      <c r="S134" s="3"/>
      <c r="T134" s="3">
        <v>455.21</v>
      </c>
      <c r="U134" s="3"/>
      <c r="V134" s="20">
        <f t="shared" si="25"/>
        <v>7.2442645356511634E-5</v>
      </c>
      <c r="W134" s="3"/>
      <c r="X134" s="3">
        <f t="shared" si="26"/>
        <v>-455.21</v>
      </c>
      <c r="Y134" s="3"/>
      <c r="Z134" s="20">
        <f t="shared" si="27"/>
        <v>-1</v>
      </c>
    </row>
    <row r="135" spans="1:26" s="69" customFormat="1" ht="15" hidden="1" customHeight="1" outlineLevel="1" x14ac:dyDescent="0.3">
      <c r="A135" s="42"/>
      <c r="B135" s="12" t="str">
        <f>CONCATENATE("          ","5540"," - ","FREIGHT-IN-LOGO CLOTHING")</f>
        <v xml:space="preserve">          5540 - FREIGHT-IN-LOGO CLOTHING</v>
      </c>
      <c r="C135" s="12"/>
      <c r="D135" s="3"/>
      <c r="E135" s="3"/>
      <c r="F135" s="20">
        <f t="shared" si="20"/>
        <v>0</v>
      </c>
      <c r="G135" s="3"/>
      <c r="H135" s="3">
        <v>1167.1400000000001</v>
      </c>
      <c r="I135" s="3"/>
      <c r="J135" s="20">
        <f t="shared" si="21"/>
        <v>1.9040427636839597E-3</v>
      </c>
      <c r="K135" s="3"/>
      <c r="L135" s="3">
        <f t="shared" si="22"/>
        <v>-1167.1400000000001</v>
      </c>
      <c r="M135" s="3"/>
      <c r="N135" s="20">
        <f t="shared" si="23"/>
        <v>-1</v>
      </c>
      <c r="O135" s="12"/>
      <c r="P135" s="3">
        <v>0</v>
      </c>
      <c r="Q135" s="3"/>
      <c r="R135" s="20">
        <f t="shared" si="24"/>
        <v>0</v>
      </c>
      <c r="S135" s="3"/>
      <c r="T135" s="3">
        <v>7108.37</v>
      </c>
      <c r="U135" s="3"/>
      <c r="V135" s="20">
        <f t="shared" si="25"/>
        <v>1.1312342149180962E-3</v>
      </c>
      <c r="W135" s="3"/>
      <c r="X135" s="3">
        <f t="shared" si="26"/>
        <v>-7108.37</v>
      </c>
      <c r="Y135" s="3"/>
      <c r="Z135" s="20">
        <f t="shared" si="27"/>
        <v>-1</v>
      </c>
    </row>
    <row r="136" spans="1:26" s="69" customFormat="1" ht="15" hidden="1" customHeight="1" outlineLevel="1" x14ac:dyDescent="0.3">
      <c r="A136" s="42"/>
      <c r="B136" s="12" t="str">
        <f>CONCATENATE("          ","5541"," - ","FREIGHT-IN-LOGO GIFTS")</f>
        <v xml:space="preserve">          5541 - FREIGHT-IN-LOGO GIFTS</v>
      </c>
      <c r="C136" s="12"/>
      <c r="D136" s="3"/>
      <c r="E136" s="3"/>
      <c r="F136" s="20">
        <f t="shared" si="20"/>
        <v>0</v>
      </c>
      <c r="G136" s="3"/>
      <c r="H136" s="3">
        <v>60.07</v>
      </c>
      <c r="I136" s="3"/>
      <c r="J136" s="20">
        <f t="shared" si="21"/>
        <v>9.799668318667466E-5</v>
      </c>
      <c r="K136" s="3"/>
      <c r="L136" s="3">
        <f t="shared" si="22"/>
        <v>-60.07</v>
      </c>
      <c r="M136" s="3"/>
      <c r="N136" s="20">
        <f t="shared" si="23"/>
        <v>-1</v>
      </c>
      <c r="O136" s="12"/>
      <c r="P136" s="3">
        <v>0</v>
      </c>
      <c r="Q136" s="3"/>
      <c r="R136" s="20">
        <f t="shared" si="24"/>
        <v>0</v>
      </c>
      <c r="S136" s="3"/>
      <c r="T136" s="3">
        <v>2138</v>
      </c>
      <c r="U136" s="3"/>
      <c r="V136" s="20">
        <f t="shared" si="25"/>
        <v>3.402437902775024E-4</v>
      </c>
      <c r="W136" s="3"/>
      <c r="X136" s="3">
        <f t="shared" si="26"/>
        <v>-2138</v>
      </c>
      <c r="Y136" s="3"/>
      <c r="Z136" s="20">
        <f t="shared" si="27"/>
        <v>-1</v>
      </c>
    </row>
    <row r="137" spans="1:26" s="69" customFormat="1" ht="15" hidden="1" customHeight="1" outlineLevel="1" x14ac:dyDescent="0.3">
      <c r="A137" s="42"/>
      <c r="B137" s="12" t="str">
        <f>CONCATENATE("          ","5542"," - ","FREIGHT-IN-EVERYDAY GIFTS")</f>
        <v xml:space="preserve">          5542 - FREIGHT-IN-EVERYDAY GIFTS</v>
      </c>
      <c r="C137" s="12"/>
      <c r="D137" s="3"/>
      <c r="E137" s="3"/>
      <c r="F137" s="20">
        <f t="shared" si="20"/>
        <v>0</v>
      </c>
      <c r="G137" s="3"/>
      <c r="H137" s="3">
        <v>297.79000000000002</v>
      </c>
      <c r="I137" s="3"/>
      <c r="J137" s="20">
        <f t="shared" si="21"/>
        <v>4.8580709649009233E-4</v>
      </c>
      <c r="K137" s="3"/>
      <c r="L137" s="3">
        <f t="shared" si="22"/>
        <v>-297.79000000000002</v>
      </c>
      <c r="M137" s="3"/>
      <c r="N137" s="20">
        <f t="shared" si="23"/>
        <v>-1</v>
      </c>
      <c r="O137" s="12"/>
      <c r="P137" s="3">
        <v>0</v>
      </c>
      <c r="Q137" s="3"/>
      <c r="R137" s="20">
        <f t="shared" si="24"/>
        <v>0</v>
      </c>
      <c r="S137" s="3"/>
      <c r="T137" s="3">
        <v>681.72</v>
      </c>
      <c r="U137" s="3"/>
      <c r="V137" s="20">
        <f t="shared" si="25"/>
        <v>1.0848970846958791E-4</v>
      </c>
      <c r="W137" s="3"/>
      <c r="X137" s="3">
        <f t="shared" si="26"/>
        <v>-681.72</v>
      </c>
      <c r="Y137" s="3"/>
      <c r="Z137" s="20">
        <f t="shared" si="27"/>
        <v>-1</v>
      </c>
    </row>
    <row r="138" spans="1:26" s="69" customFormat="1" ht="15" hidden="1" customHeight="1" outlineLevel="1" x14ac:dyDescent="0.3">
      <c r="A138" s="42"/>
      <c r="B138" s="12" t="str">
        <f>CONCATENATE("          ","5543"," - ","FREIGHT-IN-CARDS")</f>
        <v xml:space="preserve">          5543 - FREIGHT-IN-CARDS</v>
      </c>
      <c r="C138" s="12"/>
      <c r="D138" s="3"/>
      <c r="E138" s="3"/>
      <c r="F138" s="20">
        <f t="shared" si="20"/>
        <v>0</v>
      </c>
      <c r="G138" s="3"/>
      <c r="H138" s="3"/>
      <c r="I138" s="3"/>
      <c r="J138" s="20">
        <f t="shared" si="21"/>
        <v>0</v>
      </c>
      <c r="K138" s="3"/>
      <c r="L138" s="3">
        <f t="shared" si="22"/>
        <v>0</v>
      </c>
      <c r="M138" s="3"/>
      <c r="N138" s="20">
        <f t="shared" si="23"/>
        <v>0</v>
      </c>
      <c r="O138" s="12"/>
      <c r="P138" s="3"/>
      <c r="Q138" s="3"/>
      <c r="R138" s="20">
        <f t="shared" si="24"/>
        <v>0</v>
      </c>
      <c r="S138" s="3"/>
      <c r="T138" s="3">
        <v>9110.5300000000007</v>
      </c>
      <c r="U138" s="3"/>
      <c r="V138" s="20">
        <f t="shared" si="25"/>
        <v>1.4498602706440103E-3</v>
      </c>
      <c r="W138" s="3"/>
      <c r="X138" s="3">
        <f t="shared" si="26"/>
        <v>-9110.5300000000007</v>
      </c>
      <c r="Y138" s="3"/>
      <c r="Z138" s="20">
        <f t="shared" si="27"/>
        <v>-1</v>
      </c>
    </row>
    <row r="139" spans="1:26" s="69" customFormat="1" ht="15" hidden="1" customHeight="1" outlineLevel="1" x14ac:dyDescent="0.3">
      <c r="A139" s="42"/>
      <c r="B139" s="12" t="str">
        <f>CONCATENATE("          ","5544"," - ","FREIGHT-IN-ACCESSORIES")</f>
        <v xml:space="preserve">          5544 - FREIGHT-IN-ACCESSORIES</v>
      </c>
      <c r="C139" s="12"/>
      <c r="D139" s="3"/>
      <c r="E139" s="3"/>
      <c r="F139" s="20">
        <f t="shared" si="20"/>
        <v>0</v>
      </c>
      <c r="G139" s="3"/>
      <c r="H139" s="3"/>
      <c r="I139" s="3"/>
      <c r="J139" s="20">
        <f t="shared" si="21"/>
        <v>0</v>
      </c>
      <c r="K139" s="3"/>
      <c r="L139" s="3">
        <f t="shared" si="22"/>
        <v>0</v>
      </c>
      <c r="M139" s="3"/>
      <c r="N139" s="20">
        <f t="shared" si="23"/>
        <v>0</v>
      </c>
      <c r="O139" s="12"/>
      <c r="P139" s="3">
        <v>0</v>
      </c>
      <c r="Q139" s="3"/>
      <c r="R139" s="20">
        <f t="shared" si="24"/>
        <v>0</v>
      </c>
      <c r="S139" s="3"/>
      <c r="T139" s="3"/>
      <c r="U139" s="3"/>
      <c r="V139" s="20">
        <f t="shared" si="25"/>
        <v>0</v>
      </c>
      <c r="W139" s="3"/>
      <c r="X139" s="3">
        <f t="shared" si="26"/>
        <v>0</v>
      </c>
      <c r="Y139" s="3"/>
      <c r="Z139" s="20">
        <f t="shared" si="27"/>
        <v>0</v>
      </c>
    </row>
    <row r="140" spans="1:26" s="69" customFormat="1" ht="15" hidden="1" customHeight="1" outlineLevel="1" x14ac:dyDescent="0.3">
      <c r="A140" s="42"/>
      <c r="B140" s="12" t="str">
        <f>CONCATENATE("          ","5545"," - ","FREIGHT-IN-SPECIAL ORDERS")</f>
        <v xml:space="preserve">          5545 - FREIGHT-IN-SPECIAL ORDERS</v>
      </c>
      <c r="C140" s="12"/>
      <c r="D140" s="3"/>
      <c r="E140" s="3"/>
      <c r="F140" s="20">
        <f t="shared" si="20"/>
        <v>0</v>
      </c>
      <c r="G140" s="3"/>
      <c r="H140" s="3">
        <v>17.63</v>
      </c>
      <c r="I140" s="3"/>
      <c r="J140" s="20">
        <f t="shared" si="21"/>
        <v>2.876113741603253E-5</v>
      </c>
      <c r="K140" s="3"/>
      <c r="L140" s="3">
        <f t="shared" si="22"/>
        <v>-17.63</v>
      </c>
      <c r="M140" s="3"/>
      <c r="N140" s="20">
        <f t="shared" si="23"/>
        <v>-1</v>
      </c>
      <c r="O140" s="12"/>
      <c r="P140" s="3">
        <v>0</v>
      </c>
      <c r="Q140" s="3"/>
      <c r="R140" s="20">
        <f t="shared" si="24"/>
        <v>0</v>
      </c>
      <c r="S140" s="3"/>
      <c r="T140" s="3">
        <v>1266.1600000000001</v>
      </c>
      <c r="U140" s="3"/>
      <c r="V140" s="20">
        <f t="shared" si="25"/>
        <v>2.0149816534039406E-4</v>
      </c>
      <c r="W140" s="3"/>
      <c r="X140" s="3">
        <f t="shared" si="26"/>
        <v>-1266.1600000000001</v>
      </c>
      <c r="Y140" s="3"/>
      <c r="Z140" s="20">
        <f t="shared" si="27"/>
        <v>-1</v>
      </c>
    </row>
    <row r="141" spans="1:26" s="69" customFormat="1" ht="15" hidden="1" customHeight="1" outlineLevel="1" x14ac:dyDescent="0.3">
      <c r="A141" s="42"/>
      <c r="B141" s="12" t="str">
        <f>CONCATENATE("          ","5581"," - ","FREIGHT-IN-ELECTRONICS")</f>
        <v xml:space="preserve">          5581 - FREIGHT-IN-ELECTRONICS</v>
      </c>
      <c r="C141" s="12"/>
      <c r="D141" s="3"/>
      <c r="E141" s="3"/>
      <c r="F141" s="20">
        <f t="shared" si="20"/>
        <v>0</v>
      </c>
      <c r="G141" s="3"/>
      <c r="H141" s="3"/>
      <c r="I141" s="3"/>
      <c r="J141" s="20">
        <f t="shared" si="21"/>
        <v>0</v>
      </c>
      <c r="K141" s="3"/>
      <c r="L141" s="3">
        <f t="shared" si="22"/>
        <v>0</v>
      </c>
      <c r="M141" s="3"/>
      <c r="N141" s="20">
        <f t="shared" si="23"/>
        <v>0</v>
      </c>
      <c r="O141" s="12"/>
      <c r="P141" s="3"/>
      <c r="Q141" s="3"/>
      <c r="R141" s="20">
        <f t="shared" si="24"/>
        <v>0</v>
      </c>
      <c r="S141" s="3"/>
      <c r="T141" s="3">
        <v>31</v>
      </c>
      <c r="U141" s="3"/>
      <c r="V141" s="20">
        <f t="shared" si="25"/>
        <v>4.9333758178683696E-6</v>
      </c>
      <c r="W141" s="3"/>
      <c r="X141" s="3">
        <f t="shared" si="26"/>
        <v>-31</v>
      </c>
      <c r="Y141" s="3"/>
      <c r="Z141" s="20">
        <f t="shared" si="27"/>
        <v>-1</v>
      </c>
    </row>
    <row r="142" spans="1:26" s="69" customFormat="1" ht="15" hidden="1" customHeight="1" outlineLevel="1" x14ac:dyDescent="0.3">
      <c r="A142" s="42"/>
      <c r="B142" s="12" t="str">
        <f>CONCATENATE("          ","5582"," - ","FREIGHT-IN-COMPUTER HARDWARE")</f>
        <v xml:space="preserve">          5582 - FREIGHT-IN-COMPUTER HARDWARE</v>
      </c>
      <c r="C142" s="12"/>
      <c r="D142" s="3"/>
      <c r="E142" s="3"/>
      <c r="F142" s="20">
        <f t="shared" si="20"/>
        <v>0</v>
      </c>
      <c r="G142" s="3"/>
      <c r="H142" s="3"/>
      <c r="I142" s="3"/>
      <c r="J142" s="20">
        <f t="shared" si="21"/>
        <v>0</v>
      </c>
      <c r="K142" s="3"/>
      <c r="L142" s="3">
        <f t="shared" si="22"/>
        <v>0</v>
      </c>
      <c r="M142" s="3"/>
      <c r="N142" s="20">
        <f t="shared" si="23"/>
        <v>0</v>
      </c>
      <c r="O142" s="12"/>
      <c r="P142" s="3"/>
      <c r="Q142" s="3"/>
      <c r="R142" s="20">
        <f t="shared" si="24"/>
        <v>0</v>
      </c>
      <c r="S142" s="3"/>
      <c r="T142" s="3">
        <v>125</v>
      </c>
      <c r="U142" s="3"/>
      <c r="V142" s="20">
        <f t="shared" si="25"/>
        <v>1.9892644426888587E-5</v>
      </c>
      <c r="W142" s="3"/>
      <c r="X142" s="3">
        <f t="shared" si="26"/>
        <v>-125</v>
      </c>
      <c r="Y142" s="3"/>
      <c r="Z142" s="20">
        <f t="shared" si="27"/>
        <v>-1</v>
      </c>
    </row>
    <row r="143" spans="1:26" s="69" customFormat="1" ht="15" hidden="1" customHeight="1" outlineLevel="1" x14ac:dyDescent="0.3">
      <c r="A143" s="42"/>
      <c r="B143" s="12" t="str">
        <f>CONCATENATE("          ","5583"," - ","FREIGHT-IN-COMPUTER EQUIPMENT")</f>
        <v xml:space="preserve">          5583 - FREIGHT-IN-COMPUTER EQUIPMENT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>
        <v>0</v>
      </c>
      <c r="Q143" s="3"/>
      <c r="R143" s="20">
        <f t="shared" si="24"/>
        <v>0</v>
      </c>
      <c r="S143" s="3"/>
      <c r="T143" s="3">
        <v>242.46</v>
      </c>
      <c r="U143" s="3"/>
      <c r="V143" s="20">
        <f t="shared" si="25"/>
        <v>3.8585364541947258E-5</v>
      </c>
      <c r="W143" s="3"/>
      <c r="X143" s="3">
        <f t="shared" si="26"/>
        <v>-242.46</v>
      </c>
      <c r="Y143" s="3"/>
      <c r="Z143" s="20">
        <f t="shared" si="27"/>
        <v>-1</v>
      </c>
    </row>
    <row r="144" spans="1:26" s="69" customFormat="1" ht="15" hidden="1" customHeight="1" outlineLevel="1" x14ac:dyDescent="0.3">
      <c r="A144" s="42"/>
      <c r="B144" s="12" t="str">
        <f>CONCATENATE("          ","5585"," - ","FREIGHT-IN-SOFTWARE")</f>
        <v xml:space="preserve">          5585 - FREIGHT-IN-SOFTWARE</v>
      </c>
      <c r="C144" s="12"/>
      <c r="D144" s="3"/>
      <c r="E144" s="3"/>
      <c r="F144" s="20">
        <f t="shared" si="20"/>
        <v>0</v>
      </c>
      <c r="G144" s="3"/>
      <c r="H144" s="3">
        <v>9.41</v>
      </c>
      <c r="I144" s="3"/>
      <c r="J144" s="20">
        <f t="shared" si="21"/>
        <v>1.5351236703622583E-5</v>
      </c>
      <c r="K144" s="3"/>
      <c r="L144" s="3">
        <f t="shared" si="22"/>
        <v>-9.41</v>
      </c>
      <c r="M144" s="3"/>
      <c r="N144" s="20">
        <f t="shared" si="23"/>
        <v>-1</v>
      </c>
      <c r="O144" s="12"/>
      <c r="P144" s="3"/>
      <c r="Q144" s="3"/>
      <c r="R144" s="20">
        <f t="shared" si="24"/>
        <v>0</v>
      </c>
      <c r="S144" s="3"/>
      <c r="T144" s="3">
        <v>9.41</v>
      </c>
      <c r="U144" s="3"/>
      <c r="V144" s="20">
        <f t="shared" si="25"/>
        <v>1.4975182724561728E-6</v>
      </c>
      <c r="W144" s="3"/>
      <c r="X144" s="3">
        <f t="shared" si="26"/>
        <v>-9.41</v>
      </c>
      <c r="Y144" s="3"/>
      <c r="Z144" s="20">
        <f t="shared" si="27"/>
        <v>-1</v>
      </c>
    </row>
    <row r="145" spans="1:26" s="69" customFormat="1" ht="15" hidden="1" customHeight="1" outlineLevel="1" x14ac:dyDescent="0.3">
      <c r="A145" s="42"/>
      <c r="B145" s="12" t="str">
        <f>CONCATENATE("          ","5586"," - ","FREIGHT-IN-COMPUTER SUPPLIES")</f>
        <v xml:space="preserve">          5586 - FREIGHT-IN-COMPUTER SUPPLIES</v>
      </c>
      <c r="C145" s="12"/>
      <c r="D145" s="3"/>
      <c r="E145" s="3"/>
      <c r="F145" s="20">
        <f t="shared" si="20"/>
        <v>0</v>
      </c>
      <c r="G145" s="3"/>
      <c r="H145" s="3"/>
      <c r="I145" s="3"/>
      <c r="J145" s="20">
        <f t="shared" si="21"/>
        <v>0</v>
      </c>
      <c r="K145" s="3"/>
      <c r="L145" s="3">
        <f t="shared" si="22"/>
        <v>0</v>
      </c>
      <c r="M145" s="3"/>
      <c r="N145" s="20">
        <f t="shared" si="23"/>
        <v>0</v>
      </c>
      <c r="O145" s="12"/>
      <c r="P145" s="3"/>
      <c r="Q145" s="3"/>
      <c r="R145" s="20">
        <f t="shared" si="24"/>
        <v>0</v>
      </c>
      <c r="S145" s="3"/>
      <c r="T145" s="3">
        <v>24.12</v>
      </c>
      <c r="U145" s="3"/>
      <c r="V145" s="20">
        <f t="shared" si="25"/>
        <v>3.8384846686124222E-6</v>
      </c>
      <c r="W145" s="3"/>
      <c r="X145" s="3">
        <f t="shared" si="26"/>
        <v>-24.12</v>
      </c>
      <c r="Y145" s="3"/>
      <c r="Z145" s="20">
        <f t="shared" si="27"/>
        <v>-1</v>
      </c>
    </row>
    <row r="146" spans="1:26" s="69" customFormat="1" ht="15" hidden="1" customHeight="1" outlineLevel="1" x14ac:dyDescent="0.3">
      <c r="A146" s="42"/>
      <c r="B146" s="12" t="str">
        <f>CONCATENATE("          ","5592"," - ","FREIGHT-IN-GRAD MERCH")</f>
        <v xml:space="preserve">          5592 - FREIGHT-IN-GRAD MERCH</v>
      </c>
      <c r="C146" s="12"/>
      <c r="D146" s="3"/>
      <c r="E146" s="3"/>
      <c r="F146" s="20">
        <f t="shared" si="20"/>
        <v>0</v>
      </c>
      <c r="G146" s="3"/>
      <c r="H146" s="3"/>
      <c r="I146" s="3"/>
      <c r="J146" s="20">
        <f t="shared" si="21"/>
        <v>0</v>
      </c>
      <c r="K146" s="3"/>
      <c r="L146" s="3">
        <f t="shared" si="22"/>
        <v>0</v>
      </c>
      <c r="M146" s="3"/>
      <c r="N146" s="20">
        <f t="shared" si="23"/>
        <v>0</v>
      </c>
      <c r="O146" s="12"/>
      <c r="P146" s="3"/>
      <c r="Q146" s="3"/>
      <c r="R146" s="20">
        <f t="shared" si="24"/>
        <v>0</v>
      </c>
      <c r="S146" s="3"/>
      <c r="T146" s="3">
        <v>0</v>
      </c>
      <c r="U146" s="3"/>
      <c r="V146" s="20">
        <f t="shared" si="25"/>
        <v>0</v>
      </c>
      <c r="W146" s="3"/>
      <c r="X146" s="3">
        <f t="shared" si="26"/>
        <v>0</v>
      </c>
      <c r="Y146" s="3"/>
      <c r="Z146" s="20">
        <f t="shared" si="27"/>
        <v>0</v>
      </c>
    </row>
    <row r="147" spans="1:26" ht="15" customHeight="1" x14ac:dyDescent="0.3">
      <c r="A147" s="10"/>
      <c r="B147" s="11"/>
      <c r="C147" s="11"/>
      <c r="D147" s="4"/>
      <c r="E147" s="4"/>
      <c r="F147" s="9"/>
      <c r="G147" s="4"/>
      <c r="H147" s="4"/>
      <c r="I147" s="4"/>
      <c r="J147" s="9"/>
      <c r="K147" s="4"/>
      <c r="L147" s="4"/>
      <c r="M147" s="4"/>
      <c r="N147" s="9"/>
      <c r="O147" s="11"/>
      <c r="P147" s="4"/>
      <c r="Q147" s="4"/>
      <c r="R147" s="9"/>
      <c r="S147" s="4"/>
      <c r="T147" s="4"/>
      <c r="U147" s="4"/>
      <c r="V147" s="9"/>
      <c r="W147" s="4"/>
      <c r="X147" s="4"/>
      <c r="Y147" s="4"/>
      <c r="Z147" s="9"/>
    </row>
    <row r="148" spans="1:26" s="62" customFormat="1" ht="15" customHeight="1" x14ac:dyDescent="0.3">
      <c r="A148" s="11"/>
      <c r="B148" s="27" t="s">
        <v>288</v>
      </c>
      <c r="C148" s="27"/>
      <c r="D148" s="22">
        <f>D12-D96</f>
        <v>419582.32999999996</v>
      </c>
      <c r="E148" s="15"/>
      <c r="F148" s="21">
        <f>IF(D$12=0,0,D148/D$12)</f>
        <v>0.39976271425923426</v>
      </c>
      <c r="G148" s="15"/>
      <c r="H148" s="22">
        <f>H12-H96</f>
        <v>158505.0799999999</v>
      </c>
      <c r="I148" s="15"/>
      <c r="J148" s="21">
        <f>IF(H$12=0,0,H148/H$12)</f>
        <v>0.25858119041515748</v>
      </c>
      <c r="K148" s="17"/>
      <c r="L148" s="22">
        <f>+D148-H148</f>
        <v>261077.25000000006</v>
      </c>
      <c r="M148" s="17"/>
      <c r="N148" s="21">
        <f>IF(H148=0,0,L148/H148)</f>
        <v>1.6471222878156349</v>
      </c>
      <c r="O148" s="28"/>
      <c r="P148" s="22">
        <f>P12-P96</f>
        <v>2742397.5500000007</v>
      </c>
      <c r="Q148" s="15"/>
      <c r="R148" s="21">
        <f>IF(P$12=0,0,P148/P$12)</f>
        <v>0.36377567101635533</v>
      </c>
      <c r="S148" s="15"/>
      <c r="T148" s="22">
        <f>T12-T96</f>
        <v>1698232.0700000012</v>
      </c>
      <c r="U148" s="15"/>
      <c r="V148" s="21">
        <f>IF(T$12=0,0,T148/T$12)</f>
        <v>0.27025861378279198</v>
      </c>
      <c r="W148" s="17"/>
      <c r="X148" s="22">
        <f>+P148-T148</f>
        <v>1044165.4799999995</v>
      </c>
      <c r="Y148" s="17"/>
      <c r="Z148" s="21">
        <f>IF(T148=0,0,X148/T148)</f>
        <v>0.61485441150572473</v>
      </c>
    </row>
    <row r="149" spans="1:26" ht="15" customHeight="1" x14ac:dyDescent="0.3">
      <c r="A149" s="10"/>
      <c r="B149" s="11"/>
      <c r="C149" s="10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36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62" customFormat="1" ht="15" customHeight="1" x14ac:dyDescent="0.3">
      <c r="A150" s="11"/>
      <c r="B150" s="28" t="s">
        <v>289</v>
      </c>
      <c r="C150" s="11"/>
      <c r="D150" s="23" cm="1">
        <f t="array" ref="D150">SUM(OSRRefD22x_0)</f>
        <v>333207.68000000005</v>
      </c>
      <c r="E150" s="23"/>
      <c r="F150" s="35">
        <f t="shared" ref="F150:F181" si="28">IF(D$12=0,0,D150/D$12)</f>
        <v>0.31746810350384008</v>
      </c>
      <c r="G150" s="23"/>
      <c r="H150" s="23" cm="1">
        <f t="array" ref="H150">SUM(OSRRefH22x_0)</f>
        <v>243630.8899999999</v>
      </c>
      <c r="I150" s="23"/>
      <c r="J150" s="35">
        <f t="shared" ref="J150:J181" si="29">IF(H$12=0,0,H150/H$12)</f>
        <v>0.39745329019173586</v>
      </c>
      <c r="K150" s="5"/>
      <c r="L150" s="23">
        <f t="shared" ref="L150:L181" si="30">+D150-H150</f>
        <v>89576.790000000154</v>
      </c>
      <c r="M150" s="5"/>
      <c r="N150" s="35">
        <f t="shared" ref="N150:N181" si="31">IF(H150=0,0,L150/H150)</f>
        <v>0.36767418942647295</v>
      </c>
      <c r="O150" s="11"/>
      <c r="P150" s="23" cm="1">
        <f t="array" ref="P150">SUM(OSRRefP22x_0)</f>
        <v>2986721.13</v>
      </c>
      <c r="Q150" s="23"/>
      <c r="R150" s="35">
        <f t="shared" ref="R150:R181" si="32">IF(P$12=0,0,P150/P$12)</f>
        <v>0.3961848942012352</v>
      </c>
      <c r="S150" s="23"/>
      <c r="T150" s="23" cm="1">
        <f t="array" ref="T150">SUM(OSRRefT22x_0)</f>
        <v>2506813.6900000004</v>
      </c>
      <c r="U150" s="23"/>
      <c r="V150" s="35">
        <f t="shared" ref="V150:V181" si="33">IF(T$12=0,0,T150/T$12)</f>
        <v>0.39893722703701218</v>
      </c>
      <c r="W150" s="5"/>
      <c r="X150" s="23">
        <f t="shared" ref="X150:X181" si="34">+P150-T150</f>
        <v>479907.43999999948</v>
      </c>
      <c r="Y150" s="5"/>
      <c r="Z150" s="35">
        <f t="shared" ref="Z150:Z181" si="35">IF(T150=0,0,X150/T150)</f>
        <v>0.19144120758332039</v>
      </c>
    </row>
    <row r="151" spans="1:26" s="68" customFormat="1" ht="15" customHeight="1" outlineLevel="1" collapsed="1" x14ac:dyDescent="0.3">
      <c r="A151" s="26"/>
      <c r="B151" s="14" t="str">
        <f>CONCATENATE("     ","*Benefits                                         ")</f>
        <v xml:space="preserve">     *Benefits                                         </v>
      </c>
      <c r="C151" s="14"/>
      <c r="D151" s="2">
        <f>SUM(OSRRefD22_0x_0)</f>
        <v>45456.06</v>
      </c>
      <c r="E151" s="2"/>
      <c r="F151" s="6">
        <f t="shared" si="28"/>
        <v>4.3308873195710147E-2</v>
      </c>
      <c r="G151" s="2"/>
      <c r="H151" s="2">
        <f>SUM(OSRRefH22_0x_0)</f>
        <v>48548.210000000006</v>
      </c>
      <c r="I151" s="2"/>
      <c r="J151" s="6">
        <f t="shared" si="29"/>
        <v>7.9200325531049623E-2</v>
      </c>
      <c r="K151" s="2"/>
      <c r="L151" s="2">
        <f t="shared" si="30"/>
        <v>-3092.1500000000087</v>
      </c>
      <c r="M151" s="2"/>
      <c r="N151" s="6">
        <f t="shared" si="31"/>
        <v>-6.3692358585414541E-2</v>
      </c>
      <c r="O151" s="14"/>
      <c r="P151" s="2">
        <f>SUM(OSRRefP22_0x_0)</f>
        <v>445271.44999999995</v>
      </c>
      <c r="Q151" s="2"/>
      <c r="R151" s="6">
        <f t="shared" si="32"/>
        <v>5.906471164553638E-2</v>
      </c>
      <c r="S151" s="2"/>
      <c r="T151" s="2">
        <f>SUM(OSRRefT22_0x_0)</f>
        <v>436475.83</v>
      </c>
      <c r="U151" s="2"/>
      <c r="V151" s="6">
        <f t="shared" si="33"/>
        <v>6.9461267896968562E-2</v>
      </c>
      <c r="W151" s="2"/>
      <c r="X151" s="2">
        <f t="shared" si="34"/>
        <v>8795.6199999999371</v>
      </c>
      <c r="Y151" s="2"/>
      <c r="Z151" s="6">
        <f t="shared" si="35"/>
        <v>2.01514480194698E-2</v>
      </c>
    </row>
    <row r="152" spans="1:26" s="69" customFormat="1" ht="15" hidden="1" customHeight="1" outlineLevel="2" x14ac:dyDescent="0.3">
      <c r="A152" s="25"/>
      <c r="B152" s="12" t="str">
        <f>CONCATENATE("          ","6111"," - ","F.I.C.A.")</f>
        <v xml:space="preserve">          6111 - F.I.C.A.</v>
      </c>
      <c r="C152" s="12"/>
      <c r="D152" s="8">
        <v>7323.68</v>
      </c>
      <c r="E152" s="3"/>
      <c r="F152" s="7">
        <f t="shared" si="28"/>
        <v>6.9777347276899606E-3</v>
      </c>
      <c r="G152" s="3"/>
      <c r="H152" s="8">
        <v>7927.26</v>
      </c>
      <c r="I152" s="3"/>
      <c r="J152" s="7">
        <f t="shared" si="29"/>
        <v>1.2932332058571642E-2</v>
      </c>
      <c r="K152" s="3"/>
      <c r="L152" s="8">
        <f t="shared" si="30"/>
        <v>-603.57999999999993</v>
      </c>
      <c r="M152" s="3"/>
      <c r="N152" s="7">
        <f t="shared" si="31"/>
        <v>-7.6139801141882554E-2</v>
      </c>
      <c r="O152" s="12"/>
      <c r="P152" s="8">
        <v>82671.77</v>
      </c>
      <c r="Q152" s="3"/>
      <c r="R152" s="7">
        <f t="shared" si="32"/>
        <v>1.0966308880293372E-2</v>
      </c>
      <c r="S152" s="3"/>
      <c r="T152" s="8">
        <v>83205.94</v>
      </c>
      <c r="U152" s="3"/>
      <c r="V152" s="7">
        <f t="shared" si="33"/>
        <v>1.3241489429000211E-2</v>
      </c>
      <c r="W152" s="3"/>
      <c r="X152" s="8">
        <f t="shared" si="34"/>
        <v>-534.16999999999825</v>
      </c>
      <c r="Y152" s="3"/>
      <c r="Z152" s="7">
        <f t="shared" si="35"/>
        <v>-6.4198541594506142E-3</v>
      </c>
    </row>
    <row r="153" spans="1:26" s="69" customFormat="1" ht="15" hidden="1" customHeight="1" outlineLevel="2" x14ac:dyDescent="0.3">
      <c r="A153" s="25"/>
      <c r="B153" s="12" t="str">
        <f>CONCATENATE("          ","6112"," - ","COMPENSATION INSURANCE")</f>
        <v xml:space="preserve">          6112 - COMPENSATION INSURANCE</v>
      </c>
      <c r="C153" s="12"/>
      <c r="D153" s="8">
        <v>2582.58</v>
      </c>
      <c r="E153" s="3"/>
      <c r="F153" s="7">
        <f t="shared" si="28"/>
        <v>2.460587867443353E-3</v>
      </c>
      <c r="G153" s="3"/>
      <c r="H153" s="8">
        <v>1901.46</v>
      </c>
      <c r="I153" s="3"/>
      <c r="J153" s="7">
        <f t="shared" si="29"/>
        <v>3.1019938939925817E-3</v>
      </c>
      <c r="K153" s="3"/>
      <c r="L153" s="8">
        <f t="shared" si="30"/>
        <v>681.11999999999989</v>
      </c>
      <c r="M153" s="3"/>
      <c r="N153" s="7">
        <f t="shared" si="31"/>
        <v>0.35820895522388052</v>
      </c>
      <c r="O153" s="12"/>
      <c r="P153" s="8">
        <v>23622.73</v>
      </c>
      <c r="Q153" s="3"/>
      <c r="R153" s="7">
        <f t="shared" si="32"/>
        <v>3.1335261574268053E-3</v>
      </c>
      <c r="S153" s="3"/>
      <c r="T153" s="8">
        <v>21337.55</v>
      </c>
      <c r="U153" s="3"/>
      <c r="V153" s="7">
        <f t="shared" si="33"/>
        <v>3.3956823607276527E-3</v>
      </c>
      <c r="W153" s="3"/>
      <c r="X153" s="8">
        <f t="shared" si="34"/>
        <v>2285.1800000000003</v>
      </c>
      <c r="Y153" s="3"/>
      <c r="Z153" s="7">
        <f t="shared" si="35"/>
        <v>0.10709664417892403</v>
      </c>
    </row>
    <row r="154" spans="1:26" s="69" customFormat="1" ht="15" hidden="1" customHeight="1" outlineLevel="2" x14ac:dyDescent="0.3">
      <c r="A154" s="25"/>
      <c r="B154" s="12" t="str">
        <f>CONCATENATE("          ","6113"," - ","GROUP INSURANCE")</f>
        <v xml:space="preserve">          6113 - GROUP INSURANCE</v>
      </c>
      <c r="C154" s="12"/>
      <c r="D154" s="8">
        <v>15795.45</v>
      </c>
      <c r="E154" s="3"/>
      <c r="F154" s="7">
        <f t="shared" si="28"/>
        <v>1.5049327661024292E-2</v>
      </c>
      <c r="G154" s="3"/>
      <c r="H154" s="8">
        <v>19334.150000000001</v>
      </c>
      <c r="I154" s="3"/>
      <c r="J154" s="7">
        <f t="shared" si="29"/>
        <v>3.1541244751683802E-2</v>
      </c>
      <c r="K154" s="3"/>
      <c r="L154" s="8">
        <f t="shared" si="30"/>
        <v>-3538.7000000000007</v>
      </c>
      <c r="M154" s="3"/>
      <c r="N154" s="7">
        <f t="shared" si="31"/>
        <v>-0.18302847552129267</v>
      </c>
      <c r="O154" s="12"/>
      <c r="P154" s="8">
        <v>158658.12</v>
      </c>
      <c r="Q154" s="3"/>
      <c r="R154" s="7">
        <f t="shared" si="32"/>
        <v>2.1045804998328345E-2</v>
      </c>
      <c r="S154" s="3"/>
      <c r="T154" s="8">
        <v>155962.42000000001</v>
      </c>
      <c r="U154" s="3"/>
      <c r="V154" s="7">
        <f t="shared" si="33"/>
        <v>2.4820039720136459E-2</v>
      </c>
      <c r="W154" s="3"/>
      <c r="X154" s="8">
        <f t="shared" si="34"/>
        <v>2695.6999999999825</v>
      </c>
      <c r="Y154" s="3"/>
      <c r="Z154" s="7">
        <f t="shared" si="35"/>
        <v>1.7284291946739364E-2</v>
      </c>
    </row>
    <row r="155" spans="1:26" s="69" customFormat="1" ht="15" hidden="1" customHeight="1" outlineLevel="2" x14ac:dyDescent="0.3">
      <c r="A155" s="25"/>
      <c r="B155" s="12" t="str">
        <f>CONCATENATE("          ","6114"," - ","STATE UNEMPLOYMENT INSURANCE")</f>
        <v xml:space="preserve">          6114 - STATE UNEMPLOYMENT INSURANCE</v>
      </c>
      <c r="C155" s="12"/>
      <c r="D155" s="8">
        <v>463.04</v>
      </c>
      <c r="E155" s="3"/>
      <c r="F155" s="7">
        <f t="shared" si="28"/>
        <v>4.4116759447566787E-4</v>
      </c>
      <c r="G155" s="3"/>
      <c r="H155" s="8">
        <v>331.72</v>
      </c>
      <c r="I155" s="3"/>
      <c r="J155" s="7">
        <f t="shared" si="29"/>
        <v>5.4115964286139036E-4</v>
      </c>
      <c r="K155" s="3"/>
      <c r="L155" s="8">
        <f t="shared" si="30"/>
        <v>131.32</v>
      </c>
      <c r="M155" s="3"/>
      <c r="N155" s="7">
        <f t="shared" si="31"/>
        <v>0.39587604003376337</v>
      </c>
      <c r="O155" s="12"/>
      <c r="P155" s="8">
        <v>4256.18</v>
      </c>
      <c r="Q155" s="3"/>
      <c r="R155" s="7">
        <f t="shared" si="32"/>
        <v>5.6457705611150024E-4</v>
      </c>
      <c r="S155" s="3"/>
      <c r="T155" s="8">
        <v>3442</v>
      </c>
      <c r="U155" s="3"/>
      <c r="V155" s="7">
        <f t="shared" si="33"/>
        <v>5.4776385693880414E-4</v>
      </c>
      <c r="W155" s="3"/>
      <c r="X155" s="8">
        <f t="shared" si="34"/>
        <v>814.18000000000029</v>
      </c>
      <c r="Y155" s="3"/>
      <c r="Z155" s="7">
        <f t="shared" si="35"/>
        <v>0.23654270772806515</v>
      </c>
    </row>
    <row r="156" spans="1:26" s="69" customFormat="1" ht="15" hidden="1" customHeight="1" outlineLevel="2" x14ac:dyDescent="0.3">
      <c r="A156" s="25"/>
      <c r="B156" s="12" t="str">
        <f>CONCATENATE("          ","6115"," - ","P.E.R.S.")</f>
        <v xml:space="preserve">          6115 - P.E.R.S.</v>
      </c>
      <c r="C156" s="12"/>
      <c r="D156" s="8">
        <v>5116.87</v>
      </c>
      <c r="E156" s="3"/>
      <c r="F156" s="7">
        <f t="shared" si="28"/>
        <v>4.8751667871991845E-3</v>
      </c>
      <c r="G156" s="3"/>
      <c r="H156" s="8">
        <v>6531.85</v>
      </c>
      <c r="I156" s="3"/>
      <c r="J156" s="7">
        <f t="shared" si="29"/>
        <v>1.0655895373279189E-2</v>
      </c>
      <c r="K156" s="3"/>
      <c r="L156" s="8">
        <f t="shared" si="30"/>
        <v>-1414.9800000000005</v>
      </c>
      <c r="M156" s="3"/>
      <c r="N156" s="7">
        <f t="shared" si="31"/>
        <v>-0.21662775477085364</v>
      </c>
      <c r="O156" s="12"/>
      <c r="P156" s="8">
        <v>61287.88</v>
      </c>
      <c r="Q156" s="3"/>
      <c r="R156" s="7">
        <f t="shared" si="32"/>
        <v>8.1297621025696494E-3</v>
      </c>
      <c r="S156" s="3"/>
      <c r="T156" s="8">
        <v>63936.34</v>
      </c>
      <c r="U156" s="3"/>
      <c r="V156" s="7">
        <f t="shared" si="33"/>
        <v>1.0174903020613231E-2</v>
      </c>
      <c r="W156" s="3"/>
      <c r="X156" s="8">
        <f t="shared" si="34"/>
        <v>-2648.4599999999991</v>
      </c>
      <c r="Y156" s="3"/>
      <c r="Z156" s="7">
        <f t="shared" si="35"/>
        <v>-4.1423390829065272E-2</v>
      </c>
    </row>
    <row r="157" spans="1:26" s="69" customFormat="1" ht="15" hidden="1" customHeight="1" outlineLevel="2" x14ac:dyDescent="0.3">
      <c r="A157" s="25"/>
      <c r="B157" s="12" t="str">
        <f>CONCATENATE("          ","6116"," - ","EDUCATIONAL BENEFITS")</f>
        <v xml:space="preserve">          6116 - EDUCATIONAL BENEFITS</v>
      </c>
      <c r="C157" s="12"/>
      <c r="D157" s="8"/>
      <c r="E157" s="3"/>
      <c r="F157" s="7">
        <f t="shared" si="28"/>
        <v>0</v>
      </c>
      <c r="G157" s="3"/>
      <c r="H157" s="8"/>
      <c r="I157" s="3"/>
      <c r="J157" s="7">
        <f t="shared" si="29"/>
        <v>0</v>
      </c>
      <c r="K157" s="3"/>
      <c r="L157" s="8">
        <f t="shared" si="30"/>
        <v>0</v>
      </c>
      <c r="M157" s="3"/>
      <c r="N157" s="7">
        <f t="shared" si="31"/>
        <v>0</v>
      </c>
      <c r="O157" s="12"/>
      <c r="P157" s="8"/>
      <c r="Q157" s="3"/>
      <c r="R157" s="7">
        <f t="shared" si="32"/>
        <v>0</v>
      </c>
      <c r="S157" s="3"/>
      <c r="T157" s="8">
        <v>0</v>
      </c>
      <c r="U157" s="3"/>
      <c r="V157" s="7">
        <f t="shared" si="33"/>
        <v>0</v>
      </c>
      <c r="W157" s="3"/>
      <c r="X157" s="8">
        <f t="shared" si="34"/>
        <v>0</v>
      </c>
      <c r="Y157" s="3"/>
      <c r="Z157" s="7">
        <f t="shared" si="35"/>
        <v>0</v>
      </c>
    </row>
    <row r="158" spans="1:26" s="69" customFormat="1" ht="15" hidden="1" customHeight="1" outlineLevel="2" x14ac:dyDescent="0.3">
      <c r="A158" s="25"/>
      <c r="B158" s="12" t="str">
        <f>CONCATENATE("          ","6117"," - ","RETIREMENT STAFF HOURLY")</f>
        <v xml:space="preserve">          6117 - RETIREMENT STAFF HOURLY</v>
      </c>
      <c r="C158" s="12"/>
      <c r="D158" s="8">
        <v>895.07</v>
      </c>
      <c r="E158" s="3"/>
      <c r="F158" s="7">
        <f t="shared" si="28"/>
        <v>8.5278999392565658E-4</v>
      </c>
      <c r="G158" s="3"/>
      <c r="H158" s="8">
        <v>914.84</v>
      </c>
      <c r="I158" s="3"/>
      <c r="J158" s="7">
        <f t="shared" si="29"/>
        <v>1.4924469060512309E-3</v>
      </c>
      <c r="K158" s="3"/>
      <c r="L158" s="8">
        <f t="shared" si="30"/>
        <v>-19.769999999999982</v>
      </c>
      <c r="M158" s="3"/>
      <c r="N158" s="7">
        <f t="shared" si="31"/>
        <v>-2.1610336233658323E-2</v>
      </c>
      <c r="O158" s="12"/>
      <c r="P158" s="8">
        <v>6142.32</v>
      </c>
      <c r="Q158" s="3"/>
      <c r="R158" s="7">
        <f t="shared" si="32"/>
        <v>8.1477121345779316E-4</v>
      </c>
      <c r="S158" s="3"/>
      <c r="T158" s="8">
        <v>5122.3</v>
      </c>
      <c r="U158" s="3"/>
      <c r="V158" s="7">
        <f t="shared" si="33"/>
        <v>8.1516874038281128E-4</v>
      </c>
      <c r="W158" s="3"/>
      <c r="X158" s="8">
        <f t="shared" si="34"/>
        <v>1020.0199999999995</v>
      </c>
      <c r="Y158" s="3"/>
      <c r="Z158" s="7">
        <f t="shared" si="35"/>
        <v>0.19913320188196698</v>
      </c>
    </row>
    <row r="159" spans="1:26" s="69" customFormat="1" ht="15" hidden="1" customHeight="1" outlineLevel="2" x14ac:dyDescent="0.3">
      <c r="A159" s="25"/>
      <c r="B159" s="12" t="str">
        <f>CONCATENATE("          ","6118"," - ","VACATION")</f>
        <v xml:space="preserve">          6118 - VACATION</v>
      </c>
      <c r="C159" s="12"/>
      <c r="D159" s="8">
        <v>5478.82</v>
      </c>
      <c r="E159" s="3"/>
      <c r="F159" s="7">
        <f t="shared" si="28"/>
        <v>5.2200195230761451E-3</v>
      </c>
      <c r="G159" s="3"/>
      <c r="H159" s="8">
        <v>5722.61</v>
      </c>
      <c r="I159" s="3"/>
      <c r="J159" s="7">
        <f t="shared" si="29"/>
        <v>9.3357216442632972E-3</v>
      </c>
      <c r="K159" s="3"/>
      <c r="L159" s="8">
        <f t="shared" si="30"/>
        <v>-243.78999999999996</v>
      </c>
      <c r="M159" s="3"/>
      <c r="N159" s="7">
        <f t="shared" si="31"/>
        <v>-4.2601190715425299E-2</v>
      </c>
      <c r="O159" s="12"/>
      <c r="P159" s="8">
        <v>59337.97</v>
      </c>
      <c r="Q159" s="3"/>
      <c r="R159" s="7">
        <f t="shared" si="32"/>
        <v>7.8711089329475056E-3</v>
      </c>
      <c r="S159" s="3"/>
      <c r="T159" s="8">
        <v>51436.7</v>
      </c>
      <c r="U159" s="3"/>
      <c r="V159" s="7">
        <f t="shared" si="33"/>
        <v>8.1856958687403208E-3</v>
      </c>
      <c r="W159" s="3"/>
      <c r="X159" s="8">
        <f t="shared" si="34"/>
        <v>7901.2700000000041</v>
      </c>
      <c r="Y159" s="3"/>
      <c r="Z159" s="7">
        <f t="shared" si="35"/>
        <v>0.1536115264004107</v>
      </c>
    </row>
    <row r="160" spans="1:26" s="69" customFormat="1" ht="15" hidden="1" customHeight="1" outlineLevel="2" x14ac:dyDescent="0.3">
      <c r="A160" s="25"/>
      <c r="B160" s="12" t="str">
        <f>CONCATENATE("          ","6119"," - ","SICK LEAVE")</f>
        <v xml:space="preserve">          6119 - SICK LEAVE</v>
      </c>
      <c r="C160" s="12"/>
      <c r="D160" s="8">
        <v>4128.58</v>
      </c>
      <c r="E160" s="3"/>
      <c r="F160" s="7">
        <f t="shared" si="28"/>
        <v>3.9335601831382875E-3</v>
      </c>
      <c r="G160" s="3"/>
      <c r="H160" s="8">
        <v>4091.66</v>
      </c>
      <c r="I160" s="3"/>
      <c r="J160" s="7">
        <f t="shared" si="29"/>
        <v>6.6750309426933446E-3</v>
      </c>
      <c r="K160" s="3"/>
      <c r="L160" s="8">
        <f t="shared" si="30"/>
        <v>36.920000000000073</v>
      </c>
      <c r="M160" s="3"/>
      <c r="N160" s="7">
        <f t="shared" si="31"/>
        <v>9.0232326244116257E-3</v>
      </c>
      <c r="O160" s="12"/>
      <c r="P160" s="8">
        <v>22232.29</v>
      </c>
      <c r="Q160" s="3"/>
      <c r="R160" s="7">
        <f t="shared" si="32"/>
        <v>2.9490859970248309E-3</v>
      </c>
      <c r="S160" s="3"/>
      <c r="T160" s="8">
        <v>37455.69</v>
      </c>
      <c r="U160" s="3"/>
      <c r="V160" s="7">
        <f t="shared" si="33"/>
        <v>5.9607417834701328E-3</v>
      </c>
      <c r="W160" s="3"/>
      <c r="X160" s="8">
        <f t="shared" si="34"/>
        <v>-15223.400000000001</v>
      </c>
      <c r="Y160" s="3"/>
      <c r="Z160" s="7">
        <f t="shared" si="35"/>
        <v>-0.40643757997783514</v>
      </c>
    </row>
    <row r="161" spans="1:26" s="69" customFormat="1" ht="15" hidden="1" customHeight="1" outlineLevel="2" x14ac:dyDescent="0.3">
      <c r="A161" s="25"/>
      <c r="B161" s="12" t="str">
        <f>CONCATENATE("          ","6156"," - ","EMPLOYEE MEALS")</f>
        <v xml:space="preserve">          6156 - EMPLOYEE MEALS</v>
      </c>
      <c r="C161" s="12"/>
      <c r="D161" s="8">
        <v>3671.97</v>
      </c>
      <c r="E161" s="3"/>
      <c r="F161" s="7">
        <f t="shared" si="28"/>
        <v>3.4985188577375992E-3</v>
      </c>
      <c r="G161" s="3"/>
      <c r="H161" s="8">
        <v>1792.66</v>
      </c>
      <c r="I161" s="3"/>
      <c r="J161" s="7">
        <f t="shared" si="29"/>
        <v>2.9245003176531412E-3</v>
      </c>
      <c r="K161" s="3"/>
      <c r="L161" s="8">
        <f t="shared" si="30"/>
        <v>1879.3099999999997</v>
      </c>
      <c r="M161" s="3"/>
      <c r="N161" s="7">
        <f t="shared" si="31"/>
        <v>1.0483359923242555</v>
      </c>
      <c r="O161" s="12"/>
      <c r="P161" s="8">
        <v>27062.19</v>
      </c>
      <c r="Q161" s="3"/>
      <c r="R161" s="7">
        <f t="shared" si="32"/>
        <v>3.5897663073765863E-3</v>
      </c>
      <c r="S161" s="3"/>
      <c r="T161" s="8">
        <v>14576.89</v>
      </c>
      <c r="U161" s="3"/>
      <c r="V161" s="7">
        <f t="shared" si="33"/>
        <v>2.319783116958944E-3</v>
      </c>
      <c r="W161" s="3"/>
      <c r="X161" s="8">
        <f t="shared" si="34"/>
        <v>12485.3</v>
      </c>
      <c r="Y161" s="3"/>
      <c r="Z161" s="7">
        <f t="shared" si="35"/>
        <v>0.8565132891858277</v>
      </c>
    </row>
    <row r="162" spans="1:26" s="68" customFormat="1" ht="15" customHeight="1" outlineLevel="1" collapsed="1" x14ac:dyDescent="0.3">
      <c r="A162" s="26"/>
      <c r="B162" s="14" t="str">
        <f>CONCATENATE("     ","*Payroll                                          ")</f>
        <v xml:space="preserve">     *Payroll                                          </v>
      </c>
      <c r="C162" s="14"/>
      <c r="D162" s="2">
        <f>SUM(OSRRefD22_1x_0)</f>
        <v>177397.82</v>
      </c>
      <c r="E162" s="2"/>
      <c r="F162" s="6">
        <f t="shared" si="28"/>
        <v>0.16901816152951693</v>
      </c>
      <c r="G162" s="2"/>
      <c r="H162" s="2">
        <f>SUM(OSRRefH22_1x_0)</f>
        <v>124811.92</v>
      </c>
      <c r="I162" s="2"/>
      <c r="J162" s="6">
        <f t="shared" si="29"/>
        <v>0.20361501884735445</v>
      </c>
      <c r="K162" s="2"/>
      <c r="L162" s="2">
        <f t="shared" si="30"/>
        <v>52585.900000000009</v>
      </c>
      <c r="M162" s="2"/>
      <c r="N162" s="6">
        <f t="shared" si="31"/>
        <v>0.42132113663502663</v>
      </c>
      <c r="O162" s="14"/>
      <c r="P162" s="2">
        <f>SUM(OSRRefP22_1x_0)</f>
        <v>1593236.4499999997</v>
      </c>
      <c r="Q162" s="2"/>
      <c r="R162" s="6">
        <f t="shared" si="32"/>
        <v>0.21134086073205016</v>
      </c>
      <c r="S162" s="2"/>
      <c r="T162" s="2">
        <f>SUM(OSRRefT22_1x_0)</f>
        <v>1196872.7600000002</v>
      </c>
      <c r="U162" s="2"/>
      <c r="V162" s="6">
        <f t="shared" si="33"/>
        <v>0.19047171391127013</v>
      </c>
      <c r="W162" s="2"/>
      <c r="X162" s="2">
        <f t="shared" si="34"/>
        <v>396363.68999999948</v>
      </c>
      <c r="Y162" s="2"/>
      <c r="Z162" s="6">
        <f t="shared" si="35"/>
        <v>0.33116610490826059</v>
      </c>
    </row>
    <row r="163" spans="1:26" s="69" customFormat="1" ht="15" hidden="1" customHeight="1" outlineLevel="2" x14ac:dyDescent="0.3">
      <c r="A163" s="25"/>
      <c r="B163" s="12" t="str">
        <f>CONCATENATE("          ","6001"," - ","ADMINISTRATIVE SALARIES")</f>
        <v xml:space="preserve">          6001 - ADMINISTRATIVE SALARIES</v>
      </c>
      <c r="C163" s="12"/>
      <c r="D163" s="8">
        <v>3959.51</v>
      </c>
      <c r="E163" s="3"/>
      <c r="F163" s="7">
        <f t="shared" si="28"/>
        <v>3.7724764642414299E-3</v>
      </c>
      <c r="G163" s="3"/>
      <c r="H163" s="8">
        <v>4279.74</v>
      </c>
      <c r="I163" s="3"/>
      <c r="J163" s="7">
        <f t="shared" si="29"/>
        <v>6.981859911791892E-3</v>
      </c>
      <c r="K163" s="3"/>
      <c r="L163" s="8">
        <f t="shared" si="30"/>
        <v>-320.22999999999956</v>
      </c>
      <c r="M163" s="3"/>
      <c r="N163" s="7">
        <f t="shared" si="31"/>
        <v>-7.4824638879931862E-2</v>
      </c>
      <c r="O163" s="12"/>
      <c r="P163" s="8">
        <v>44917.06</v>
      </c>
      <c r="Q163" s="3"/>
      <c r="R163" s="7">
        <f t="shared" si="32"/>
        <v>5.9581929110102535E-3</v>
      </c>
      <c r="S163" s="3"/>
      <c r="T163" s="8">
        <v>38776.33</v>
      </c>
      <c r="U163" s="3"/>
      <c r="V163" s="7">
        <f t="shared" si="33"/>
        <v>6.1709099589575423E-3</v>
      </c>
      <c r="W163" s="3"/>
      <c r="X163" s="8">
        <f t="shared" si="34"/>
        <v>6140.7299999999959</v>
      </c>
      <c r="Y163" s="3"/>
      <c r="Z163" s="7">
        <f t="shared" si="35"/>
        <v>0.15836284661286912</v>
      </c>
    </row>
    <row r="164" spans="1:26" s="69" customFormat="1" ht="15" hidden="1" customHeight="1" outlineLevel="2" x14ac:dyDescent="0.3">
      <c r="A164" s="25"/>
      <c r="B164" s="12" t="str">
        <f>CONCATENATE("          ","6002"," - ","STAFF SALARIES")</f>
        <v xml:space="preserve">          6002 - STAFF SALARIES</v>
      </c>
      <c r="C164" s="12"/>
      <c r="D164" s="8">
        <v>48790.67</v>
      </c>
      <c r="E164" s="3"/>
      <c r="F164" s="7">
        <f t="shared" si="28"/>
        <v>4.6485967771156128E-2</v>
      </c>
      <c r="G164" s="3"/>
      <c r="H164" s="8">
        <v>62207.73</v>
      </c>
      <c r="I164" s="3"/>
      <c r="J164" s="7">
        <f t="shared" si="29"/>
        <v>0.10148412200053598</v>
      </c>
      <c r="K164" s="3"/>
      <c r="L164" s="8">
        <f t="shared" si="30"/>
        <v>-13417.060000000005</v>
      </c>
      <c r="M164" s="3"/>
      <c r="N164" s="7">
        <f t="shared" si="31"/>
        <v>-0.21568155597383162</v>
      </c>
      <c r="O164" s="12"/>
      <c r="P164" s="8">
        <v>531865.35</v>
      </c>
      <c r="Q164" s="3"/>
      <c r="R164" s="7">
        <f t="shared" si="32"/>
        <v>7.0551286259207244E-2</v>
      </c>
      <c r="S164" s="3"/>
      <c r="T164" s="8">
        <v>555755.72</v>
      </c>
      <c r="U164" s="3"/>
      <c r="V164" s="7">
        <f t="shared" si="33"/>
        <v>8.8443607409355626E-2</v>
      </c>
      <c r="W164" s="3"/>
      <c r="X164" s="8">
        <f t="shared" si="34"/>
        <v>-23890.369999999995</v>
      </c>
      <c r="Y164" s="3"/>
      <c r="Z164" s="7">
        <f t="shared" si="35"/>
        <v>-4.2987177891754304E-2</v>
      </c>
    </row>
    <row r="165" spans="1:26" s="69" customFormat="1" ht="15" hidden="1" customHeight="1" outlineLevel="2" x14ac:dyDescent="0.3">
      <c r="A165" s="25"/>
      <c r="B165" s="12" t="str">
        <f>CONCATENATE("          ","6004"," - ","STAFF HOURLY")</f>
        <v xml:space="preserve">          6004 - STAFF HOURLY</v>
      </c>
      <c r="C165" s="12"/>
      <c r="D165" s="8">
        <v>25018.53</v>
      </c>
      <c r="E165" s="3"/>
      <c r="F165" s="7">
        <f t="shared" si="28"/>
        <v>2.3836741312667005E-2</v>
      </c>
      <c r="G165" s="3"/>
      <c r="H165" s="8">
        <v>15435.7</v>
      </c>
      <c r="I165" s="3"/>
      <c r="J165" s="7">
        <f t="shared" si="29"/>
        <v>2.5181411730723389E-2</v>
      </c>
      <c r="K165" s="3"/>
      <c r="L165" s="8">
        <f t="shared" si="30"/>
        <v>9582.8299999999981</v>
      </c>
      <c r="M165" s="3"/>
      <c r="N165" s="7">
        <f t="shared" si="31"/>
        <v>0.62082250885933243</v>
      </c>
      <c r="O165" s="12"/>
      <c r="P165" s="8">
        <v>235321.1</v>
      </c>
      <c r="Q165" s="3"/>
      <c r="R165" s="7">
        <f t="shared" si="32"/>
        <v>3.121505525586793E-2</v>
      </c>
      <c r="S165" s="3"/>
      <c r="T165" s="8">
        <v>169228.29</v>
      </c>
      <c r="U165" s="3"/>
      <c r="V165" s="7">
        <f t="shared" si="33"/>
        <v>2.6931185599523087E-2</v>
      </c>
      <c r="W165" s="3"/>
      <c r="X165" s="8">
        <f t="shared" si="34"/>
        <v>66092.81</v>
      </c>
      <c r="Y165" s="3"/>
      <c r="Z165" s="7">
        <f t="shared" si="35"/>
        <v>0.39055414434548735</v>
      </c>
    </row>
    <row r="166" spans="1:26" s="69" customFormat="1" ht="15" hidden="1" customHeight="1" outlineLevel="2" x14ac:dyDescent="0.3">
      <c r="A166" s="25"/>
      <c r="B166" s="12" t="str">
        <f>CONCATENATE("          ","6005"," - ","TEMPORARY WAGES-HOURLY")</f>
        <v xml:space="preserve">          6005 - TEMPORARY WAGES-HOURLY</v>
      </c>
      <c r="C166" s="12"/>
      <c r="D166" s="8">
        <v>6556.3</v>
      </c>
      <c r="E166" s="3"/>
      <c r="F166" s="7">
        <f t="shared" si="28"/>
        <v>6.2466031005114489E-3</v>
      </c>
      <c r="G166" s="3"/>
      <c r="H166" s="8">
        <v>13818.91</v>
      </c>
      <c r="I166" s="3"/>
      <c r="J166" s="7">
        <f t="shared" si="29"/>
        <v>2.2543821296074084E-2</v>
      </c>
      <c r="K166" s="3"/>
      <c r="L166" s="8">
        <f t="shared" si="30"/>
        <v>-7262.61</v>
      </c>
      <c r="M166" s="3"/>
      <c r="N166" s="7">
        <f t="shared" si="31"/>
        <v>-0.52555592300695209</v>
      </c>
      <c r="O166" s="12"/>
      <c r="P166" s="8">
        <v>84152.19</v>
      </c>
      <c r="Q166" s="3"/>
      <c r="R166" s="7">
        <f t="shared" si="32"/>
        <v>1.1162684777320421E-2</v>
      </c>
      <c r="S166" s="3"/>
      <c r="T166" s="8">
        <v>136226.98000000001</v>
      </c>
      <c r="U166" s="3"/>
      <c r="V166" s="7">
        <f t="shared" si="33"/>
        <v>2.1679318995910905E-2</v>
      </c>
      <c r="W166" s="3"/>
      <c r="X166" s="8">
        <f t="shared" si="34"/>
        <v>-52074.790000000008</v>
      </c>
      <c r="Y166" s="3"/>
      <c r="Z166" s="7">
        <f t="shared" si="35"/>
        <v>-0.38226487880741394</v>
      </c>
    </row>
    <row r="167" spans="1:26" s="69" customFormat="1" ht="15" hidden="1" customHeight="1" outlineLevel="2" x14ac:dyDescent="0.3">
      <c r="A167" s="25"/>
      <c r="B167" s="12" t="str">
        <f>CONCATENATE("          ","6006"," - ","TEMPORARY PART TIME")</f>
        <v xml:space="preserve">          6006 - TEMPORARY PART TIME</v>
      </c>
      <c r="C167" s="12"/>
      <c r="D167" s="8">
        <v>1071.74</v>
      </c>
      <c r="E167" s="3"/>
      <c r="F167" s="7">
        <f t="shared" si="28"/>
        <v>1.0211147151506397E-3</v>
      </c>
      <c r="G167" s="3"/>
      <c r="H167" s="8">
        <v>2022.89</v>
      </c>
      <c r="I167" s="3"/>
      <c r="J167" s="7">
        <f t="shared" si="29"/>
        <v>3.3000917338353972E-3</v>
      </c>
      <c r="K167" s="3"/>
      <c r="L167" s="8">
        <f t="shared" si="30"/>
        <v>-951.15000000000009</v>
      </c>
      <c r="M167" s="3"/>
      <c r="N167" s="7">
        <f t="shared" si="31"/>
        <v>-0.47019363386046698</v>
      </c>
      <c r="O167" s="12"/>
      <c r="P167" s="8">
        <v>15352.11</v>
      </c>
      <c r="Q167" s="3"/>
      <c r="R167" s="7">
        <f t="shared" si="32"/>
        <v>2.0364385596708607E-3</v>
      </c>
      <c r="S167" s="3"/>
      <c r="T167" s="8">
        <v>14053.29</v>
      </c>
      <c r="U167" s="3"/>
      <c r="V167" s="7">
        <f t="shared" si="33"/>
        <v>2.2364568079835932E-3</v>
      </c>
      <c r="W167" s="3"/>
      <c r="X167" s="8">
        <f t="shared" si="34"/>
        <v>1298.8199999999997</v>
      </c>
      <c r="Y167" s="3"/>
      <c r="Z167" s="7">
        <f t="shared" si="35"/>
        <v>9.2421062968173262E-2</v>
      </c>
    </row>
    <row r="168" spans="1:26" s="69" customFormat="1" ht="15" hidden="1" customHeight="1" outlineLevel="2" x14ac:dyDescent="0.3">
      <c r="A168" s="25"/>
      <c r="B168" s="12" t="str">
        <f>CONCATENATE("          ","6007"," - ","STUDENT HOURLY")</f>
        <v xml:space="preserve">          6007 - STUDENT HOURLY</v>
      </c>
      <c r="C168" s="12"/>
      <c r="D168" s="8">
        <v>81697.75</v>
      </c>
      <c r="E168" s="3"/>
      <c r="F168" s="7">
        <f t="shared" si="28"/>
        <v>7.7838631309551001E-2</v>
      </c>
      <c r="G168" s="3"/>
      <c r="H168" s="8">
        <v>25934.58</v>
      </c>
      <c r="I168" s="3"/>
      <c r="J168" s="7">
        <f t="shared" si="29"/>
        <v>4.230901980754901E-2</v>
      </c>
      <c r="K168" s="3"/>
      <c r="L168" s="8">
        <f t="shared" si="30"/>
        <v>55763.17</v>
      </c>
      <c r="M168" s="3"/>
      <c r="N168" s="7">
        <f t="shared" si="31"/>
        <v>2.1501474093661819</v>
      </c>
      <c r="O168" s="12"/>
      <c r="P168" s="8">
        <v>587360.24</v>
      </c>
      <c r="Q168" s="3"/>
      <c r="R168" s="7">
        <f t="shared" si="32"/>
        <v>7.7912615344309738E-2</v>
      </c>
      <c r="S168" s="3"/>
      <c r="T168" s="8">
        <v>274420.53000000003</v>
      </c>
      <c r="U168" s="3"/>
      <c r="V168" s="7">
        <f t="shared" si="33"/>
        <v>4.3671600213826503E-2</v>
      </c>
      <c r="W168" s="3"/>
      <c r="X168" s="8">
        <f t="shared" si="34"/>
        <v>312939.70999999996</v>
      </c>
      <c r="Y168" s="3"/>
      <c r="Z168" s="7">
        <f t="shared" si="35"/>
        <v>1.1403655185710775</v>
      </c>
    </row>
    <row r="169" spans="1:26" s="69" customFormat="1" ht="15" hidden="1" customHeight="1" outlineLevel="2" x14ac:dyDescent="0.3">
      <c r="A169" s="25"/>
      <c r="B169" s="12" t="str">
        <f>CONCATENATE("          ","6008"," - ","STUDENT HOURLY-FICA EXEMPT")</f>
        <v xml:space="preserve">          6008 - STUDENT HOURLY-FICA EXEMPT</v>
      </c>
      <c r="C169" s="12"/>
      <c r="D169" s="8">
        <v>10303.32</v>
      </c>
      <c r="E169" s="3"/>
      <c r="F169" s="7">
        <f t="shared" si="28"/>
        <v>9.8166268562392845E-3</v>
      </c>
      <c r="G169" s="3"/>
      <c r="H169" s="8">
        <v>1112.3699999999999</v>
      </c>
      <c r="I169" s="3"/>
      <c r="J169" s="7">
        <f t="shared" si="29"/>
        <v>1.8146923668447023E-3</v>
      </c>
      <c r="K169" s="3"/>
      <c r="L169" s="8">
        <f t="shared" si="30"/>
        <v>9190.9500000000007</v>
      </c>
      <c r="M169" s="3"/>
      <c r="N169" s="7">
        <f t="shared" si="31"/>
        <v>8.2624935947571423</v>
      </c>
      <c r="O169" s="12"/>
      <c r="P169" s="8">
        <v>94268.4</v>
      </c>
      <c r="Q169" s="3"/>
      <c r="R169" s="7">
        <f t="shared" si="32"/>
        <v>1.2504587624663747E-2</v>
      </c>
      <c r="S169" s="3"/>
      <c r="T169" s="8">
        <v>8411.6200000000008</v>
      </c>
      <c r="U169" s="3"/>
      <c r="V169" s="7">
        <f t="shared" si="33"/>
        <v>1.3386349257128367E-3</v>
      </c>
      <c r="W169" s="3"/>
      <c r="X169" s="8">
        <f t="shared" si="34"/>
        <v>85856.78</v>
      </c>
      <c r="Y169" s="3"/>
      <c r="Z169" s="7">
        <f t="shared" si="35"/>
        <v>10.20692565760222</v>
      </c>
    </row>
    <row r="170" spans="1:26" s="68" customFormat="1" ht="15" customHeight="1" outlineLevel="1" collapsed="1" x14ac:dyDescent="0.3">
      <c r="A170" s="26"/>
      <c r="B170" s="14" t="str">
        <f>CONCATENATE("     ","Advertising/Promo                                 ")</f>
        <v xml:space="preserve">     Advertising/Promo                                 </v>
      </c>
      <c r="C170" s="14"/>
      <c r="D170" s="2">
        <f>SUM(OSRRefD22_2x_0)</f>
        <v>2357.73</v>
      </c>
      <c r="E170" s="2"/>
      <c r="F170" s="6">
        <f t="shared" si="28"/>
        <v>2.2463590025119133E-3</v>
      </c>
      <c r="G170" s="2"/>
      <c r="H170" s="2">
        <f>SUM(OSRRefH22_2x_0)</f>
        <v>73.430000000000007</v>
      </c>
      <c r="I170" s="2"/>
      <c r="J170" s="6">
        <f t="shared" si="29"/>
        <v>1.1979185028129716E-4</v>
      </c>
      <c r="K170" s="2"/>
      <c r="L170" s="2">
        <f t="shared" si="30"/>
        <v>2284.3000000000002</v>
      </c>
      <c r="M170" s="2"/>
      <c r="N170" s="6">
        <f t="shared" si="31"/>
        <v>31.108538744382404</v>
      </c>
      <c r="O170" s="14"/>
      <c r="P170" s="2">
        <f>SUM(OSRRefP22_2x_0)</f>
        <v>9178.59</v>
      </c>
      <c r="Q170" s="2"/>
      <c r="R170" s="6">
        <f t="shared" si="32"/>
        <v>1.2175287044848796E-3</v>
      </c>
      <c r="S170" s="2"/>
      <c r="T170" s="2">
        <f>SUM(OSRRefT22_2x_0)</f>
        <v>16821.150000000001</v>
      </c>
      <c r="U170" s="2"/>
      <c r="V170" s="6">
        <f t="shared" si="33"/>
        <v>2.676937246410856E-3</v>
      </c>
      <c r="W170" s="2"/>
      <c r="X170" s="2">
        <f t="shared" si="34"/>
        <v>-7642.5600000000013</v>
      </c>
      <c r="Y170" s="2"/>
      <c r="Z170" s="6">
        <f t="shared" si="35"/>
        <v>-0.45434230121008379</v>
      </c>
    </row>
    <row r="171" spans="1:26" s="69" customFormat="1" ht="15" hidden="1" customHeight="1" outlineLevel="2" x14ac:dyDescent="0.3">
      <c r="A171" s="25"/>
      <c r="B171" s="12" t="str">
        <f>CONCATENATE("          ","6362"," - ","ADVERTISING EXPENSE")</f>
        <v xml:space="preserve">          6362 - ADVERTISING EXPENSE</v>
      </c>
      <c r="C171" s="12"/>
      <c r="D171" s="8">
        <v>2357.73</v>
      </c>
      <c r="E171" s="3"/>
      <c r="F171" s="7">
        <f t="shared" si="28"/>
        <v>2.2463590025119133E-3</v>
      </c>
      <c r="G171" s="3"/>
      <c r="H171" s="8">
        <v>73.430000000000007</v>
      </c>
      <c r="I171" s="3"/>
      <c r="J171" s="7">
        <f t="shared" si="29"/>
        <v>1.1979185028129716E-4</v>
      </c>
      <c r="K171" s="3"/>
      <c r="L171" s="8">
        <f t="shared" si="30"/>
        <v>2284.3000000000002</v>
      </c>
      <c r="M171" s="3"/>
      <c r="N171" s="7">
        <f t="shared" si="31"/>
        <v>31.108538744382404</v>
      </c>
      <c r="O171" s="12"/>
      <c r="P171" s="8">
        <v>9178.59</v>
      </c>
      <c r="Q171" s="3"/>
      <c r="R171" s="7">
        <f t="shared" si="32"/>
        <v>1.2175287044848796E-3</v>
      </c>
      <c r="S171" s="3"/>
      <c r="T171" s="8">
        <v>16821.150000000001</v>
      </c>
      <c r="U171" s="3"/>
      <c r="V171" s="7">
        <f t="shared" si="33"/>
        <v>2.676937246410856E-3</v>
      </c>
      <c r="W171" s="3"/>
      <c r="X171" s="8">
        <f t="shared" si="34"/>
        <v>-7642.5600000000013</v>
      </c>
      <c r="Y171" s="3"/>
      <c r="Z171" s="7">
        <f t="shared" si="35"/>
        <v>-0.45434230121008379</v>
      </c>
    </row>
    <row r="172" spans="1:26" s="68" customFormat="1" ht="15" customHeight="1" outlineLevel="1" collapsed="1" x14ac:dyDescent="0.3">
      <c r="A172" s="26"/>
      <c r="B172" s="14" t="str">
        <f>CONCATENATE("     ","Bad Debts/Over/Short                              ")</f>
        <v xml:space="preserve">     Bad Debts/Over/Short                              </v>
      </c>
      <c r="C172" s="14"/>
      <c r="D172" s="2">
        <f>SUM(OSRRefD22_3x_0)</f>
        <v>-46.63</v>
      </c>
      <c r="E172" s="2"/>
      <c r="F172" s="6">
        <f t="shared" si="28"/>
        <v>-4.4427360336904785E-5</v>
      </c>
      <c r="G172" s="2"/>
      <c r="H172" s="2">
        <f>SUM(OSRRefH22_3x_0)</f>
        <v>-16.510000000000002</v>
      </c>
      <c r="I172" s="2"/>
      <c r="J172" s="6">
        <f t="shared" si="29"/>
        <v>-2.6933997659597114E-5</v>
      </c>
      <c r="K172" s="2"/>
      <c r="L172" s="2">
        <f t="shared" si="30"/>
        <v>-30.12</v>
      </c>
      <c r="M172" s="2"/>
      <c r="N172" s="6">
        <f t="shared" si="31"/>
        <v>1.8243488794669895</v>
      </c>
      <c r="O172" s="14"/>
      <c r="P172" s="2">
        <f>SUM(OSRRefP22_3x_0)</f>
        <v>53.05</v>
      </c>
      <c r="Q172" s="2"/>
      <c r="R172" s="6">
        <f t="shared" si="32"/>
        <v>7.0370174256528351E-6</v>
      </c>
      <c r="S172" s="2"/>
      <c r="T172" s="2">
        <f>SUM(OSRRefT22_3x_0)</f>
        <v>5183.95</v>
      </c>
      <c r="U172" s="2"/>
      <c r="V172" s="6">
        <f t="shared" si="33"/>
        <v>8.2497979261415269E-4</v>
      </c>
      <c r="W172" s="2"/>
      <c r="X172" s="2">
        <f t="shared" si="34"/>
        <v>-5130.8999999999996</v>
      </c>
      <c r="Y172" s="2"/>
      <c r="Z172" s="6">
        <f t="shared" si="35"/>
        <v>-0.98976649080334489</v>
      </c>
    </row>
    <row r="173" spans="1:26" s="69" customFormat="1" ht="15" hidden="1" customHeight="1" outlineLevel="2" x14ac:dyDescent="0.3">
      <c r="A173" s="25"/>
      <c r="B173" s="12" t="str">
        <f>CONCATENATE("          ","6272"," - ","CASH (OVER/SHORT)")</f>
        <v xml:space="preserve">          6272 - CASH (OVER/SHORT)</v>
      </c>
      <c r="C173" s="12"/>
      <c r="D173" s="8">
        <v>-46.63</v>
      </c>
      <c r="E173" s="3"/>
      <c r="F173" s="7">
        <f t="shared" si="28"/>
        <v>-4.4427360336904785E-5</v>
      </c>
      <c r="G173" s="3"/>
      <c r="H173" s="8">
        <v>-16.510000000000002</v>
      </c>
      <c r="I173" s="3"/>
      <c r="J173" s="7">
        <f t="shared" si="29"/>
        <v>-2.6933997659597114E-5</v>
      </c>
      <c r="K173" s="3"/>
      <c r="L173" s="8">
        <f t="shared" si="30"/>
        <v>-30.12</v>
      </c>
      <c r="M173" s="3"/>
      <c r="N173" s="7">
        <f t="shared" si="31"/>
        <v>1.8243488794669895</v>
      </c>
      <c r="O173" s="12"/>
      <c r="P173" s="8">
        <v>53.05</v>
      </c>
      <c r="Q173" s="3"/>
      <c r="R173" s="7">
        <f t="shared" si="32"/>
        <v>7.0370174256528351E-6</v>
      </c>
      <c r="S173" s="3"/>
      <c r="T173" s="8">
        <v>-165.47</v>
      </c>
      <c r="U173" s="3"/>
      <c r="V173" s="7">
        <f t="shared" si="33"/>
        <v>-2.6333086986538036E-5</v>
      </c>
      <c r="W173" s="3"/>
      <c r="X173" s="8">
        <f t="shared" si="34"/>
        <v>218.51999999999998</v>
      </c>
      <c r="Y173" s="3"/>
      <c r="Z173" s="7">
        <f t="shared" si="35"/>
        <v>-1.3206019217985132</v>
      </c>
    </row>
    <row r="174" spans="1:26" s="69" customFormat="1" ht="15" hidden="1" customHeight="1" outlineLevel="2" x14ac:dyDescent="0.3">
      <c r="A174" s="25"/>
      <c r="B174" s="12" t="str">
        <f>CONCATENATE("          ","6342"," - ","BAD DEBT")</f>
        <v xml:space="preserve">          6342 - BAD DEBT</v>
      </c>
      <c r="C174" s="12"/>
      <c r="D174" s="8"/>
      <c r="E174" s="3"/>
      <c r="F174" s="7">
        <f t="shared" si="28"/>
        <v>0</v>
      </c>
      <c r="G174" s="3"/>
      <c r="H174" s="8"/>
      <c r="I174" s="3"/>
      <c r="J174" s="7">
        <f t="shared" si="29"/>
        <v>0</v>
      </c>
      <c r="K174" s="3"/>
      <c r="L174" s="8">
        <f t="shared" si="30"/>
        <v>0</v>
      </c>
      <c r="M174" s="3"/>
      <c r="N174" s="7">
        <f t="shared" si="31"/>
        <v>0</v>
      </c>
      <c r="O174" s="12"/>
      <c r="P174" s="8"/>
      <c r="Q174" s="3"/>
      <c r="R174" s="7">
        <f t="shared" si="32"/>
        <v>0</v>
      </c>
      <c r="S174" s="3"/>
      <c r="T174" s="8">
        <v>5349.42</v>
      </c>
      <c r="U174" s="3"/>
      <c r="V174" s="7">
        <f t="shared" si="33"/>
        <v>8.513128796006908E-4</v>
      </c>
      <c r="W174" s="3"/>
      <c r="X174" s="8">
        <f t="shared" si="34"/>
        <v>-5349.42</v>
      </c>
      <c r="Y174" s="3"/>
      <c r="Z174" s="7">
        <f t="shared" si="35"/>
        <v>-1</v>
      </c>
    </row>
    <row r="175" spans="1:26" s="68" customFormat="1" ht="15" customHeight="1" outlineLevel="1" collapsed="1" x14ac:dyDescent="0.3">
      <c r="A175" s="26"/>
      <c r="B175" s="14" t="str">
        <f>CONCATENATE("     ","Bank/card Fees                                    ")</f>
        <v xml:space="preserve">     Bank/card Fees                                    </v>
      </c>
      <c r="C175" s="14"/>
      <c r="D175" s="2">
        <f>SUM(OSRRefD22_4x_0)</f>
        <v>16082.6</v>
      </c>
      <c r="E175" s="2"/>
      <c r="F175" s="6">
        <f t="shared" si="28"/>
        <v>1.5322913689777073E-2</v>
      </c>
      <c r="G175" s="2"/>
      <c r="H175" s="2">
        <f>SUM(OSRRefH22_4x_0)</f>
        <v>3823.93</v>
      </c>
      <c r="I175" s="2"/>
      <c r="J175" s="6">
        <f t="shared" si="29"/>
        <v>6.2382629721661528E-3</v>
      </c>
      <c r="K175" s="2"/>
      <c r="L175" s="2">
        <f t="shared" si="30"/>
        <v>12258.67</v>
      </c>
      <c r="M175" s="2"/>
      <c r="N175" s="6">
        <f t="shared" si="31"/>
        <v>3.2057778254309048</v>
      </c>
      <c r="O175" s="14"/>
      <c r="P175" s="2">
        <f>SUM(OSRRefP22_4x_0)</f>
        <v>111367.42</v>
      </c>
      <c r="Q175" s="2"/>
      <c r="R175" s="6">
        <f t="shared" si="32"/>
        <v>1.4772751652968862E-2</v>
      </c>
      <c r="S175" s="2"/>
      <c r="T175" s="2">
        <f>SUM(OSRRefT22_4x_0)</f>
        <v>69325.009999999995</v>
      </c>
      <c r="U175" s="2"/>
      <c r="V175" s="6">
        <f t="shared" si="33"/>
        <v>1.1032462190563964E-2</v>
      </c>
      <c r="W175" s="2"/>
      <c r="X175" s="2">
        <f t="shared" si="34"/>
        <v>42042.41</v>
      </c>
      <c r="Y175" s="2"/>
      <c r="Z175" s="6">
        <f t="shared" si="35"/>
        <v>0.60645371706401496</v>
      </c>
    </row>
    <row r="176" spans="1:26" s="69" customFormat="1" ht="15" hidden="1" customHeight="1" outlineLevel="2" x14ac:dyDescent="0.3">
      <c r="A176" s="25"/>
      <c r="B176" s="12" t="str">
        <f>CONCATENATE("          ","6381"," - ","BANK/CREDIT CARD FEES")</f>
        <v xml:space="preserve">          6381 - BANK/CREDIT CARD FEES</v>
      </c>
      <c r="C176" s="12"/>
      <c r="D176" s="8">
        <v>16082.6</v>
      </c>
      <c r="E176" s="3"/>
      <c r="F176" s="7">
        <f t="shared" si="28"/>
        <v>1.5322913689777073E-2</v>
      </c>
      <c r="G176" s="3"/>
      <c r="H176" s="8">
        <v>3823.93</v>
      </c>
      <c r="I176" s="3"/>
      <c r="J176" s="7">
        <f t="shared" si="29"/>
        <v>6.2382629721661528E-3</v>
      </c>
      <c r="K176" s="3"/>
      <c r="L176" s="8">
        <f t="shared" si="30"/>
        <v>12258.67</v>
      </c>
      <c r="M176" s="3"/>
      <c r="N176" s="7">
        <f t="shared" si="31"/>
        <v>3.2057778254309048</v>
      </c>
      <c r="O176" s="12"/>
      <c r="P176" s="8">
        <v>111367.42</v>
      </c>
      <c r="Q176" s="3"/>
      <c r="R176" s="7">
        <f t="shared" si="32"/>
        <v>1.4772751652968862E-2</v>
      </c>
      <c r="S176" s="3"/>
      <c r="T176" s="8">
        <v>69325.009999999995</v>
      </c>
      <c r="U176" s="3"/>
      <c r="V176" s="7">
        <f t="shared" si="33"/>
        <v>1.1032462190563964E-2</v>
      </c>
      <c r="W176" s="3"/>
      <c r="X176" s="8">
        <f t="shared" si="34"/>
        <v>42042.41</v>
      </c>
      <c r="Y176" s="3"/>
      <c r="Z176" s="7">
        <f t="shared" si="35"/>
        <v>0.60645371706401496</v>
      </c>
    </row>
    <row r="177" spans="1:26" s="68" customFormat="1" ht="15" customHeight="1" outlineLevel="1" collapsed="1" x14ac:dyDescent="0.3">
      <c r="A177" s="26"/>
      <c r="B177" s="14" t="str">
        <f>CONCATENATE("     ","Depreciation                                      ")</f>
        <v xml:space="preserve">     Depreciation                                      </v>
      </c>
      <c r="C177" s="14"/>
      <c r="D177" s="2">
        <f>SUM(OSRRefD22_5x_0)</f>
        <v>27820.449999999997</v>
      </c>
      <c r="E177" s="2"/>
      <c r="F177" s="6">
        <f t="shared" si="28"/>
        <v>2.6506308318353905E-2</v>
      </c>
      <c r="G177" s="2"/>
      <c r="H177" s="2">
        <f>SUM(OSRRefH22_5x_0)</f>
        <v>31016.29</v>
      </c>
      <c r="I177" s="2"/>
      <c r="J177" s="6">
        <f t="shared" si="29"/>
        <v>5.0599193353687788E-2</v>
      </c>
      <c r="K177" s="2"/>
      <c r="L177" s="2">
        <f t="shared" si="30"/>
        <v>-3195.8400000000038</v>
      </c>
      <c r="M177" s="2"/>
      <c r="N177" s="6">
        <f t="shared" si="31"/>
        <v>-0.10303746837548926</v>
      </c>
      <c r="O177" s="14"/>
      <c r="P177" s="2">
        <f>SUM(OSRRefP22_5x_0)</f>
        <v>269960.53000000003</v>
      </c>
      <c r="Q177" s="2"/>
      <c r="R177" s="6">
        <f t="shared" si="32"/>
        <v>3.5809933154542423E-2</v>
      </c>
      <c r="S177" s="2"/>
      <c r="T177" s="2">
        <f>SUM(OSRRefT22_5x_0)</f>
        <v>279442.09999999998</v>
      </c>
      <c r="U177" s="2"/>
      <c r="V177" s="6">
        <f t="shared" si="33"/>
        <v>4.4470738665624343E-2</v>
      </c>
      <c r="W177" s="2"/>
      <c r="X177" s="2">
        <f t="shared" si="34"/>
        <v>-9481.5699999999488</v>
      </c>
      <c r="Y177" s="2"/>
      <c r="Z177" s="6">
        <f t="shared" si="35"/>
        <v>-3.3930356234797655E-2</v>
      </c>
    </row>
    <row r="178" spans="1:26" s="69" customFormat="1" ht="15" hidden="1" customHeight="1" outlineLevel="2" x14ac:dyDescent="0.3">
      <c r="A178" s="25"/>
      <c r="B178" s="12" t="str">
        <f>CONCATENATE("          ","6321"," - ","BUILDING DEPRECIATION")</f>
        <v xml:space="preserve">          6321 - BUILDING DEPRECIATION</v>
      </c>
      <c r="C178" s="12"/>
      <c r="D178" s="8">
        <v>13321.71</v>
      </c>
      <c r="E178" s="3"/>
      <c r="F178" s="7">
        <f t="shared" si="28"/>
        <v>1.2692438569027404E-2</v>
      </c>
      <c r="G178" s="3"/>
      <c r="H178" s="8">
        <v>16396.52</v>
      </c>
      <c r="I178" s="3"/>
      <c r="J178" s="7">
        <f t="shared" si="29"/>
        <v>2.6748869249275425E-2</v>
      </c>
      <c r="K178" s="3"/>
      <c r="L178" s="8">
        <f t="shared" si="30"/>
        <v>-3074.8100000000013</v>
      </c>
      <c r="M178" s="3"/>
      <c r="N178" s="7">
        <f t="shared" si="31"/>
        <v>-0.18752820720494356</v>
      </c>
      <c r="O178" s="12"/>
      <c r="P178" s="8">
        <v>139154.13</v>
      </c>
      <c r="Q178" s="3"/>
      <c r="R178" s="7">
        <f t="shared" si="32"/>
        <v>1.8458624649605279E-2</v>
      </c>
      <c r="S178" s="3"/>
      <c r="T178" s="8">
        <v>147568.68</v>
      </c>
      <c r="U178" s="3"/>
      <c r="V178" s="7">
        <f t="shared" si="33"/>
        <v>2.3484250238282441E-2</v>
      </c>
      <c r="W178" s="3"/>
      <c r="X178" s="8">
        <f t="shared" si="34"/>
        <v>-8414.5499999999884</v>
      </c>
      <c r="Y178" s="3"/>
      <c r="Z178" s="7">
        <f t="shared" si="35"/>
        <v>-5.7021245971706117E-2</v>
      </c>
    </row>
    <row r="179" spans="1:26" s="69" customFormat="1" ht="15" hidden="1" customHeight="1" outlineLevel="2" x14ac:dyDescent="0.3">
      <c r="A179" s="25"/>
      <c r="B179" s="12" t="str">
        <f>CONCATENATE("          ","6322"," - ","EQUIPMENT DEPRECIATION EXPENSE")</f>
        <v xml:space="preserve">          6322 - EQUIPMENT DEPRECIATION EXPENSE</v>
      </c>
      <c r="C179" s="12"/>
      <c r="D179" s="8">
        <v>14498.74</v>
      </c>
      <c r="E179" s="3"/>
      <c r="F179" s="7">
        <f t="shared" si="28"/>
        <v>1.3813869749326503E-2</v>
      </c>
      <c r="G179" s="3"/>
      <c r="H179" s="8">
        <v>14619.77</v>
      </c>
      <c r="I179" s="3"/>
      <c r="J179" s="7">
        <f t="shared" si="29"/>
        <v>2.385032410441236E-2</v>
      </c>
      <c r="K179" s="3"/>
      <c r="L179" s="8">
        <f t="shared" si="30"/>
        <v>-121.03000000000065</v>
      </c>
      <c r="M179" s="3"/>
      <c r="N179" s="7">
        <f t="shared" si="31"/>
        <v>-8.2785160094858302E-3</v>
      </c>
      <c r="O179" s="12"/>
      <c r="P179" s="8">
        <v>130806.39999999999</v>
      </c>
      <c r="Q179" s="3"/>
      <c r="R179" s="7">
        <f t="shared" si="32"/>
        <v>1.7351308504937137E-2</v>
      </c>
      <c r="S179" s="3"/>
      <c r="T179" s="8">
        <v>131873.42000000001</v>
      </c>
      <c r="U179" s="3"/>
      <c r="V179" s="7">
        <f t="shared" si="33"/>
        <v>2.0986488427341906E-2</v>
      </c>
      <c r="W179" s="3"/>
      <c r="X179" s="8">
        <f t="shared" si="34"/>
        <v>-1067.0200000000186</v>
      </c>
      <c r="Y179" s="3"/>
      <c r="Z179" s="7">
        <f t="shared" si="35"/>
        <v>-8.0912438609692418E-3</v>
      </c>
    </row>
    <row r="180" spans="1:26" s="68" customFormat="1" ht="15" customHeight="1" outlineLevel="1" collapsed="1" x14ac:dyDescent="0.3">
      <c r="A180" s="26"/>
      <c r="B180" s="14" t="str">
        <f>CONCATENATE("     ","Discounts and Markdowns                           ")</f>
        <v xml:space="preserve">     Discounts and Markdowns                           </v>
      </c>
      <c r="C180" s="14"/>
      <c r="D180" s="2">
        <f>SUM(OSRRefD22_6x_0)</f>
        <v>-7.72</v>
      </c>
      <c r="E180" s="2"/>
      <c r="F180" s="6">
        <f t="shared" si="28"/>
        <v>-7.3553339438324027E-6</v>
      </c>
      <c r="G180" s="2"/>
      <c r="H180" s="2">
        <f>SUM(OSRRefH22_6x_0)</f>
        <v>0</v>
      </c>
      <c r="I180" s="2"/>
      <c r="J180" s="6">
        <f t="shared" si="29"/>
        <v>0</v>
      </c>
      <c r="K180" s="2"/>
      <c r="L180" s="2">
        <f t="shared" si="30"/>
        <v>-7.72</v>
      </c>
      <c r="M180" s="2"/>
      <c r="N180" s="6">
        <f t="shared" si="31"/>
        <v>0</v>
      </c>
      <c r="O180" s="14"/>
      <c r="P180" s="2">
        <f>SUM(OSRRefP22_6x_0)</f>
        <v>2056.83</v>
      </c>
      <c r="Q180" s="2"/>
      <c r="R180" s="6">
        <f t="shared" si="32"/>
        <v>2.7283597646758759E-4</v>
      </c>
      <c r="S180" s="2"/>
      <c r="T180" s="2">
        <f>SUM(OSRRefT22_6x_0)</f>
        <v>0</v>
      </c>
      <c r="U180" s="2"/>
      <c r="V180" s="6">
        <f t="shared" si="33"/>
        <v>0</v>
      </c>
      <c r="W180" s="2"/>
      <c r="X180" s="2">
        <f t="shared" si="34"/>
        <v>2056.83</v>
      </c>
      <c r="Y180" s="2"/>
      <c r="Z180" s="6">
        <f t="shared" si="35"/>
        <v>0</v>
      </c>
    </row>
    <row r="181" spans="1:26" s="69" customFormat="1" ht="15" hidden="1" customHeight="1" outlineLevel="2" x14ac:dyDescent="0.3">
      <c r="A181" s="25"/>
      <c r="B181" s="12" t="str">
        <f>CONCATENATE("          ","6382"," - ","DISCOUNTS/MARK DOWNS")</f>
        <v xml:space="preserve">          6382 - DISCOUNTS/MARK DOWNS</v>
      </c>
      <c r="C181" s="12"/>
      <c r="D181" s="8"/>
      <c r="E181" s="3"/>
      <c r="F181" s="7">
        <f t="shared" si="28"/>
        <v>0</v>
      </c>
      <c r="G181" s="3"/>
      <c r="H181" s="8">
        <v>0</v>
      </c>
      <c r="I181" s="3"/>
      <c r="J181" s="7">
        <f t="shared" si="29"/>
        <v>0</v>
      </c>
      <c r="K181" s="3"/>
      <c r="L181" s="8">
        <f t="shared" si="30"/>
        <v>0</v>
      </c>
      <c r="M181" s="3"/>
      <c r="N181" s="7">
        <f t="shared" si="31"/>
        <v>0</v>
      </c>
      <c r="O181" s="12"/>
      <c r="P181" s="8">
        <v>2171.35</v>
      </c>
      <c r="Q181" s="3"/>
      <c r="R181" s="7">
        <f t="shared" si="32"/>
        <v>2.8802691399041063E-4</v>
      </c>
      <c r="S181" s="3"/>
      <c r="T181" s="8">
        <v>0</v>
      </c>
      <c r="U181" s="3"/>
      <c r="V181" s="7">
        <f t="shared" si="33"/>
        <v>0</v>
      </c>
      <c r="W181" s="3"/>
      <c r="X181" s="8">
        <f t="shared" si="34"/>
        <v>2171.35</v>
      </c>
      <c r="Y181" s="3"/>
      <c r="Z181" s="7">
        <f t="shared" si="35"/>
        <v>0</v>
      </c>
    </row>
    <row r="182" spans="1:26" s="69" customFormat="1" ht="15" hidden="1" customHeight="1" outlineLevel="2" x14ac:dyDescent="0.3">
      <c r="A182" s="25"/>
      <c r="B182" s="12" t="str">
        <f>CONCATENATE("          ","9175"," - ","EARNED DISCOUNTS")</f>
        <v xml:space="preserve">          9175 - EARNED DISCOUNTS</v>
      </c>
      <c r="C182" s="12"/>
      <c r="D182" s="8">
        <v>-7.72</v>
      </c>
      <c r="E182" s="3"/>
      <c r="F182" s="7">
        <f t="shared" ref="F182:F213" si="36">IF(D$12=0,0,D182/D$12)</f>
        <v>-7.3553339438324027E-6</v>
      </c>
      <c r="G182" s="3"/>
      <c r="H182" s="8">
        <v>0</v>
      </c>
      <c r="I182" s="3"/>
      <c r="J182" s="7">
        <f t="shared" ref="J182:J213" si="37">IF(H$12=0,0,H182/H$12)</f>
        <v>0</v>
      </c>
      <c r="K182" s="3"/>
      <c r="L182" s="8">
        <f t="shared" ref="L182:L213" si="38">+D182-H182</f>
        <v>-7.72</v>
      </c>
      <c r="M182" s="3"/>
      <c r="N182" s="7">
        <f t="shared" ref="N182:N213" si="39">IF(H182=0,0,L182/H182)</f>
        <v>0</v>
      </c>
      <c r="O182" s="12"/>
      <c r="P182" s="8">
        <v>-114.52</v>
      </c>
      <c r="Q182" s="3"/>
      <c r="R182" s="7">
        <f t="shared" ref="R182:R213" si="40">IF(P$12=0,0,P182/P$12)</f>
        <v>-1.5190937522823048E-5</v>
      </c>
      <c r="S182" s="3"/>
      <c r="T182" s="8">
        <v>0</v>
      </c>
      <c r="U182" s="3"/>
      <c r="V182" s="7">
        <f t="shared" ref="V182:V213" si="41">IF(T$12=0,0,T182/T$12)</f>
        <v>0</v>
      </c>
      <c r="W182" s="3"/>
      <c r="X182" s="8">
        <f t="shared" ref="X182:X213" si="42">+P182-T182</f>
        <v>-114.52</v>
      </c>
      <c r="Y182" s="3"/>
      <c r="Z182" s="7">
        <f t="shared" ref="Z182:Z213" si="43">IF(T182=0,0,X182/T182)</f>
        <v>0</v>
      </c>
    </row>
    <row r="183" spans="1:26" s="68" customFormat="1" ht="15" customHeight="1" outlineLevel="1" collapsed="1" x14ac:dyDescent="0.3">
      <c r="A183" s="26"/>
      <c r="B183" s="14" t="str">
        <f>CONCATENATE("     ","Donations                                         ")</f>
        <v xml:space="preserve">     Donations                                         </v>
      </c>
      <c r="C183" s="14"/>
      <c r="D183" s="2">
        <f>SUM(OSRRefD22_7x_0)</f>
        <v>0</v>
      </c>
      <c r="E183" s="2"/>
      <c r="F183" s="6">
        <f t="shared" si="36"/>
        <v>0</v>
      </c>
      <c r="G183" s="2"/>
      <c r="H183" s="2">
        <f>SUM(OSRRefH22_7x_0)</f>
        <v>0</v>
      </c>
      <c r="I183" s="2"/>
      <c r="J183" s="6">
        <f t="shared" si="37"/>
        <v>0</v>
      </c>
      <c r="K183" s="2"/>
      <c r="L183" s="2">
        <f t="shared" si="38"/>
        <v>0</v>
      </c>
      <c r="M183" s="2"/>
      <c r="N183" s="6">
        <f t="shared" si="39"/>
        <v>0</v>
      </c>
      <c r="O183" s="14"/>
      <c r="P183" s="2">
        <f>SUM(OSRRefP22_7x_0)</f>
        <v>5818.27</v>
      </c>
      <c r="Q183" s="2"/>
      <c r="R183" s="6">
        <f t="shared" si="40"/>
        <v>7.7178637845717489E-4</v>
      </c>
      <c r="S183" s="2"/>
      <c r="T183" s="2">
        <f>SUM(OSRRefT22_7x_0)</f>
        <v>0</v>
      </c>
      <c r="U183" s="2"/>
      <c r="V183" s="6">
        <f t="shared" si="41"/>
        <v>0</v>
      </c>
      <c r="W183" s="2"/>
      <c r="X183" s="2">
        <f t="shared" si="42"/>
        <v>5818.27</v>
      </c>
      <c r="Y183" s="2"/>
      <c r="Z183" s="6">
        <f t="shared" si="43"/>
        <v>0</v>
      </c>
    </row>
    <row r="184" spans="1:26" s="69" customFormat="1" ht="15" hidden="1" customHeight="1" outlineLevel="2" x14ac:dyDescent="0.3">
      <c r="A184" s="25"/>
      <c r="B184" s="12" t="str">
        <f>CONCATENATE("          ","6399"," - ","DONATION-ON CAMPUS")</f>
        <v xml:space="preserve">          6399 - DONATION-ON CAMPUS</v>
      </c>
      <c r="C184" s="12"/>
      <c r="D184" s="8"/>
      <c r="E184" s="3"/>
      <c r="F184" s="7">
        <f t="shared" si="36"/>
        <v>0</v>
      </c>
      <c r="G184" s="3"/>
      <c r="H184" s="8"/>
      <c r="I184" s="3"/>
      <c r="J184" s="7">
        <f t="shared" si="37"/>
        <v>0</v>
      </c>
      <c r="K184" s="3"/>
      <c r="L184" s="8">
        <f t="shared" si="38"/>
        <v>0</v>
      </c>
      <c r="M184" s="3"/>
      <c r="N184" s="7">
        <f t="shared" si="39"/>
        <v>0</v>
      </c>
      <c r="O184" s="12"/>
      <c r="P184" s="8">
        <v>5818.27</v>
      </c>
      <c r="Q184" s="3"/>
      <c r="R184" s="7">
        <f t="shared" si="40"/>
        <v>7.7178637845717489E-4</v>
      </c>
      <c r="S184" s="3"/>
      <c r="T184" s="8"/>
      <c r="U184" s="3"/>
      <c r="V184" s="7">
        <f t="shared" si="41"/>
        <v>0</v>
      </c>
      <c r="W184" s="3"/>
      <c r="X184" s="8">
        <f t="shared" si="42"/>
        <v>5818.27</v>
      </c>
      <c r="Y184" s="3"/>
      <c r="Z184" s="7">
        <f t="shared" si="43"/>
        <v>0</v>
      </c>
    </row>
    <row r="185" spans="1:26" s="68" customFormat="1" ht="15" customHeight="1" outlineLevel="1" collapsed="1" x14ac:dyDescent="0.3">
      <c r="A185" s="26"/>
      <c r="B185" s="14" t="str">
        <f>CONCATENATE("     ","Employees' Appreciation                           ")</f>
        <v xml:space="preserve">     Employees' Appreciation                           </v>
      </c>
      <c r="C185" s="14"/>
      <c r="D185" s="2">
        <f>SUM(OSRRefD22_8x_0)</f>
        <v>74.69</v>
      </c>
      <c r="E185" s="2"/>
      <c r="F185" s="6">
        <f t="shared" si="36"/>
        <v>7.1161903143114269E-5</v>
      </c>
      <c r="G185" s="2"/>
      <c r="H185" s="2">
        <f>SUM(OSRRefH22_8x_0)</f>
        <v>0</v>
      </c>
      <c r="I185" s="2"/>
      <c r="J185" s="6">
        <f t="shared" si="37"/>
        <v>0</v>
      </c>
      <c r="K185" s="2"/>
      <c r="L185" s="2">
        <f t="shared" si="38"/>
        <v>74.69</v>
      </c>
      <c r="M185" s="2"/>
      <c r="N185" s="6">
        <f t="shared" si="39"/>
        <v>0</v>
      </c>
      <c r="O185" s="14"/>
      <c r="P185" s="2">
        <f>SUM(OSRRefP22_8x_0)</f>
        <v>4319.88</v>
      </c>
      <c r="Q185" s="2"/>
      <c r="R185" s="6">
        <f t="shared" si="40"/>
        <v>5.7302678297321721E-4</v>
      </c>
      <c r="S185" s="2"/>
      <c r="T185" s="2">
        <f>SUM(OSRRefT22_8x_0)</f>
        <v>186.03</v>
      </c>
      <c r="U185" s="2"/>
      <c r="V185" s="6">
        <f t="shared" si="41"/>
        <v>2.9605029141872674E-5</v>
      </c>
      <c r="W185" s="2"/>
      <c r="X185" s="2">
        <f t="shared" si="42"/>
        <v>4133.8500000000004</v>
      </c>
      <c r="Y185" s="2"/>
      <c r="Z185" s="6">
        <f t="shared" si="43"/>
        <v>22.221415900661185</v>
      </c>
    </row>
    <row r="186" spans="1:26" s="69" customFormat="1" ht="15" hidden="1" customHeight="1" outlineLevel="2" x14ac:dyDescent="0.3">
      <c r="A186" s="25"/>
      <c r="B186" s="12" t="str">
        <f>CONCATENATE("          ","6277"," - ","EMPLOYEE APPRECIATION")</f>
        <v xml:space="preserve">          6277 - EMPLOYEE APPRECIATION</v>
      </c>
      <c r="C186" s="12"/>
      <c r="D186" s="8">
        <v>74.69</v>
      </c>
      <c r="E186" s="3"/>
      <c r="F186" s="7">
        <f t="shared" si="36"/>
        <v>7.1161903143114269E-5</v>
      </c>
      <c r="G186" s="3"/>
      <c r="H186" s="8"/>
      <c r="I186" s="3"/>
      <c r="J186" s="7">
        <f t="shared" si="37"/>
        <v>0</v>
      </c>
      <c r="K186" s="3"/>
      <c r="L186" s="8">
        <f t="shared" si="38"/>
        <v>74.69</v>
      </c>
      <c r="M186" s="3"/>
      <c r="N186" s="7">
        <f t="shared" si="39"/>
        <v>0</v>
      </c>
      <c r="O186" s="12"/>
      <c r="P186" s="8">
        <v>4319.88</v>
      </c>
      <c r="Q186" s="3"/>
      <c r="R186" s="7">
        <f t="shared" si="40"/>
        <v>5.7302678297321721E-4</v>
      </c>
      <c r="S186" s="3"/>
      <c r="T186" s="8">
        <v>186.03</v>
      </c>
      <c r="U186" s="3"/>
      <c r="V186" s="7">
        <f t="shared" si="41"/>
        <v>2.9605029141872674E-5</v>
      </c>
      <c r="W186" s="3"/>
      <c r="X186" s="8">
        <f t="shared" si="42"/>
        <v>4133.8500000000004</v>
      </c>
      <c r="Y186" s="3"/>
      <c r="Z186" s="7">
        <f t="shared" si="43"/>
        <v>22.221415900661185</v>
      </c>
    </row>
    <row r="187" spans="1:26" s="68" customFormat="1" ht="15" customHeight="1" outlineLevel="1" collapsed="1" x14ac:dyDescent="0.3">
      <c r="A187" s="26"/>
      <c r="B187" s="14" t="str">
        <f>CONCATENATE("     ","Equipment Rental                                  ")</f>
        <v xml:space="preserve">     Equipment Rental                                  </v>
      </c>
      <c r="C187" s="14"/>
      <c r="D187" s="2">
        <f>SUM(OSRRefD22_9x_0)</f>
        <v>1712.05</v>
      </c>
      <c r="E187" s="2"/>
      <c r="F187" s="6">
        <f t="shared" si="36"/>
        <v>1.6311786889298271E-3</v>
      </c>
      <c r="G187" s="2"/>
      <c r="H187" s="2">
        <f>SUM(OSRRefH22_9x_0)</f>
        <v>1296.9000000000001</v>
      </c>
      <c r="I187" s="2"/>
      <c r="J187" s="6">
        <f t="shared" si="37"/>
        <v>2.1157299554652631E-3</v>
      </c>
      <c r="K187" s="2"/>
      <c r="L187" s="2">
        <f t="shared" si="38"/>
        <v>415.14999999999986</v>
      </c>
      <c r="M187" s="2"/>
      <c r="N187" s="6">
        <f t="shared" si="39"/>
        <v>0.32010949186521692</v>
      </c>
      <c r="O187" s="14"/>
      <c r="P187" s="2">
        <f>SUM(OSRRefP22_9x_0)</f>
        <v>14410.15</v>
      </c>
      <c r="Q187" s="2"/>
      <c r="R187" s="6">
        <f t="shared" si="40"/>
        <v>1.9114887211361209E-3</v>
      </c>
      <c r="S187" s="2"/>
      <c r="T187" s="2">
        <f>SUM(OSRRefT22_9x_0)</f>
        <v>13446.01</v>
      </c>
      <c r="U187" s="2"/>
      <c r="V187" s="6">
        <f t="shared" si="41"/>
        <v>2.1398135671231058E-3</v>
      </c>
      <c r="W187" s="2"/>
      <c r="X187" s="2">
        <f t="shared" si="42"/>
        <v>964.13999999999942</v>
      </c>
      <c r="Y187" s="2"/>
      <c r="Z187" s="6">
        <f t="shared" si="43"/>
        <v>7.1704542834640117E-2</v>
      </c>
    </row>
    <row r="188" spans="1:26" s="69" customFormat="1" ht="15" hidden="1" customHeight="1" outlineLevel="2" x14ac:dyDescent="0.3">
      <c r="A188" s="25"/>
      <c r="B188" s="12" t="str">
        <f>CONCATENATE("          ","6351"," - ","EQUIPMENT RENTAL")</f>
        <v xml:space="preserve">          6351 - EQUIPMENT RENTAL</v>
      </c>
      <c r="C188" s="12"/>
      <c r="D188" s="8">
        <v>1712.05</v>
      </c>
      <c r="E188" s="3"/>
      <c r="F188" s="7">
        <f t="shared" si="36"/>
        <v>1.6311786889298271E-3</v>
      </c>
      <c r="G188" s="3"/>
      <c r="H188" s="8">
        <v>1296.9000000000001</v>
      </c>
      <c r="I188" s="3"/>
      <c r="J188" s="7">
        <f t="shared" si="37"/>
        <v>2.1157299554652631E-3</v>
      </c>
      <c r="K188" s="3"/>
      <c r="L188" s="8">
        <f t="shared" si="38"/>
        <v>415.14999999999986</v>
      </c>
      <c r="M188" s="3"/>
      <c r="N188" s="7">
        <f t="shared" si="39"/>
        <v>0.32010949186521692</v>
      </c>
      <c r="O188" s="12"/>
      <c r="P188" s="8">
        <v>14410.15</v>
      </c>
      <c r="Q188" s="3"/>
      <c r="R188" s="7">
        <f t="shared" si="40"/>
        <v>1.9114887211361209E-3</v>
      </c>
      <c r="S188" s="3"/>
      <c r="T188" s="8">
        <v>13446.01</v>
      </c>
      <c r="U188" s="3"/>
      <c r="V188" s="7">
        <f t="shared" si="41"/>
        <v>2.1398135671231058E-3</v>
      </c>
      <c r="W188" s="3"/>
      <c r="X188" s="8">
        <f t="shared" si="42"/>
        <v>964.13999999999942</v>
      </c>
      <c r="Y188" s="3"/>
      <c r="Z188" s="7">
        <f t="shared" si="43"/>
        <v>7.1704542834640117E-2</v>
      </c>
    </row>
    <row r="189" spans="1:26" s="68" customFormat="1" ht="15" customHeight="1" outlineLevel="1" collapsed="1" x14ac:dyDescent="0.3">
      <c r="A189" s="26"/>
      <c r="B189" s="14" t="str">
        <f>CONCATENATE("     ","Freight out/Postage                               ")</f>
        <v xml:space="preserve">     Freight out/Postage                               </v>
      </c>
      <c r="C189" s="14"/>
      <c r="D189" s="2">
        <f>SUM(OSRRefD22_10x_0)</f>
        <v>1779.17</v>
      </c>
      <c r="E189" s="2"/>
      <c r="F189" s="6">
        <f t="shared" si="36"/>
        <v>1.6951281726487431E-3</v>
      </c>
      <c r="G189" s="2"/>
      <c r="H189" s="2">
        <f>SUM(OSRRefH22_10x_0)</f>
        <v>-1320.7900000000009</v>
      </c>
      <c r="I189" s="2"/>
      <c r="J189" s="6">
        <f t="shared" si="37"/>
        <v>-2.1547034990199452E-3</v>
      </c>
      <c r="K189" s="2"/>
      <c r="L189" s="2">
        <f t="shared" si="38"/>
        <v>3099.9600000000009</v>
      </c>
      <c r="M189" s="2"/>
      <c r="N189" s="6">
        <f t="shared" si="39"/>
        <v>-2.3470498716677133</v>
      </c>
      <c r="O189" s="14"/>
      <c r="P189" s="2">
        <f>SUM(OSRRefP22_10x_0)</f>
        <v>-44606.61</v>
      </c>
      <c r="Q189" s="2"/>
      <c r="R189" s="6">
        <f t="shared" si="40"/>
        <v>-5.9170120993270511E-3</v>
      </c>
      <c r="S189" s="2"/>
      <c r="T189" s="2">
        <f>SUM(OSRRefT22_10x_0)</f>
        <v>-32892.359999999986</v>
      </c>
      <c r="U189" s="2"/>
      <c r="V189" s="6">
        <f t="shared" si="41"/>
        <v>-5.2345281747297025E-3</v>
      </c>
      <c r="W189" s="2"/>
      <c r="X189" s="2">
        <f t="shared" si="42"/>
        <v>-11714.250000000015</v>
      </c>
      <c r="Y189" s="2"/>
      <c r="Z189" s="6">
        <f t="shared" si="43"/>
        <v>0.35613893317475609</v>
      </c>
    </row>
    <row r="190" spans="1:26" s="69" customFormat="1" ht="15" hidden="1" customHeight="1" outlineLevel="2" x14ac:dyDescent="0.3">
      <c r="A190" s="25"/>
      <c r="B190" s="12" t="str">
        <f>CONCATENATE("          ","6305"," - ","FREIGHT OUT")</f>
        <v xml:space="preserve">          6305 - FREIGHT OUT</v>
      </c>
      <c r="C190" s="12"/>
      <c r="D190" s="8">
        <v>10386.42</v>
      </c>
      <c r="E190" s="3"/>
      <c r="F190" s="7">
        <f t="shared" si="36"/>
        <v>9.8958015001165481E-3</v>
      </c>
      <c r="G190" s="3"/>
      <c r="H190" s="8">
        <v>18098.53</v>
      </c>
      <c r="I190" s="3"/>
      <c r="J190" s="7">
        <f t="shared" si="37"/>
        <v>2.9525485442892071E-2</v>
      </c>
      <c r="K190" s="3"/>
      <c r="L190" s="8">
        <f t="shared" si="38"/>
        <v>-7712.1099999999988</v>
      </c>
      <c r="M190" s="3"/>
      <c r="N190" s="7">
        <f t="shared" si="39"/>
        <v>-0.42611803279050836</v>
      </c>
      <c r="O190" s="12"/>
      <c r="P190" s="8">
        <v>112239.99</v>
      </c>
      <c r="Q190" s="3"/>
      <c r="R190" s="7">
        <f t="shared" si="40"/>
        <v>1.4888496993121584E-2</v>
      </c>
      <c r="S190" s="3"/>
      <c r="T190" s="8">
        <v>180835.48</v>
      </c>
      <c r="U190" s="3"/>
      <c r="V190" s="7">
        <f t="shared" si="41"/>
        <v>2.8778367227245784E-2</v>
      </c>
      <c r="W190" s="3"/>
      <c r="X190" s="8">
        <f t="shared" si="42"/>
        <v>-68595.490000000005</v>
      </c>
      <c r="Y190" s="3"/>
      <c r="Z190" s="7">
        <f t="shared" si="43"/>
        <v>-0.37932539565797596</v>
      </c>
    </row>
    <row r="191" spans="1:26" s="69" customFormat="1" ht="15" hidden="1" customHeight="1" outlineLevel="2" x14ac:dyDescent="0.3">
      <c r="A191" s="25"/>
      <c r="B191" s="12" t="str">
        <f>CONCATENATE("          ","6307"," - ","POSTAGE")</f>
        <v xml:space="preserve">          6307 - POSTAGE</v>
      </c>
      <c r="C191" s="12"/>
      <c r="D191" s="8">
        <v>-8607.25</v>
      </c>
      <c r="E191" s="3"/>
      <c r="F191" s="7">
        <f t="shared" si="36"/>
        <v>-8.2006733274678049E-3</v>
      </c>
      <c r="G191" s="3"/>
      <c r="H191" s="8">
        <v>-19419.32</v>
      </c>
      <c r="I191" s="3"/>
      <c r="J191" s="7">
        <f t="shared" si="37"/>
        <v>-3.1680188941912019E-2</v>
      </c>
      <c r="K191" s="3"/>
      <c r="L191" s="8">
        <f t="shared" si="38"/>
        <v>10812.07</v>
      </c>
      <c r="M191" s="3"/>
      <c r="N191" s="7">
        <f t="shared" si="39"/>
        <v>-0.55676872310667935</v>
      </c>
      <c r="O191" s="12"/>
      <c r="P191" s="8">
        <v>-156846.6</v>
      </c>
      <c r="Q191" s="3"/>
      <c r="R191" s="7">
        <f t="shared" si="40"/>
        <v>-2.0805509092448635E-2</v>
      </c>
      <c r="S191" s="3"/>
      <c r="T191" s="8">
        <v>-213727.84</v>
      </c>
      <c r="U191" s="3"/>
      <c r="V191" s="7">
        <f t="shared" si="41"/>
        <v>-3.4012895401975489E-2</v>
      </c>
      <c r="W191" s="3"/>
      <c r="X191" s="8">
        <f t="shared" si="42"/>
        <v>56881.239999999991</v>
      </c>
      <c r="Y191" s="3"/>
      <c r="Z191" s="7">
        <f t="shared" si="43"/>
        <v>-0.26613865559114802</v>
      </c>
    </row>
    <row r="192" spans="1:26" s="68" customFormat="1" ht="15" customHeight="1" outlineLevel="1" collapsed="1" x14ac:dyDescent="0.3">
      <c r="A192" s="26"/>
      <c r="B192" s="14" t="str">
        <f>CONCATENATE("     ","General                                           ")</f>
        <v xml:space="preserve">     General                                           </v>
      </c>
      <c r="C192" s="14"/>
      <c r="D192" s="2">
        <f>SUM(OSRRefD22_11x_0)</f>
        <v>191.1</v>
      </c>
      <c r="E192" s="2"/>
      <c r="F192" s="6">
        <f t="shared" si="36"/>
        <v>1.8207309801377878E-4</v>
      </c>
      <c r="G192" s="2"/>
      <c r="H192" s="2">
        <f>SUM(OSRRefH22_11x_0)</f>
        <v>0</v>
      </c>
      <c r="I192" s="2"/>
      <c r="J192" s="6">
        <f t="shared" si="37"/>
        <v>0</v>
      </c>
      <c r="K192" s="2"/>
      <c r="L192" s="2">
        <f t="shared" si="38"/>
        <v>191.1</v>
      </c>
      <c r="M192" s="2"/>
      <c r="N192" s="6">
        <f t="shared" si="39"/>
        <v>0</v>
      </c>
      <c r="O192" s="14"/>
      <c r="P192" s="2">
        <f>SUM(OSRRefP22_11x_0)</f>
        <v>5946.45</v>
      </c>
      <c r="Q192" s="2"/>
      <c r="R192" s="6">
        <f t="shared" si="40"/>
        <v>7.8878929822381351E-4</v>
      </c>
      <c r="S192" s="2"/>
      <c r="T192" s="2">
        <f>SUM(OSRRefT22_11x_0)</f>
        <v>2479.64</v>
      </c>
      <c r="U192" s="2"/>
      <c r="V192" s="6">
        <f t="shared" si="41"/>
        <v>3.9461277461352011E-4</v>
      </c>
      <c r="W192" s="2"/>
      <c r="X192" s="2">
        <f t="shared" si="42"/>
        <v>3466.81</v>
      </c>
      <c r="Y192" s="2"/>
      <c r="Z192" s="6">
        <f t="shared" si="43"/>
        <v>1.3981102095465472</v>
      </c>
    </row>
    <row r="193" spans="1:26" s="69" customFormat="1" ht="15" hidden="1" customHeight="1" outlineLevel="2" x14ac:dyDescent="0.3">
      <c r="A193" s="25"/>
      <c r="B193" s="12" t="str">
        <f>CONCATENATE("          ","6279"," - ","GENERAL EXPENSE")</f>
        <v xml:space="preserve">          6279 - GENERAL EXPENSE</v>
      </c>
      <c r="C193" s="12"/>
      <c r="D193" s="8">
        <v>191.1</v>
      </c>
      <c r="E193" s="3"/>
      <c r="F193" s="7">
        <f t="shared" si="36"/>
        <v>1.8207309801377878E-4</v>
      </c>
      <c r="G193" s="3"/>
      <c r="H193" s="8">
        <v>0</v>
      </c>
      <c r="I193" s="3"/>
      <c r="J193" s="7">
        <f t="shared" si="37"/>
        <v>0</v>
      </c>
      <c r="K193" s="3"/>
      <c r="L193" s="8">
        <f t="shared" si="38"/>
        <v>191.1</v>
      </c>
      <c r="M193" s="3"/>
      <c r="N193" s="7">
        <f t="shared" si="39"/>
        <v>0</v>
      </c>
      <c r="O193" s="12"/>
      <c r="P193" s="8">
        <v>5946.45</v>
      </c>
      <c r="Q193" s="3"/>
      <c r="R193" s="7">
        <f t="shared" si="40"/>
        <v>7.8878929822381351E-4</v>
      </c>
      <c r="S193" s="3"/>
      <c r="T193" s="8">
        <v>2479.64</v>
      </c>
      <c r="U193" s="3"/>
      <c r="V193" s="7">
        <f t="shared" si="41"/>
        <v>3.9461277461352011E-4</v>
      </c>
      <c r="W193" s="3"/>
      <c r="X193" s="8">
        <f t="shared" si="42"/>
        <v>3466.81</v>
      </c>
      <c r="Y193" s="3"/>
      <c r="Z193" s="7">
        <f t="shared" si="43"/>
        <v>1.3981102095465472</v>
      </c>
    </row>
    <row r="194" spans="1:26" s="68" customFormat="1" ht="15" customHeight="1" outlineLevel="1" collapsed="1" x14ac:dyDescent="0.3">
      <c r="A194" s="26"/>
      <c r="B194" s="14" t="str">
        <f>CONCATENATE("     ","Insurance                                         ")</f>
        <v xml:space="preserve">     Insurance                                         </v>
      </c>
      <c r="C194" s="14"/>
      <c r="D194" s="2">
        <f>SUM(OSRRefD22_12x_0)</f>
        <v>5494.57</v>
      </c>
      <c r="E194" s="2"/>
      <c r="F194" s="6">
        <f t="shared" si="36"/>
        <v>5.2350255476377207E-3</v>
      </c>
      <c r="G194" s="2"/>
      <c r="H194" s="2">
        <f>SUM(OSRRefH22_12x_0)</f>
        <v>4044.74</v>
      </c>
      <c r="I194" s="2"/>
      <c r="J194" s="6">
        <f t="shared" si="37"/>
        <v>6.5984868378969608E-3</v>
      </c>
      <c r="K194" s="2"/>
      <c r="L194" s="2">
        <f t="shared" si="38"/>
        <v>1449.83</v>
      </c>
      <c r="M194" s="2"/>
      <c r="N194" s="6">
        <f t="shared" si="39"/>
        <v>0.35844825625380122</v>
      </c>
      <c r="O194" s="14"/>
      <c r="P194" s="2">
        <f>SUM(OSRRefP22_12x_0)</f>
        <v>49451.13</v>
      </c>
      <c r="Q194" s="2"/>
      <c r="R194" s="6">
        <f t="shared" si="40"/>
        <v>6.5596317347450276E-3</v>
      </c>
      <c r="S194" s="2"/>
      <c r="T194" s="2">
        <f>SUM(OSRRefT22_12x_0)</f>
        <v>36402.660000000003</v>
      </c>
      <c r="U194" s="2"/>
      <c r="V194" s="6">
        <f t="shared" si="41"/>
        <v>5.7931613725833615E-3</v>
      </c>
      <c r="W194" s="2"/>
      <c r="X194" s="2">
        <f t="shared" si="42"/>
        <v>13048.469999999994</v>
      </c>
      <c r="Y194" s="2"/>
      <c r="Z194" s="6">
        <f t="shared" si="43"/>
        <v>0.35844825625380106</v>
      </c>
    </row>
    <row r="195" spans="1:26" s="69" customFormat="1" ht="15" hidden="1" customHeight="1" outlineLevel="2" x14ac:dyDescent="0.3">
      <c r="A195" s="25"/>
      <c r="B195" s="12" t="str">
        <f>CONCATENATE("          ","6314"," - ","LIABILITY INSURANCE")</f>
        <v xml:space="preserve">          6314 - LIABILITY INSURANCE</v>
      </c>
      <c r="C195" s="12"/>
      <c r="D195" s="8">
        <v>5494.57</v>
      </c>
      <c r="E195" s="3"/>
      <c r="F195" s="7">
        <f t="shared" si="36"/>
        <v>5.2350255476377207E-3</v>
      </c>
      <c r="G195" s="3"/>
      <c r="H195" s="8">
        <v>4044.74</v>
      </c>
      <c r="I195" s="3"/>
      <c r="J195" s="7">
        <f t="shared" si="37"/>
        <v>6.5984868378969608E-3</v>
      </c>
      <c r="K195" s="3"/>
      <c r="L195" s="8">
        <f t="shared" si="38"/>
        <v>1449.83</v>
      </c>
      <c r="M195" s="3"/>
      <c r="N195" s="7">
        <f t="shared" si="39"/>
        <v>0.35844825625380122</v>
      </c>
      <c r="O195" s="12"/>
      <c r="P195" s="8">
        <v>49451.13</v>
      </c>
      <c r="Q195" s="3"/>
      <c r="R195" s="7">
        <f t="shared" si="40"/>
        <v>6.5596317347450276E-3</v>
      </c>
      <c r="S195" s="3"/>
      <c r="T195" s="8">
        <v>36402.660000000003</v>
      </c>
      <c r="U195" s="3"/>
      <c r="V195" s="7">
        <f t="shared" si="41"/>
        <v>5.7931613725833615E-3</v>
      </c>
      <c r="W195" s="3"/>
      <c r="X195" s="8">
        <f t="shared" si="42"/>
        <v>13048.469999999994</v>
      </c>
      <c r="Y195" s="3"/>
      <c r="Z195" s="7">
        <f t="shared" si="43"/>
        <v>0.35844825625380106</v>
      </c>
    </row>
    <row r="196" spans="1:26" s="68" customFormat="1" ht="15" customHeight="1" outlineLevel="1" collapsed="1" x14ac:dyDescent="0.3">
      <c r="A196" s="26"/>
      <c r="B196" s="14" t="str">
        <f>CONCATENATE("     ","Inventory Adjustment                              ")</f>
        <v xml:space="preserve">     Inventory Adjustment                              </v>
      </c>
      <c r="C196" s="14"/>
      <c r="D196" s="2">
        <f>SUM(OSRRefD22_13x_0)</f>
        <v>5440</v>
      </c>
      <c r="E196" s="2"/>
      <c r="F196" s="6">
        <f t="shared" si="36"/>
        <v>5.1830332453948538E-3</v>
      </c>
      <c r="G196" s="2"/>
      <c r="H196" s="2">
        <f>SUM(OSRRefH22_13x_0)</f>
        <v>3350</v>
      </c>
      <c r="I196" s="2"/>
      <c r="J196" s="6">
        <f t="shared" si="37"/>
        <v>5.4651055214809405E-3</v>
      </c>
      <c r="K196" s="2"/>
      <c r="L196" s="2">
        <f t="shared" si="38"/>
        <v>2090</v>
      </c>
      <c r="M196" s="2"/>
      <c r="N196" s="6">
        <f t="shared" si="39"/>
        <v>0.62388059701492538</v>
      </c>
      <c r="O196" s="14"/>
      <c r="P196" s="2">
        <f>SUM(OSRRefP22_13x_0)</f>
        <v>57440</v>
      </c>
      <c r="Q196" s="2"/>
      <c r="R196" s="6">
        <f t="shared" si="40"/>
        <v>7.619345540612609E-3</v>
      </c>
      <c r="S196" s="2"/>
      <c r="T196" s="2">
        <f>SUM(OSRRefT22_13x_0)</f>
        <v>35150</v>
      </c>
      <c r="U196" s="2"/>
      <c r="V196" s="6">
        <f t="shared" si="41"/>
        <v>5.593811612841071E-3</v>
      </c>
      <c r="W196" s="2"/>
      <c r="X196" s="2">
        <f t="shared" si="42"/>
        <v>22290</v>
      </c>
      <c r="Y196" s="2"/>
      <c r="Z196" s="6">
        <f t="shared" si="43"/>
        <v>0.6341394025604552</v>
      </c>
    </row>
    <row r="197" spans="1:26" s="69" customFormat="1" ht="15" hidden="1" customHeight="1" outlineLevel="2" x14ac:dyDescent="0.3">
      <c r="A197" s="25"/>
      <c r="B197" s="12" t="str">
        <f>CONCATENATE("          ","6408"," - ","INVENTORY ADJUSTMENT")</f>
        <v xml:space="preserve">          6408 - INVENTORY ADJUSTMENT</v>
      </c>
      <c r="C197" s="12"/>
      <c r="D197" s="8">
        <v>5440</v>
      </c>
      <c r="E197" s="3"/>
      <c r="F197" s="7">
        <f t="shared" si="36"/>
        <v>5.1830332453948538E-3</v>
      </c>
      <c r="G197" s="3"/>
      <c r="H197" s="8">
        <v>3350</v>
      </c>
      <c r="I197" s="3"/>
      <c r="J197" s="7">
        <f t="shared" si="37"/>
        <v>5.4651055214809405E-3</v>
      </c>
      <c r="K197" s="3"/>
      <c r="L197" s="8">
        <f t="shared" si="38"/>
        <v>2090</v>
      </c>
      <c r="M197" s="3"/>
      <c r="N197" s="7">
        <f t="shared" si="39"/>
        <v>0.62388059701492538</v>
      </c>
      <c r="O197" s="12"/>
      <c r="P197" s="8">
        <v>57440</v>
      </c>
      <c r="Q197" s="3"/>
      <c r="R197" s="7">
        <f t="shared" si="40"/>
        <v>7.619345540612609E-3</v>
      </c>
      <c r="S197" s="3"/>
      <c r="T197" s="8">
        <v>35150</v>
      </c>
      <c r="U197" s="3"/>
      <c r="V197" s="7">
        <f t="shared" si="41"/>
        <v>5.593811612841071E-3</v>
      </c>
      <c r="W197" s="3"/>
      <c r="X197" s="8">
        <f t="shared" si="42"/>
        <v>22290</v>
      </c>
      <c r="Y197" s="3"/>
      <c r="Z197" s="7">
        <f t="shared" si="43"/>
        <v>0.6341394025604552</v>
      </c>
    </row>
    <row r="198" spans="1:26" s="69" customFormat="1" ht="15" hidden="1" customHeight="1" outlineLevel="2" x14ac:dyDescent="0.3">
      <c r="A198" s="25"/>
      <c r="B198" s="12" t="str">
        <f>CONCATENATE("          ","7741"," - ","INV. SHRINKAGE-LOGO GIFTS")</f>
        <v xml:space="preserve">          7741 - INV. SHRINKAGE-LOGO GIFTS</v>
      </c>
      <c r="C198" s="12"/>
      <c r="D198" s="8"/>
      <c r="E198" s="3"/>
      <c r="F198" s="7">
        <f t="shared" si="36"/>
        <v>0</v>
      </c>
      <c r="G198" s="3"/>
      <c r="H198" s="8"/>
      <c r="I198" s="3"/>
      <c r="J198" s="7">
        <f t="shared" si="37"/>
        <v>0</v>
      </c>
      <c r="K198" s="3"/>
      <c r="L198" s="8">
        <f t="shared" si="38"/>
        <v>0</v>
      </c>
      <c r="M198" s="3"/>
      <c r="N198" s="7">
        <f t="shared" si="39"/>
        <v>0</v>
      </c>
      <c r="O198" s="12"/>
      <c r="P198" s="8"/>
      <c r="Q198" s="3"/>
      <c r="R198" s="7">
        <f t="shared" si="40"/>
        <v>0</v>
      </c>
      <c r="S198" s="3"/>
      <c r="T198" s="8">
        <v>0</v>
      </c>
      <c r="U198" s="3"/>
      <c r="V198" s="7">
        <f t="shared" si="41"/>
        <v>0</v>
      </c>
      <c r="W198" s="3"/>
      <c r="X198" s="8">
        <f t="shared" si="42"/>
        <v>0</v>
      </c>
      <c r="Y198" s="3"/>
      <c r="Z198" s="7">
        <f t="shared" si="43"/>
        <v>0</v>
      </c>
    </row>
    <row r="199" spans="1:26" s="68" customFormat="1" ht="15" customHeight="1" outlineLevel="1" collapsed="1" x14ac:dyDescent="0.3">
      <c r="A199" s="26"/>
      <c r="B199" s="14" t="str">
        <f>CONCATENATE("     ","Professional Services                             ")</f>
        <v xml:space="preserve">     Professional Services                             </v>
      </c>
      <c r="C199" s="14"/>
      <c r="D199" s="2">
        <f>SUM(OSRRefD22_14x_0)</f>
        <v>1050</v>
      </c>
      <c r="E199" s="2"/>
      <c r="F199" s="6">
        <f t="shared" si="36"/>
        <v>1.0004016374383449E-3</v>
      </c>
      <c r="G199" s="2"/>
      <c r="H199" s="2">
        <f>SUM(OSRRefH22_14x_0)</f>
        <v>0</v>
      </c>
      <c r="I199" s="2"/>
      <c r="J199" s="6">
        <f t="shared" si="37"/>
        <v>0</v>
      </c>
      <c r="K199" s="2"/>
      <c r="L199" s="2">
        <f t="shared" si="38"/>
        <v>1050</v>
      </c>
      <c r="M199" s="2"/>
      <c r="N199" s="6">
        <f t="shared" si="39"/>
        <v>0</v>
      </c>
      <c r="O199" s="14"/>
      <c r="P199" s="2">
        <f>SUM(OSRRefP22_14x_0)</f>
        <v>9626.5300000000007</v>
      </c>
      <c r="Q199" s="2"/>
      <c r="R199" s="6">
        <f t="shared" si="40"/>
        <v>1.2769473960145107E-3</v>
      </c>
      <c r="S199" s="2"/>
      <c r="T199" s="2">
        <f>SUM(OSRRefT22_14x_0)</f>
        <v>0</v>
      </c>
      <c r="U199" s="2"/>
      <c r="V199" s="6">
        <f t="shared" si="41"/>
        <v>0</v>
      </c>
      <c r="W199" s="2"/>
      <c r="X199" s="2">
        <f t="shared" si="42"/>
        <v>9626.5300000000007</v>
      </c>
      <c r="Y199" s="2"/>
      <c r="Z199" s="6">
        <f t="shared" si="43"/>
        <v>0</v>
      </c>
    </row>
    <row r="200" spans="1:26" s="69" customFormat="1" ht="15" hidden="1" customHeight="1" outlineLevel="2" x14ac:dyDescent="0.3">
      <c r="A200" s="25"/>
      <c r="B200" s="12" t="str">
        <f>CONCATENATE("          ","6336"," - ","PROFESSIONAL SERVICES")</f>
        <v xml:space="preserve">          6336 - PROFESSIONAL SERVICES</v>
      </c>
      <c r="C200" s="12"/>
      <c r="D200" s="8">
        <v>1050</v>
      </c>
      <c r="E200" s="3"/>
      <c r="F200" s="7">
        <f t="shared" si="36"/>
        <v>1.0004016374383449E-3</v>
      </c>
      <c r="G200" s="3"/>
      <c r="H200" s="8"/>
      <c r="I200" s="3"/>
      <c r="J200" s="7">
        <f t="shared" si="37"/>
        <v>0</v>
      </c>
      <c r="K200" s="3"/>
      <c r="L200" s="8">
        <f t="shared" si="38"/>
        <v>1050</v>
      </c>
      <c r="M200" s="3"/>
      <c r="N200" s="7">
        <f t="shared" si="39"/>
        <v>0</v>
      </c>
      <c r="O200" s="12"/>
      <c r="P200" s="8">
        <v>9626.5300000000007</v>
      </c>
      <c r="Q200" s="3"/>
      <c r="R200" s="7">
        <f t="shared" si="40"/>
        <v>1.2769473960145107E-3</v>
      </c>
      <c r="S200" s="3"/>
      <c r="T200" s="8"/>
      <c r="U200" s="3"/>
      <c r="V200" s="7">
        <f t="shared" si="41"/>
        <v>0</v>
      </c>
      <c r="W200" s="3"/>
      <c r="X200" s="8">
        <f t="shared" si="42"/>
        <v>9626.5300000000007</v>
      </c>
      <c r="Y200" s="3"/>
      <c r="Z200" s="7">
        <f t="shared" si="43"/>
        <v>0</v>
      </c>
    </row>
    <row r="201" spans="1:26" s="68" customFormat="1" ht="15" customHeight="1" outlineLevel="1" collapsed="1" x14ac:dyDescent="0.3">
      <c r="A201" s="26"/>
      <c r="B201" s="14" t="str">
        <f>CONCATENATE("     ","Rent                                              ")</f>
        <v xml:space="preserve">     Rent                                              </v>
      </c>
      <c r="C201" s="14"/>
      <c r="D201" s="2">
        <f>SUM(OSRRefD22_15x_0)</f>
        <v>6100</v>
      </c>
      <c r="E201" s="2"/>
      <c r="F201" s="6">
        <f t="shared" si="36"/>
        <v>5.811857131784671E-3</v>
      </c>
      <c r="G201" s="2"/>
      <c r="H201" s="2">
        <f>SUM(OSRRefH22_15x_0)</f>
        <v>6100</v>
      </c>
      <c r="I201" s="2"/>
      <c r="J201" s="6">
        <f t="shared" si="37"/>
        <v>9.9513861734429072E-3</v>
      </c>
      <c r="K201" s="2"/>
      <c r="L201" s="2">
        <f t="shared" si="38"/>
        <v>0</v>
      </c>
      <c r="M201" s="2"/>
      <c r="N201" s="6">
        <f t="shared" si="39"/>
        <v>0</v>
      </c>
      <c r="O201" s="14"/>
      <c r="P201" s="2">
        <f>SUM(OSRRefP22_15x_0)</f>
        <v>54900</v>
      </c>
      <c r="Q201" s="2"/>
      <c r="R201" s="6">
        <f t="shared" si="40"/>
        <v>7.2824176563306446E-3</v>
      </c>
      <c r="S201" s="2"/>
      <c r="T201" s="2">
        <f>SUM(OSRRefT22_15x_0)</f>
        <v>54900</v>
      </c>
      <c r="U201" s="2"/>
      <c r="V201" s="6">
        <f t="shared" si="41"/>
        <v>8.7368494322894678E-3</v>
      </c>
      <c r="W201" s="2"/>
      <c r="X201" s="2">
        <f t="shared" si="42"/>
        <v>0</v>
      </c>
      <c r="Y201" s="2"/>
      <c r="Z201" s="6">
        <f t="shared" si="43"/>
        <v>0</v>
      </c>
    </row>
    <row r="202" spans="1:26" s="69" customFormat="1" ht="15" hidden="1" customHeight="1" outlineLevel="2" x14ac:dyDescent="0.3">
      <c r="A202" s="25"/>
      <c r="B202" s="12" t="str">
        <f>CONCATENATE("          ","6273"," - ","RENT")</f>
        <v xml:space="preserve">          6273 - RENT</v>
      </c>
      <c r="C202" s="12"/>
      <c r="D202" s="8">
        <v>6100</v>
      </c>
      <c r="E202" s="3"/>
      <c r="F202" s="7">
        <f t="shared" si="36"/>
        <v>5.811857131784671E-3</v>
      </c>
      <c r="G202" s="3"/>
      <c r="H202" s="8">
        <v>6100</v>
      </c>
      <c r="I202" s="3"/>
      <c r="J202" s="7">
        <f t="shared" si="37"/>
        <v>9.9513861734429072E-3</v>
      </c>
      <c r="K202" s="3"/>
      <c r="L202" s="8">
        <f t="shared" si="38"/>
        <v>0</v>
      </c>
      <c r="M202" s="3"/>
      <c r="N202" s="7">
        <f t="shared" si="39"/>
        <v>0</v>
      </c>
      <c r="O202" s="12"/>
      <c r="P202" s="8">
        <v>54900</v>
      </c>
      <c r="Q202" s="3"/>
      <c r="R202" s="7">
        <f t="shared" si="40"/>
        <v>7.2824176563306446E-3</v>
      </c>
      <c r="S202" s="3"/>
      <c r="T202" s="8">
        <v>54900</v>
      </c>
      <c r="U202" s="3"/>
      <c r="V202" s="7">
        <f t="shared" si="41"/>
        <v>8.7368494322894678E-3</v>
      </c>
      <c r="W202" s="3"/>
      <c r="X202" s="8">
        <f t="shared" si="42"/>
        <v>0</v>
      </c>
      <c r="Y202" s="3"/>
      <c r="Z202" s="7">
        <f t="shared" si="43"/>
        <v>0</v>
      </c>
    </row>
    <row r="203" spans="1:26" s="68" customFormat="1" ht="15" customHeight="1" outlineLevel="1" collapsed="1" x14ac:dyDescent="0.3">
      <c r="A203" s="26"/>
      <c r="B203" s="14" t="str">
        <f>CONCATENATE("     ","Repair and Maintenance                            ")</f>
        <v xml:space="preserve">     Repair and Maintenance                            </v>
      </c>
      <c r="C203" s="14"/>
      <c r="D203" s="2">
        <f>SUM(OSRRefD22_16x_0)</f>
        <v>16474.68</v>
      </c>
      <c r="E203" s="2"/>
      <c r="F203" s="6">
        <f t="shared" si="36"/>
        <v>1.5696473188831193E-2</v>
      </c>
      <c r="G203" s="2"/>
      <c r="H203" s="2">
        <f>SUM(OSRRefH22_16x_0)</f>
        <v>3023.46</v>
      </c>
      <c r="I203" s="2"/>
      <c r="J203" s="6">
        <f t="shared" si="37"/>
        <v>4.9323963999930642E-3</v>
      </c>
      <c r="K203" s="2"/>
      <c r="L203" s="2">
        <f t="shared" si="38"/>
        <v>13451.220000000001</v>
      </c>
      <c r="M203" s="2"/>
      <c r="N203" s="6">
        <f t="shared" si="39"/>
        <v>4.4489492171221059</v>
      </c>
      <c r="O203" s="14"/>
      <c r="P203" s="2">
        <f>SUM(OSRRefP22_16x_0)</f>
        <v>131912.68</v>
      </c>
      <c r="Q203" s="2"/>
      <c r="R203" s="6">
        <f t="shared" si="40"/>
        <v>1.7498055189906998E-2</v>
      </c>
      <c r="S203" s="2"/>
      <c r="T203" s="2">
        <f>SUM(OSRRefT22_16x_0)</f>
        <v>131979.85999999999</v>
      </c>
      <c r="U203" s="2"/>
      <c r="V203" s="6">
        <f t="shared" si="41"/>
        <v>2.1003427411924284E-2</v>
      </c>
      <c r="W203" s="2"/>
      <c r="X203" s="2">
        <f t="shared" si="42"/>
        <v>-67.179999999993015</v>
      </c>
      <c r="Y203" s="2"/>
      <c r="Z203" s="6">
        <f t="shared" si="43"/>
        <v>-5.0901705760252373E-4</v>
      </c>
    </row>
    <row r="204" spans="1:26" s="69" customFormat="1" ht="15" hidden="1" customHeight="1" outlineLevel="2" x14ac:dyDescent="0.3">
      <c r="A204" s="25"/>
      <c r="B204" s="12" t="str">
        <f>CONCATENATE("          ","6371"," - ","COMPUTER SOFTWARE MAINTENANCE")</f>
        <v xml:space="preserve">          6371 - COMPUTER SOFTWARE MAINTENANCE</v>
      </c>
      <c r="C204" s="12"/>
      <c r="D204" s="8">
        <v>1550</v>
      </c>
      <c r="E204" s="3"/>
      <c r="F204" s="7">
        <f t="shared" si="36"/>
        <v>1.4767833695518424E-3</v>
      </c>
      <c r="G204" s="3"/>
      <c r="H204" s="8">
        <v>1550</v>
      </c>
      <c r="I204" s="3"/>
      <c r="J204" s="7">
        <f t="shared" si="37"/>
        <v>2.5286309129240172E-3</v>
      </c>
      <c r="K204" s="3"/>
      <c r="L204" s="8">
        <f t="shared" si="38"/>
        <v>0</v>
      </c>
      <c r="M204" s="3"/>
      <c r="N204" s="7">
        <f t="shared" si="39"/>
        <v>0</v>
      </c>
      <c r="O204" s="12"/>
      <c r="P204" s="8">
        <v>64061</v>
      </c>
      <c r="Q204" s="3"/>
      <c r="R204" s="7">
        <f t="shared" si="40"/>
        <v>8.4976130688924848E-3</v>
      </c>
      <c r="S204" s="3"/>
      <c r="T204" s="8">
        <v>61317.72</v>
      </c>
      <c r="U204" s="3"/>
      <c r="V204" s="7">
        <f t="shared" si="41"/>
        <v>9.75817280822012E-3</v>
      </c>
      <c r="W204" s="3"/>
      <c r="X204" s="8">
        <f t="shared" si="42"/>
        <v>2743.2799999999988</v>
      </c>
      <c r="Y204" s="3"/>
      <c r="Z204" s="7">
        <f t="shared" si="43"/>
        <v>4.4738780241665846E-2</v>
      </c>
    </row>
    <row r="205" spans="1:26" s="69" customFormat="1" ht="15" hidden="1" customHeight="1" outlineLevel="2" x14ac:dyDescent="0.3">
      <c r="A205" s="25"/>
      <c r="B205" s="12" t="str">
        <f>CONCATENATE("          ","6372"," - ","COMPUTER HARDWARE MAINTENANCE")</f>
        <v xml:space="preserve">          6372 - COMPUTER HARDWARE MAINTENANCE</v>
      </c>
      <c r="C205" s="12"/>
      <c r="D205" s="8"/>
      <c r="E205" s="3"/>
      <c r="F205" s="7">
        <f t="shared" si="36"/>
        <v>0</v>
      </c>
      <c r="G205" s="3"/>
      <c r="H205" s="8"/>
      <c r="I205" s="3"/>
      <c r="J205" s="7">
        <f t="shared" si="37"/>
        <v>0</v>
      </c>
      <c r="K205" s="3"/>
      <c r="L205" s="8">
        <f t="shared" si="38"/>
        <v>0</v>
      </c>
      <c r="M205" s="3"/>
      <c r="N205" s="7">
        <f t="shared" si="39"/>
        <v>0</v>
      </c>
      <c r="O205" s="12"/>
      <c r="P205" s="8"/>
      <c r="Q205" s="3"/>
      <c r="R205" s="7">
        <f t="shared" si="40"/>
        <v>0</v>
      </c>
      <c r="S205" s="3"/>
      <c r="T205" s="8">
        <v>-1.1499999999999999</v>
      </c>
      <c r="U205" s="3"/>
      <c r="V205" s="7">
        <f t="shared" si="41"/>
        <v>-1.8301232872737498E-7</v>
      </c>
      <c r="W205" s="3"/>
      <c r="X205" s="8">
        <f t="shared" si="42"/>
        <v>1.1499999999999999</v>
      </c>
      <c r="Y205" s="3"/>
      <c r="Z205" s="7">
        <f t="shared" si="43"/>
        <v>-1</v>
      </c>
    </row>
    <row r="206" spans="1:26" s="69" customFormat="1" ht="15" hidden="1" customHeight="1" outlineLevel="2" x14ac:dyDescent="0.3">
      <c r="A206" s="25"/>
      <c r="B206" s="12" t="str">
        <f>CONCATENATE("          ","6373"," - ","MAINTENANCE CONTRACTS")</f>
        <v xml:space="preserve">          6373 - MAINTENANCE CONTRACTS</v>
      </c>
      <c r="C206" s="12"/>
      <c r="D206" s="8">
        <v>3672.02</v>
      </c>
      <c r="E206" s="3"/>
      <c r="F206" s="7">
        <f t="shared" si="36"/>
        <v>3.4985664959108109E-3</v>
      </c>
      <c r="G206" s="3"/>
      <c r="H206" s="8">
        <v>1262.9000000000001</v>
      </c>
      <c r="I206" s="3"/>
      <c r="J206" s="7">
        <f t="shared" si="37"/>
        <v>2.0602632128591883E-3</v>
      </c>
      <c r="K206" s="3"/>
      <c r="L206" s="8">
        <f t="shared" si="38"/>
        <v>2409.12</v>
      </c>
      <c r="M206" s="3"/>
      <c r="N206" s="7">
        <f t="shared" si="39"/>
        <v>1.907609470266846</v>
      </c>
      <c r="O206" s="12"/>
      <c r="P206" s="8">
        <v>21571.52</v>
      </c>
      <c r="Q206" s="3"/>
      <c r="R206" s="7">
        <f t="shared" si="40"/>
        <v>2.861435667065385E-3</v>
      </c>
      <c r="S206" s="3"/>
      <c r="T206" s="8">
        <v>44689.58</v>
      </c>
      <c r="U206" s="3"/>
      <c r="V206" s="7">
        <f t="shared" si="41"/>
        <v>7.1119513962159342E-3</v>
      </c>
      <c r="W206" s="3"/>
      <c r="X206" s="8">
        <f t="shared" si="42"/>
        <v>-23118.06</v>
      </c>
      <c r="Y206" s="3"/>
      <c r="Z206" s="7">
        <f t="shared" si="43"/>
        <v>-0.51730313867348943</v>
      </c>
    </row>
    <row r="207" spans="1:26" s="69" customFormat="1" ht="15" hidden="1" customHeight="1" outlineLevel="2" x14ac:dyDescent="0.3">
      <c r="A207" s="25"/>
      <c r="B207" s="12" t="str">
        <f>CONCATENATE("          ","6375"," - ","OUTSIDE REPAIRS &amp; MAINTENANCE")</f>
        <v xml:space="preserve">          6375 - OUTSIDE REPAIRS &amp; MAINTENANCE</v>
      </c>
      <c r="C207" s="12"/>
      <c r="D207" s="8">
        <v>11252.66</v>
      </c>
      <c r="E207" s="3"/>
      <c r="F207" s="7">
        <f t="shared" si="36"/>
        <v>1.0721123323368539E-2</v>
      </c>
      <c r="G207" s="3"/>
      <c r="H207" s="8">
        <v>210.56</v>
      </c>
      <c r="I207" s="3"/>
      <c r="J207" s="7">
        <f t="shared" si="37"/>
        <v>3.4350227420985874E-4</v>
      </c>
      <c r="K207" s="3"/>
      <c r="L207" s="8">
        <f t="shared" si="38"/>
        <v>11042.1</v>
      </c>
      <c r="M207" s="3"/>
      <c r="N207" s="7">
        <f t="shared" si="39"/>
        <v>52.441584346504563</v>
      </c>
      <c r="O207" s="12"/>
      <c r="P207" s="8">
        <v>46280.160000000003</v>
      </c>
      <c r="Q207" s="3"/>
      <c r="R207" s="7">
        <f t="shared" si="40"/>
        <v>6.1390064539491307E-3</v>
      </c>
      <c r="S207" s="3"/>
      <c r="T207" s="8">
        <v>25973.71</v>
      </c>
      <c r="U207" s="3"/>
      <c r="V207" s="7">
        <f t="shared" si="41"/>
        <v>4.1334862198169628E-3</v>
      </c>
      <c r="W207" s="3"/>
      <c r="X207" s="8">
        <f t="shared" si="42"/>
        <v>20306.450000000004</v>
      </c>
      <c r="Y207" s="3"/>
      <c r="Z207" s="7">
        <f t="shared" si="43"/>
        <v>0.78180783569232137</v>
      </c>
    </row>
    <row r="208" spans="1:26" s="68" customFormat="1" ht="15" customHeight="1" outlineLevel="1" collapsed="1" x14ac:dyDescent="0.3">
      <c r="A208" s="26"/>
      <c r="B208" s="14" t="str">
        <f>CONCATENATE("     ","Royalty &amp; Commissions                             ")</f>
        <v xml:space="preserve">     Royalty &amp; Commissions                             </v>
      </c>
      <c r="C208" s="14"/>
      <c r="D208" s="2">
        <f>SUM(OSRRefD22_17x_0)</f>
        <v>2502.14</v>
      </c>
      <c r="E208" s="2"/>
      <c r="F208" s="6">
        <f t="shared" si="36"/>
        <v>2.3839475743809334E-3</v>
      </c>
      <c r="G208" s="2"/>
      <c r="H208" s="2">
        <f>SUM(OSRRefH22_17x_0)</f>
        <v>27.21</v>
      </c>
      <c r="I208" s="2"/>
      <c r="J208" s="6">
        <f t="shared" si="37"/>
        <v>4.4389707832685489E-5</v>
      </c>
      <c r="K208" s="2"/>
      <c r="L208" s="2">
        <f t="shared" si="38"/>
        <v>2474.9299999999998</v>
      </c>
      <c r="M208" s="2"/>
      <c r="N208" s="6">
        <f t="shared" si="39"/>
        <v>90.956633590591679</v>
      </c>
      <c r="O208" s="14"/>
      <c r="P208" s="2">
        <f>SUM(OSRRefP22_17x_0)</f>
        <v>52735.930000000008</v>
      </c>
      <c r="Q208" s="2"/>
      <c r="R208" s="6">
        <f t="shared" si="40"/>
        <v>6.9953564254101449E-3</v>
      </c>
      <c r="S208" s="2"/>
      <c r="T208" s="2">
        <f>SUM(OSRRefT22_17x_0)</f>
        <v>36861.200000000004</v>
      </c>
      <c r="U208" s="2"/>
      <c r="V208" s="6">
        <f t="shared" si="41"/>
        <v>5.8661339579874055E-3</v>
      </c>
      <c r="W208" s="2"/>
      <c r="X208" s="2">
        <f t="shared" si="42"/>
        <v>15874.730000000003</v>
      </c>
      <c r="Y208" s="2"/>
      <c r="Z208" s="6">
        <f t="shared" si="43"/>
        <v>0.43066232244202579</v>
      </c>
    </row>
    <row r="209" spans="1:26" s="69" customFormat="1" ht="15" hidden="1" customHeight="1" outlineLevel="2" x14ac:dyDescent="0.3">
      <c r="A209" s="25"/>
      <c r="B209" s="12" t="str">
        <f>CONCATENATE("          ","6253"," - ","ROYALTY DUE ATHLETICS-LRG")</f>
        <v xml:space="preserve">          6253 - ROYALTY DUE ATHLETICS-LRG</v>
      </c>
      <c r="C209" s="12"/>
      <c r="D209" s="8"/>
      <c r="E209" s="3"/>
      <c r="F209" s="7">
        <f t="shared" si="36"/>
        <v>0</v>
      </c>
      <c r="G209" s="3"/>
      <c r="H209" s="8"/>
      <c r="I209" s="3"/>
      <c r="J209" s="7">
        <f t="shared" si="37"/>
        <v>0</v>
      </c>
      <c r="K209" s="3"/>
      <c r="L209" s="8">
        <f t="shared" si="38"/>
        <v>0</v>
      </c>
      <c r="M209" s="3"/>
      <c r="N209" s="7">
        <f t="shared" si="39"/>
        <v>0</v>
      </c>
      <c r="O209" s="12"/>
      <c r="P209" s="8">
        <v>39221.160000000003</v>
      </c>
      <c r="Q209" s="3"/>
      <c r="R209" s="7">
        <f t="shared" si="40"/>
        <v>5.2026387629466164E-3</v>
      </c>
      <c r="S209" s="3"/>
      <c r="T209" s="8">
        <v>26197.58</v>
      </c>
      <c r="U209" s="3"/>
      <c r="V209" s="7">
        <f t="shared" si="41"/>
        <v>4.1691131502797438E-3</v>
      </c>
      <c r="W209" s="3"/>
      <c r="X209" s="8">
        <f t="shared" si="42"/>
        <v>13023.580000000002</v>
      </c>
      <c r="Y209" s="3"/>
      <c r="Z209" s="7">
        <f t="shared" si="43"/>
        <v>0.49712912414047405</v>
      </c>
    </row>
    <row r="210" spans="1:26" s="69" customFormat="1" ht="15" hidden="1" customHeight="1" outlineLevel="2" x14ac:dyDescent="0.3">
      <c r="A210" s="25"/>
      <c r="B210" s="12" t="str">
        <f>CONCATENATE("          ","6254"," - ","ROYALTY &amp; COMMISSIONS")</f>
        <v xml:space="preserve">          6254 - ROYALTY &amp; COMMISSIONS</v>
      </c>
      <c r="C210" s="12"/>
      <c r="D210" s="8"/>
      <c r="E210" s="3"/>
      <c r="F210" s="7">
        <f t="shared" si="36"/>
        <v>0</v>
      </c>
      <c r="G210" s="3"/>
      <c r="H210" s="8"/>
      <c r="I210" s="3"/>
      <c r="J210" s="7">
        <f t="shared" si="37"/>
        <v>0</v>
      </c>
      <c r="K210" s="3"/>
      <c r="L210" s="8">
        <f t="shared" si="38"/>
        <v>0</v>
      </c>
      <c r="M210" s="3"/>
      <c r="N210" s="7">
        <f t="shared" si="39"/>
        <v>0</v>
      </c>
      <c r="O210" s="12"/>
      <c r="P210" s="8">
        <v>3509.15</v>
      </c>
      <c r="Q210" s="3"/>
      <c r="R210" s="7">
        <f t="shared" si="40"/>
        <v>4.6548444296380111E-4</v>
      </c>
      <c r="S210" s="3"/>
      <c r="T210" s="8"/>
      <c r="U210" s="3"/>
      <c r="V210" s="7">
        <f t="shared" si="41"/>
        <v>0</v>
      </c>
      <c r="W210" s="3"/>
      <c r="X210" s="8">
        <f t="shared" si="42"/>
        <v>3509.15</v>
      </c>
      <c r="Y210" s="3"/>
      <c r="Z210" s="7">
        <f t="shared" si="43"/>
        <v>0</v>
      </c>
    </row>
    <row r="211" spans="1:26" s="69" customFormat="1" ht="15" hidden="1" customHeight="1" outlineLevel="2" x14ac:dyDescent="0.3">
      <c r="A211" s="25"/>
      <c r="B211" s="12" t="str">
        <f>CONCATENATE("          ","6259"," - ","ROYALTY &amp; COMMISSIONS")</f>
        <v xml:space="preserve">          6259 - ROYALTY &amp; COMMISSIONS</v>
      </c>
      <c r="C211" s="12"/>
      <c r="D211" s="8">
        <v>2502.14</v>
      </c>
      <c r="E211" s="3"/>
      <c r="F211" s="7">
        <f t="shared" si="36"/>
        <v>2.3839475743809334E-3</v>
      </c>
      <c r="G211" s="3"/>
      <c r="H211" s="8">
        <v>27.21</v>
      </c>
      <c r="I211" s="3"/>
      <c r="J211" s="7">
        <f t="shared" si="37"/>
        <v>4.4389707832685489E-5</v>
      </c>
      <c r="K211" s="3"/>
      <c r="L211" s="8">
        <f t="shared" si="38"/>
        <v>2474.9299999999998</v>
      </c>
      <c r="M211" s="3"/>
      <c r="N211" s="7">
        <f t="shared" si="39"/>
        <v>90.956633590591679</v>
      </c>
      <c r="O211" s="12"/>
      <c r="P211" s="8">
        <v>10005.620000000001</v>
      </c>
      <c r="Q211" s="3"/>
      <c r="R211" s="7">
        <f t="shared" si="40"/>
        <v>1.3272332194997274E-3</v>
      </c>
      <c r="S211" s="3"/>
      <c r="T211" s="8">
        <v>10663.62</v>
      </c>
      <c r="U211" s="3"/>
      <c r="V211" s="7">
        <f t="shared" si="41"/>
        <v>1.6970208077076616E-3</v>
      </c>
      <c r="W211" s="3"/>
      <c r="X211" s="8">
        <f t="shared" si="42"/>
        <v>-658</v>
      </c>
      <c r="Y211" s="3"/>
      <c r="Z211" s="7">
        <f t="shared" si="43"/>
        <v>-6.1705124526192791E-2</v>
      </c>
    </row>
    <row r="212" spans="1:26" s="68" customFormat="1" ht="15" customHeight="1" outlineLevel="1" collapsed="1" x14ac:dyDescent="0.3">
      <c r="A212" s="26"/>
      <c r="B212" s="14" t="str">
        <f>CONCATENATE("     ","Services                                          ")</f>
        <v xml:space="preserve">     Services                                          </v>
      </c>
      <c r="C212" s="14"/>
      <c r="D212" s="2">
        <f>SUM(OSRRefD22_18x_0)</f>
        <v>4639.4000000000005</v>
      </c>
      <c r="E212" s="2"/>
      <c r="F212" s="6">
        <f t="shared" si="36"/>
        <v>4.4202508159347223E-3</v>
      </c>
      <c r="G212" s="2"/>
      <c r="H212" s="2">
        <f>SUM(OSRRefH22_18x_0)</f>
        <v>7475.7699999999995</v>
      </c>
      <c r="I212" s="2"/>
      <c r="J212" s="6">
        <f t="shared" si="37"/>
        <v>1.2195782658006438E-2</v>
      </c>
      <c r="K212" s="2"/>
      <c r="L212" s="2">
        <f t="shared" si="38"/>
        <v>-2836.369999999999</v>
      </c>
      <c r="M212" s="2"/>
      <c r="N212" s="6">
        <f t="shared" si="39"/>
        <v>-0.37940840876591964</v>
      </c>
      <c r="O212" s="14"/>
      <c r="P212" s="2">
        <f>SUM(OSRRefP22_18x_0)</f>
        <v>51893.630000000005</v>
      </c>
      <c r="Q212" s="2"/>
      <c r="R212" s="6">
        <f t="shared" si="40"/>
        <v>6.8836263636264054E-3</v>
      </c>
      <c r="S212" s="2"/>
      <c r="T212" s="2">
        <f>SUM(OSRRefT22_18x_0)</f>
        <v>36137.660000000003</v>
      </c>
      <c r="U212" s="2"/>
      <c r="V212" s="6">
        <f t="shared" si="41"/>
        <v>5.7509889663983575E-3</v>
      </c>
      <c r="W212" s="2"/>
      <c r="X212" s="2">
        <f t="shared" si="42"/>
        <v>15755.970000000001</v>
      </c>
      <c r="Y212" s="2"/>
      <c r="Z212" s="6">
        <f t="shared" si="43"/>
        <v>0.43599862304310794</v>
      </c>
    </row>
    <row r="213" spans="1:26" s="69" customFormat="1" ht="15" hidden="1" customHeight="1" outlineLevel="2" x14ac:dyDescent="0.3">
      <c r="A213" s="25"/>
      <c r="B213" s="12" t="str">
        <f>CONCATENATE("          ","6282"," - ","JANITORIAL/EXTERMINATOR EXPENS")</f>
        <v xml:space="preserve">          6282 - JANITORIAL/EXTERMINATOR EXPENS</v>
      </c>
      <c r="C213" s="12"/>
      <c r="D213" s="8">
        <v>209.65</v>
      </c>
      <c r="E213" s="3"/>
      <c r="F213" s="7">
        <f t="shared" si="36"/>
        <v>1.9974686027518954E-4</v>
      </c>
      <c r="G213" s="3"/>
      <c r="H213" s="8">
        <v>453</v>
      </c>
      <c r="I213" s="3"/>
      <c r="J213" s="7">
        <f t="shared" si="37"/>
        <v>7.3901277648682562E-4</v>
      </c>
      <c r="K213" s="3"/>
      <c r="L213" s="8">
        <f t="shared" si="38"/>
        <v>-243.35</v>
      </c>
      <c r="M213" s="3"/>
      <c r="N213" s="7">
        <f t="shared" si="39"/>
        <v>-0.53719646799116993</v>
      </c>
      <c r="O213" s="12"/>
      <c r="P213" s="8">
        <v>2753.63</v>
      </c>
      <c r="Q213" s="3"/>
      <c r="R213" s="7">
        <f t="shared" si="40"/>
        <v>3.6526564173045088E-4</v>
      </c>
      <c r="S213" s="3"/>
      <c r="T213" s="8">
        <v>7406.12</v>
      </c>
      <c r="U213" s="3"/>
      <c r="V213" s="7">
        <f t="shared" si="41"/>
        <v>1.1786184939429449E-3</v>
      </c>
      <c r="W213" s="3"/>
      <c r="X213" s="8">
        <f t="shared" si="42"/>
        <v>-4652.49</v>
      </c>
      <c r="Y213" s="3"/>
      <c r="Z213" s="7">
        <f t="shared" si="43"/>
        <v>-0.62819533034841457</v>
      </c>
    </row>
    <row r="214" spans="1:26" s="69" customFormat="1" ht="15" hidden="1" customHeight="1" outlineLevel="2" x14ac:dyDescent="0.3">
      <c r="A214" s="25"/>
      <c r="B214" s="12" t="str">
        <f>CONCATENATE("          ","6283"," - ","PLANT SERVICE")</f>
        <v xml:space="preserve">          6283 - PLANT SERVICE</v>
      </c>
      <c r="C214" s="12"/>
      <c r="D214" s="8"/>
      <c r="E214" s="3"/>
      <c r="F214" s="7">
        <f t="shared" ref="F214:F238" si="44">IF(D$12=0,0,D214/D$12)</f>
        <v>0</v>
      </c>
      <c r="G214" s="3"/>
      <c r="H214" s="8"/>
      <c r="I214" s="3"/>
      <c r="J214" s="7">
        <f t="shared" ref="J214:J238" si="45">IF(H$12=0,0,H214/H$12)</f>
        <v>0</v>
      </c>
      <c r="K214" s="3"/>
      <c r="L214" s="8">
        <f t="shared" ref="L214:L238" si="46">+D214-H214</f>
        <v>0</v>
      </c>
      <c r="M214" s="3"/>
      <c r="N214" s="7">
        <f t="shared" ref="N214:N238" si="47">IF(H214=0,0,L214/H214)</f>
        <v>0</v>
      </c>
      <c r="O214" s="12"/>
      <c r="P214" s="8"/>
      <c r="Q214" s="3"/>
      <c r="R214" s="7">
        <f t="shared" ref="R214:R238" si="48">IF(P$12=0,0,P214/P$12)</f>
        <v>0</v>
      </c>
      <c r="S214" s="3"/>
      <c r="T214" s="8">
        <v>171.31</v>
      </c>
      <c r="U214" s="3"/>
      <c r="V214" s="7">
        <f t="shared" ref="V214:V238" si="49">IF(T$12=0,0,T214/T$12)</f>
        <v>2.7262471334162273E-5</v>
      </c>
      <c r="W214" s="3"/>
      <c r="X214" s="8">
        <f t="shared" ref="X214:X238" si="50">+P214-T214</f>
        <v>-171.31</v>
      </c>
      <c r="Y214" s="3"/>
      <c r="Z214" s="7">
        <f t="shared" ref="Z214:Z238" si="51">IF(T214=0,0,X214/T214)</f>
        <v>-1</v>
      </c>
    </row>
    <row r="215" spans="1:26" s="69" customFormat="1" ht="15" hidden="1" customHeight="1" outlineLevel="2" x14ac:dyDescent="0.3">
      <c r="A215" s="25"/>
      <c r="B215" s="12" t="str">
        <f>CONCATENATE("          ","6284"," - ","TRASH REMOVAL EXPENSE")</f>
        <v xml:space="preserve">          6284 - TRASH REMOVAL EXPENSE</v>
      </c>
      <c r="C215" s="12"/>
      <c r="D215" s="8">
        <v>149.69999999999999</v>
      </c>
      <c r="E215" s="3"/>
      <c r="F215" s="7">
        <f t="shared" si="44"/>
        <v>1.4262869059478118E-4</v>
      </c>
      <c r="G215" s="3"/>
      <c r="H215" s="8">
        <v>142.57</v>
      </c>
      <c r="I215" s="3"/>
      <c r="J215" s="7">
        <f t="shared" si="45"/>
        <v>2.3258510274553362E-4</v>
      </c>
      <c r="K215" s="3"/>
      <c r="L215" s="8">
        <f t="shared" si="46"/>
        <v>7.1299999999999955</v>
      </c>
      <c r="M215" s="3"/>
      <c r="N215" s="7">
        <f t="shared" si="47"/>
        <v>5.0010521147506461E-2</v>
      </c>
      <c r="O215" s="12"/>
      <c r="P215" s="8">
        <v>1340.17</v>
      </c>
      <c r="Q215" s="3"/>
      <c r="R215" s="7">
        <f t="shared" si="48"/>
        <v>1.7777190656620474E-4</v>
      </c>
      <c r="S215" s="3"/>
      <c r="T215" s="8">
        <v>1298.1500000000001</v>
      </c>
      <c r="U215" s="3"/>
      <c r="V215" s="7">
        <f t="shared" si="49"/>
        <v>2.0658909090212336E-4</v>
      </c>
      <c r="W215" s="3"/>
      <c r="X215" s="8">
        <f t="shared" si="50"/>
        <v>42.019999999999982</v>
      </c>
      <c r="Y215" s="3"/>
      <c r="Z215" s="7">
        <f t="shared" si="51"/>
        <v>3.2369140700227228E-2</v>
      </c>
    </row>
    <row r="216" spans="1:26" s="69" customFormat="1" ht="15" hidden="1" customHeight="1" outlineLevel="2" x14ac:dyDescent="0.3">
      <c r="A216" s="25"/>
      <c r="B216" s="12" t="str">
        <f>CONCATENATE("          ","6285"," - ","JANITORIAL SERVICES")</f>
        <v xml:space="preserve">          6285 - JANITORIAL SERVICES</v>
      </c>
      <c r="C216" s="12"/>
      <c r="D216" s="8">
        <v>4280.05</v>
      </c>
      <c r="E216" s="3"/>
      <c r="F216" s="7">
        <f t="shared" si="44"/>
        <v>4.0778752650647513E-3</v>
      </c>
      <c r="G216" s="3"/>
      <c r="H216" s="8">
        <v>6880.2</v>
      </c>
      <c r="I216" s="3"/>
      <c r="J216" s="7">
        <f t="shared" si="45"/>
        <v>1.122418477877408E-2</v>
      </c>
      <c r="K216" s="3"/>
      <c r="L216" s="8">
        <f t="shared" si="46"/>
        <v>-2600.1499999999996</v>
      </c>
      <c r="M216" s="3"/>
      <c r="N216" s="7">
        <f t="shared" si="47"/>
        <v>-0.37791779308741019</v>
      </c>
      <c r="O216" s="12"/>
      <c r="P216" s="8">
        <v>47799.83</v>
      </c>
      <c r="Q216" s="3"/>
      <c r="R216" s="7">
        <f t="shared" si="48"/>
        <v>6.3405888153297493E-3</v>
      </c>
      <c r="S216" s="3"/>
      <c r="T216" s="8">
        <v>27262.080000000002</v>
      </c>
      <c r="U216" s="3"/>
      <c r="V216" s="7">
        <f t="shared" si="49"/>
        <v>4.338518910219127E-3</v>
      </c>
      <c r="W216" s="3"/>
      <c r="X216" s="8">
        <f t="shared" si="50"/>
        <v>20537.75</v>
      </c>
      <c r="Y216" s="3"/>
      <c r="Z216" s="7">
        <f t="shared" si="51"/>
        <v>0.75334493919759604</v>
      </c>
    </row>
    <row r="217" spans="1:26" s="68" customFormat="1" ht="15" customHeight="1" outlineLevel="1" collapsed="1" x14ac:dyDescent="0.3">
      <c r="A217" s="26"/>
      <c r="B217" s="14" t="str">
        <f>CONCATENATE("     ","Subscriptions &amp; Dues                              ")</f>
        <v xml:space="preserve">     Subscriptions &amp; Dues                              </v>
      </c>
      <c r="C217" s="14"/>
      <c r="D217" s="2">
        <f>SUM(OSRRefD22_19x_0)</f>
        <v>606.92999999999995</v>
      </c>
      <c r="E217" s="2"/>
      <c r="F217" s="6">
        <f t="shared" si="44"/>
        <v>5.7826072934329012E-4</v>
      </c>
      <c r="G217" s="2"/>
      <c r="H217" s="2">
        <f>SUM(OSRRefH22_19x_0)</f>
        <v>307.78999999999996</v>
      </c>
      <c r="I217" s="2"/>
      <c r="J217" s="6">
        <f t="shared" si="45"/>
        <v>5.0212084431540849E-4</v>
      </c>
      <c r="K217" s="2"/>
      <c r="L217" s="2">
        <f t="shared" si="46"/>
        <v>299.14</v>
      </c>
      <c r="M217" s="2"/>
      <c r="N217" s="6">
        <f t="shared" si="47"/>
        <v>0.97189642288573386</v>
      </c>
      <c r="O217" s="14"/>
      <c r="P217" s="2">
        <f>SUM(OSRRefP22_19x_0)</f>
        <v>2477.65</v>
      </c>
      <c r="Q217" s="2"/>
      <c r="R217" s="6">
        <f t="shared" si="48"/>
        <v>3.286572332642554E-4</v>
      </c>
      <c r="S217" s="2"/>
      <c r="T217" s="2">
        <f>SUM(OSRRefT22_19x_0)</f>
        <v>4334.33</v>
      </c>
      <c r="U217" s="2"/>
      <c r="V217" s="6">
        <f t="shared" si="49"/>
        <v>6.8977028415036809E-4</v>
      </c>
      <c r="W217" s="2"/>
      <c r="X217" s="2">
        <f t="shared" si="50"/>
        <v>-1856.6799999999998</v>
      </c>
      <c r="Y217" s="2"/>
      <c r="Z217" s="6">
        <f t="shared" si="51"/>
        <v>-0.42836609118364311</v>
      </c>
    </row>
    <row r="218" spans="1:26" s="69" customFormat="1" ht="15" hidden="1" customHeight="1" outlineLevel="2" x14ac:dyDescent="0.3">
      <c r="A218" s="25"/>
      <c r="B218" s="12" t="str">
        <f>CONCATENATE("          ","6258"," - ","MEMBERSHIP DUES")</f>
        <v xml:space="preserve">          6258 - MEMBERSHIP DUES</v>
      </c>
      <c r="C218" s="12"/>
      <c r="D218" s="8">
        <v>606.92999999999995</v>
      </c>
      <c r="E218" s="3"/>
      <c r="F218" s="7">
        <f t="shared" si="44"/>
        <v>5.7826072934329012E-4</v>
      </c>
      <c r="G218" s="3"/>
      <c r="H218" s="8">
        <v>232.79</v>
      </c>
      <c r="I218" s="3"/>
      <c r="J218" s="7">
        <f t="shared" si="45"/>
        <v>3.7976773562553676E-4</v>
      </c>
      <c r="K218" s="3"/>
      <c r="L218" s="8">
        <f t="shared" si="46"/>
        <v>374.14</v>
      </c>
      <c r="M218" s="3"/>
      <c r="N218" s="7">
        <f t="shared" si="47"/>
        <v>1.6071996219768891</v>
      </c>
      <c r="O218" s="12"/>
      <c r="P218" s="8">
        <v>2477.65</v>
      </c>
      <c r="Q218" s="3"/>
      <c r="R218" s="7">
        <f t="shared" si="48"/>
        <v>3.286572332642554E-4</v>
      </c>
      <c r="S218" s="3"/>
      <c r="T218" s="8">
        <v>2106.52</v>
      </c>
      <c r="U218" s="3"/>
      <c r="V218" s="7">
        <f t="shared" si="49"/>
        <v>3.3523402670503479E-4</v>
      </c>
      <c r="W218" s="3"/>
      <c r="X218" s="8">
        <f t="shared" si="50"/>
        <v>371.13000000000011</v>
      </c>
      <c r="Y218" s="3"/>
      <c r="Z218" s="7">
        <f t="shared" si="51"/>
        <v>0.17618156960294709</v>
      </c>
    </row>
    <row r="219" spans="1:26" s="69" customFormat="1" ht="15" hidden="1" customHeight="1" outlineLevel="2" x14ac:dyDescent="0.3">
      <c r="A219" s="25"/>
      <c r="B219" s="12" t="str">
        <f>CONCATENATE("          ","6275"," - ","SUBSCRIPTIONS")</f>
        <v xml:space="preserve">          6275 - SUBSCRIPTIONS</v>
      </c>
      <c r="C219" s="12"/>
      <c r="D219" s="8"/>
      <c r="E219" s="3"/>
      <c r="F219" s="7">
        <f t="shared" si="44"/>
        <v>0</v>
      </c>
      <c r="G219" s="3"/>
      <c r="H219" s="8">
        <v>75</v>
      </c>
      <c r="I219" s="3"/>
      <c r="J219" s="7">
        <f t="shared" si="45"/>
        <v>1.2235310868987181E-4</v>
      </c>
      <c r="K219" s="3"/>
      <c r="L219" s="8">
        <f t="shared" si="46"/>
        <v>-75</v>
      </c>
      <c r="M219" s="3"/>
      <c r="N219" s="7">
        <f t="shared" si="47"/>
        <v>-1</v>
      </c>
      <c r="O219" s="12"/>
      <c r="P219" s="8"/>
      <c r="Q219" s="3"/>
      <c r="R219" s="7">
        <f t="shared" si="48"/>
        <v>0</v>
      </c>
      <c r="S219" s="3"/>
      <c r="T219" s="8">
        <v>2227.81</v>
      </c>
      <c r="U219" s="3"/>
      <c r="V219" s="7">
        <f t="shared" si="49"/>
        <v>3.545362574453333E-4</v>
      </c>
      <c r="W219" s="3"/>
      <c r="X219" s="8">
        <f t="shared" si="50"/>
        <v>-2227.81</v>
      </c>
      <c r="Y219" s="3"/>
      <c r="Z219" s="7">
        <f t="shared" si="51"/>
        <v>-1</v>
      </c>
    </row>
    <row r="220" spans="1:26" s="68" customFormat="1" ht="15" customHeight="1" outlineLevel="1" collapsed="1" x14ac:dyDescent="0.3">
      <c r="A220" s="26"/>
      <c r="B220" s="14" t="str">
        <f>CONCATENATE("     ","Supplies                                          ")</f>
        <v xml:space="preserve">     Supplies                                          </v>
      </c>
      <c r="C220" s="14"/>
      <c r="D220" s="2">
        <f>SUM(OSRRefD22_20x_0)</f>
        <v>9875.9000000000015</v>
      </c>
      <c r="E220" s="2"/>
      <c r="F220" s="6">
        <f t="shared" si="44"/>
        <v>9.4093966963593838E-3</v>
      </c>
      <c r="G220" s="2"/>
      <c r="H220" s="2">
        <f>SUM(OSRRefH22_20x_0)</f>
        <v>5831.1500000000005</v>
      </c>
      <c r="I220" s="2"/>
      <c r="J220" s="6">
        <f t="shared" si="45"/>
        <v>9.5127910631592795E-3</v>
      </c>
      <c r="K220" s="2"/>
      <c r="L220" s="2">
        <f t="shared" si="46"/>
        <v>4044.7500000000009</v>
      </c>
      <c r="M220" s="2"/>
      <c r="N220" s="6">
        <f t="shared" si="47"/>
        <v>0.69364533582569488</v>
      </c>
      <c r="O220" s="14"/>
      <c r="P220" s="2">
        <f>SUM(OSRRefP22_20x_0)</f>
        <v>89909.489999999991</v>
      </c>
      <c r="Q220" s="2"/>
      <c r="R220" s="6">
        <f t="shared" si="48"/>
        <v>1.1926383560067094E-2</v>
      </c>
      <c r="S220" s="2"/>
      <c r="T220" s="2">
        <f>SUM(OSRRefT22_20x_0)</f>
        <v>106816.36</v>
      </c>
      <c r="U220" s="2"/>
      <c r="V220" s="6">
        <f t="shared" si="49"/>
        <v>1.6998878947636201E-2</v>
      </c>
      <c r="W220" s="2"/>
      <c r="X220" s="2">
        <f t="shared" si="50"/>
        <v>-16906.87000000001</v>
      </c>
      <c r="Y220" s="2"/>
      <c r="Z220" s="6">
        <f t="shared" si="51"/>
        <v>-0.15827978036323284</v>
      </c>
    </row>
    <row r="221" spans="1:26" s="69" customFormat="1" ht="15" hidden="1" customHeight="1" outlineLevel="2" x14ac:dyDescent="0.3">
      <c r="A221" s="25"/>
      <c r="B221" s="12" t="str">
        <f>CONCATENATE("          ","6234"," - ","EXPENDABLE SUPPLIES &amp; EQUIPMEN")</f>
        <v xml:space="preserve">          6234 - EXPENDABLE SUPPLIES &amp; EQUIPMEN</v>
      </c>
      <c r="C221" s="12"/>
      <c r="D221" s="8"/>
      <c r="E221" s="3"/>
      <c r="F221" s="7">
        <f t="shared" si="44"/>
        <v>0</v>
      </c>
      <c r="G221" s="3"/>
      <c r="H221" s="8">
        <v>1733.49</v>
      </c>
      <c r="I221" s="3"/>
      <c r="J221" s="7">
        <f t="shared" si="45"/>
        <v>2.8279718717707449E-3</v>
      </c>
      <c r="K221" s="3"/>
      <c r="L221" s="8">
        <f t="shared" si="46"/>
        <v>-1733.49</v>
      </c>
      <c r="M221" s="3"/>
      <c r="N221" s="7">
        <f t="shared" si="47"/>
        <v>-1</v>
      </c>
      <c r="O221" s="12"/>
      <c r="P221" s="8">
        <v>5289.57</v>
      </c>
      <c r="Q221" s="3"/>
      <c r="R221" s="7">
        <f t="shared" si="48"/>
        <v>7.0165497199265727E-4</v>
      </c>
      <c r="S221" s="3"/>
      <c r="T221" s="8">
        <v>1680.65</v>
      </c>
      <c r="U221" s="3"/>
      <c r="V221" s="7">
        <f t="shared" si="49"/>
        <v>2.6746058284840248E-4</v>
      </c>
      <c r="W221" s="3"/>
      <c r="X221" s="8">
        <f t="shared" si="50"/>
        <v>3608.9199999999996</v>
      </c>
      <c r="Y221" s="3"/>
      <c r="Z221" s="7">
        <f t="shared" si="51"/>
        <v>2.1473358522000412</v>
      </c>
    </row>
    <row r="222" spans="1:26" s="69" customFormat="1" ht="15" hidden="1" customHeight="1" outlineLevel="2" x14ac:dyDescent="0.3">
      <c r="A222" s="25"/>
      <c r="B222" s="12" t="str">
        <f>CONCATENATE("          ","6235"," - ","COVID-19 EXPENSES")</f>
        <v xml:space="preserve">          6235 - COVID-19 EXPENSES</v>
      </c>
      <c r="C222" s="12"/>
      <c r="D222" s="8"/>
      <c r="E222" s="3"/>
      <c r="F222" s="7">
        <f t="shared" si="44"/>
        <v>0</v>
      </c>
      <c r="G222" s="3"/>
      <c r="H222" s="8">
        <v>370.83</v>
      </c>
      <c r="I222" s="3"/>
      <c r="J222" s="7">
        <f t="shared" si="45"/>
        <v>6.0496271060620215E-4</v>
      </c>
      <c r="K222" s="3"/>
      <c r="L222" s="8">
        <f t="shared" si="46"/>
        <v>-370.83</v>
      </c>
      <c r="M222" s="3"/>
      <c r="N222" s="7">
        <f t="shared" si="47"/>
        <v>-1</v>
      </c>
      <c r="O222" s="12"/>
      <c r="P222" s="8">
        <v>3430.32</v>
      </c>
      <c r="Q222" s="3"/>
      <c r="R222" s="7">
        <f t="shared" si="48"/>
        <v>4.5502774016145968E-4</v>
      </c>
      <c r="S222" s="3"/>
      <c r="T222" s="8">
        <v>38330.120000000003</v>
      </c>
      <c r="U222" s="3"/>
      <c r="V222" s="7">
        <f t="shared" si="49"/>
        <v>6.0998995839997667E-3</v>
      </c>
      <c r="W222" s="3"/>
      <c r="X222" s="8">
        <f t="shared" si="50"/>
        <v>-34899.800000000003</v>
      </c>
      <c r="Y222" s="3"/>
      <c r="Z222" s="7">
        <f t="shared" si="51"/>
        <v>-0.9105058893632475</v>
      </c>
    </row>
    <row r="223" spans="1:26" s="69" customFormat="1" ht="15" hidden="1" customHeight="1" outlineLevel="2" x14ac:dyDescent="0.3">
      <c r="A223" s="25"/>
      <c r="B223" s="12" t="str">
        <f>CONCATENATE("          ","6237"," - ","JANITORIAL SUPPLIES")</f>
        <v xml:space="preserve">          6237 - JANITORIAL SUPPLIES</v>
      </c>
      <c r="C223" s="12"/>
      <c r="D223" s="8">
        <v>257.99</v>
      </c>
      <c r="E223" s="3"/>
      <c r="F223" s="7">
        <f t="shared" si="44"/>
        <v>2.4580344613592248E-4</v>
      </c>
      <c r="G223" s="3"/>
      <c r="H223" s="8">
        <v>637.59</v>
      </c>
      <c r="I223" s="3"/>
      <c r="J223" s="7">
        <f t="shared" si="45"/>
        <v>1.0401482475943381E-3</v>
      </c>
      <c r="K223" s="3"/>
      <c r="L223" s="8">
        <f t="shared" si="46"/>
        <v>-379.6</v>
      </c>
      <c r="M223" s="3"/>
      <c r="N223" s="7">
        <f t="shared" si="47"/>
        <v>-0.59536692859047347</v>
      </c>
      <c r="O223" s="12"/>
      <c r="P223" s="8">
        <v>4789.16</v>
      </c>
      <c r="Q223" s="3"/>
      <c r="R223" s="7">
        <f t="shared" si="48"/>
        <v>6.3527619932591021E-4</v>
      </c>
      <c r="S223" s="3"/>
      <c r="T223" s="8">
        <v>2901.24</v>
      </c>
      <c r="U223" s="3"/>
      <c r="V223" s="7">
        <f t="shared" si="49"/>
        <v>4.6170668573652994E-4</v>
      </c>
      <c r="W223" s="3"/>
      <c r="X223" s="8">
        <f t="shared" si="50"/>
        <v>1887.92</v>
      </c>
      <c r="Y223" s="3"/>
      <c r="Z223" s="7">
        <f t="shared" si="51"/>
        <v>0.65072865395486079</v>
      </c>
    </row>
    <row r="224" spans="1:26" s="69" customFormat="1" ht="15" hidden="1" customHeight="1" outlineLevel="2" x14ac:dyDescent="0.3">
      <c r="A224" s="25"/>
      <c r="B224" s="12" t="str">
        <f>CONCATENATE("          ","6241"," - ","OFFICE EXPENSE")</f>
        <v xml:space="preserve">          6241 - OFFICE EXPENSE</v>
      </c>
      <c r="C224" s="12"/>
      <c r="D224" s="8">
        <v>1845.19</v>
      </c>
      <c r="E224" s="3"/>
      <c r="F224" s="7">
        <f t="shared" si="44"/>
        <v>1.7580296165570094E-3</v>
      </c>
      <c r="G224" s="3"/>
      <c r="H224" s="8">
        <v>496.61</v>
      </c>
      <c r="I224" s="3"/>
      <c r="J224" s="7">
        <f t="shared" si="45"/>
        <v>8.1015703075302983E-4</v>
      </c>
      <c r="K224" s="3"/>
      <c r="L224" s="8">
        <f t="shared" si="46"/>
        <v>1348.58</v>
      </c>
      <c r="M224" s="3"/>
      <c r="N224" s="7">
        <f t="shared" si="47"/>
        <v>2.7155715752804008</v>
      </c>
      <c r="O224" s="12"/>
      <c r="P224" s="8">
        <v>15187.79</v>
      </c>
      <c r="Q224" s="3"/>
      <c r="R224" s="7">
        <f t="shared" si="48"/>
        <v>2.0146417132357376E-3</v>
      </c>
      <c r="S224" s="3"/>
      <c r="T224" s="8">
        <v>11763.64</v>
      </c>
      <c r="U224" s="3"/>
      <c r="V224" s="7">
        <f t="shared" si="49"/>
        <v>1.8720792614873893E-3</v>
      </c>
      <c r="W224" s="3"/>
      <c r="X224" s="8">
        <f t="shared" si="50"/>
        <v>3424.1500000000015</v>
      </c>
      <c r="Y224" s="3"/>
      <c r="Z224" s="7">
        <f t="shared" si="51"/>
        <v>0.29107912176843237</v>
      </c>
    </row>
    <row r="225" spans="1:26" s="69" customFormat="1" ht="15" hidden="1" customHeight="1" outlineLevel="2" x14ac:dyDescent="0.3">
      <c r="A225" s="25"/>
      <c r="B225" s="12" t="str">
        <f>CONCATENATE("          ","6243"," - ","PAPER SUPPLIES")</f>
        <v xml:space="preserve">          6243 - PAPER SUPPLIES</v>
      </c>
      <c r="C225" s="12"/>
      <c r="D225" s="8">
        <v>1213.21</v>
      </c>
      <c r="E225" s="3"/>
      <c r="F225" s="7">
        <f t="shared" si="44"/>
        <v>1.1559021624348328E-3</v>
      </c>
      <c r="G225" s="3"/>
      <c r="H225" s="8">
        <v>309.25</v>
      </c>
      <c r="I225" s="3"/>
      <c r="J225" s="7">
        <f t="shared" si="45"/>
        <v>5.0450265149790477E-4</v>
      </c>
      <c r="K225" s="3"/>
      <c r="L225" s="8">
        <f t="shared" si="46"/>
        <v>903.96</v>
      </c>
      <c r="M225" s="3"/>
      <c r="N225" s="7">
        <f t="shared" si="47"/>
        <v>2.9230719482619243</v>
      </c>
      <c r="O225" s="12"/>
      <c r="P225" s="8">
        <v>6835.14</v>
      </c>
      <c r="Q225" s="3"/>
      <c r="R225" s="7">
        <f t="shared" si="48"/>
        <v>9.066729366027658E-4</v>
      </c>
      <c r="S225" s="3"/>
      <c r="T225" s="8">
        <v>6482.65</v>
      </c>
      <c r="U225" s="3"/>
      <c r="V225" s="7">
        <f t="shared" si="49"/>
        <v>1.0316564111517543E-3</v>
      </c>
      <c r="W225" s="3"/>
      <c r="X225" s="8">
        <f t="shared" si="50"/>
        <v>352.49000000000069</v>
      </c>
      <c r="Y225" s="3"/>
      <c r="Z225" s="7">
        <f t="shared" si="51"/>
        <v>5.4374368506706475E-2</v>
      </c>
    </row>
    <row r="226" spans="1:26" s="69" customFormat="1" ht="15" hidden="1" customHeight="1" outlineLevel="2" x14ac:dyDescent="0.3">
      <c r="A226" s="25"/>
      <c r="B226" s="12" t="str">
        <f>CONCATENATE("          ","6245"," - ","PRINTING")</f>
        <v xml:space="preserve">          6245 - PRINTING</v>
      </c>
      <c r="C226" s="12"/>
      <c r="D226" s="8">
        <v>3682</v>
      </c>
      <c r="E226" s="3"/>
      <c r="F226" s="7">
        <f t="shared" si="44"/>
        <v>3.5080750752837964E-3</v>
      </c>
      <c r="G226" s="3"/>
      <c r="H226" s="8">
        <v>447.27</v>
      </c>
      <c r="I226" s="3"/>
      <c r="J226" s="7">
        <f t="shared" si="45"/>
        <v>7.2966499898291948E-4</v>
      </c>
      <c r="K226" s="3"/>
      <c r="L226" s="8">
        <f t="shared" si="46"/>
        <v>3234.73</v>
      </c>
      <c r="M226" s="3"/>
      <c r="N226" s="7">
        <f t="shared" si="47"/>
        <v>7.2321640172602679</v>
      </c>
      <c r="O226" s="12"/>
      <c r="P226" s="8">
        <v>6986.52</v>
      </c>
      <c r="Q226" s="3"/>
      <c r="R226" s="7">
        <f t="shared" si="48"/>
        <v>9.2675330791087756E-4</v>
      </c>
      <c r="S226" s="3"/>
      <c r="T226" s="8">
        <v>1354.21</v>
      </c>
      <c r="U226" s="3"/>
      <c r="V226" s="7">
        <f t="shared" si="49"/>
        <v>2.1551054407469437E-4</v>
      </c>
      <c r="W226" s="3"/>
      <c r="X226" s="8">
        <f t="shared" si="50"/>
        <v>5632.31</v>
      </c>
      <c r="Y226" s="3"/>
      <c r="Z226" s="7">
        <f t="shared" si="51"/>
        <v>4.1591112161333914</v>
      </c>
    </row>
    <row r="227" spans="1:26" s="69" customFormat="1" ht="15" hidden="1" customHeight="1" outlineLevel="2" x14ac:dyDescent="0.3">
      <c r="A227" s="25"/>
      <c r="B227" s="12" t="str">
        <f>CONCATENATE("          ","6247"," - ","STORE SUPPLIES")</f>
        <v xml:space="preserve">          6247 - STORE SUPPLIES</v>
      </c>
      <c r="C227" s="12"/>
      <c r="D227" s="8">
        <v>2877.51</v>
      </c>
      <c r="E227" s="3"/>
      <c r="F227" s="7">
        <f t="shared" si="44"/>
        <v>2.7415863959478213E-3</v>
      </c>
      <c r="G227" s="3"/>
      <c r="H227" s="8">
        <v>1836.11</v>
      </c>
      <c r="I227" s="3"/>
      <c r="J227" s="7">
        <f t="shared" si="45"/>
        <v>2.9953835519541398E-3</v>
      </c>
      <c r="K227" s="3"/>
      <c r="L227" s="8">
        <f t="shared" si="46"/>
        <v>1041.4000000000003</v>
      </c>
      <c r="M227" s="3"/>
      <c r="N227" s="7">
        <f t="shared" si="47"/>
        <v>0.56717734776238915</v>
      </c>
      <c r="O227" s="12"/>
      <c r="P227" s="8">
        <v>47390.99</v>
      </c>
      <c r="Q227" s="3"/>
      <c r="R227" s="7">
        <f t="shared" si="48"/>
        <v>6.2863566908376864E-3</v>
      </c>
      <c r="S227" s="3"/>
      <c r="T227" s="8">
        <v>44303.85</v>
      </c>
      <c r="U227" s="3"/>
      <c r="V227" s="7">
        <f t="shared" si="49"/>
        <v>7.0505658783376638E-3</v>
      </c>
      <c r="W227" s="3"/>
      <c r="X227" s="8">
        <f t="shared" si="50"/>
        <v>3087.1399999999994</v>
      </c>
      <c r="Y227" s="3"/>
      <c r="Z227" s="7">
        <f t="shared" si="51"/>
        <v>6.9681077378151102E-2</v>
      </c>
    </row>
    <row r="228" spans="1:26" s="68" customFormat="1" ht="15" customHeight="1" outlineLevel="1" collapsed="1" x14ac:dyDescent="0.3">
      <c r="A228" s="26"/>
      <c r="B228" s="14" t="str">
        <f>CONCATENATE("     ","Telephone/Data Lines                              ")</f>
        <v xml:space="preserve">     Telephone/Data Lines                              </v>
      </c>
      <c r="C228" s="14"/>
      <c r="D228" s="2">
        <f>SUM(OSRRefD22_21x_0)</f>
        <v>1823.1</v>
      </c>
      <c r="E228" s="2"/>
      <c r="F228" s="6">
        <f t="shared" si="44"/>
        <v>1.7369830716322348E-3</v>
      </c>
      <c r="G228" s="2"/>
      <c r="H228" s="2">
        <f>SUM(OSRRefH22_21x_0)</f>
        <v>1714.92</v>
      </c>
      <c r="I228" s="2"/>
      <c r="J228" s="6">
        <f t="shared" si="45"/>
        <v>2.7976772420591329E-3</v>
      </c>
      <c r="K228" s="2"/>
      <c r="L228" s="2">
        <f t="shared" si="46"/>
        <v>108.17999999999984</v>
      </c>
      <c r="M228" s="2"/>
      <c r="N228" s="6">
        <f t="shared" si="47"/>
        <v>6.3081659785879124E-2</v>
      </c>
      <c r="O228" s="14"/>
      <c r="P228" s="2">
        <f>SUM(OSRRefP22_21x_0)</f>
        <v>18099.16</v>
      </c>
      <c r="Q228" s="2"/>
      <c r="R228" s="6">
        <f t="shared" si="48"/>
        <v>2.4008313724727384E-3</v>
      </c>
      <c r="S228" s="2"/>
      <c r="T228" s="2">
        <f>SUM(OSRRefT22_21x_0)</f>
        <v>22474.92</v>
      </c>
      <c r="U228" s="2"/>
      <c r="V228" s="6">
        <f t="shared" si="49"/>
        <v>3.5766847366621346E-3</v>
      </c>
      <c r="W228" s="2"/>
      <c r="X228" s="2">
        <f t="shared" si="50"/>
        <v>-4375.7599999999984</v>
      </c>
      <c r="Y228" s="2"/>
      <c r="Z228" s="6">
        <f t="shared" si="51"/>
        <v>-0.19469524251921691</v>
      </c>
    </row>
    <row r="229" spans="1:26" s="69" customFormat="1" ht="15" hidden="1" customHeight="1" outlineLevel="2" x14ac:dyDescent="0.3">
      <c r="A229" s="25"/>
      <c r="B229" s="12" t="str">
        <f>CONCATENATE("          ","6303"," - ","DATA PHONE LINES")</f>
        <v xml:space="preserve">          6303 - DATA PHONE LINES</v>
      </c>
      <c r="C229" s="12"/>
      <c r="D229" s="8"/>
      <c r="E229" s="3"/>
      <c r="F229" s="7">
        <f t="shared" si="44"/>
        <v>0</v>
      </c>
      <c r="G229" s="3"/>
      <c r="H229" s="8"/>
      <c r="I229" s="3"/>
      <c r="J229" s="7">
        <f t="shared" si="45"/>
        <v>0</v>
      </c>
      <c r="K229" s="3"/>
      <c r="L229" s="8">
        <f t="shared" si="46"/>
        <v>0</v>
      </c>
      <c r="M229" s="3"/>
      <c r="N229" s="7">
        <f t="shared" si="47"/>
        <v>0</v>
      </c>
      <c r="O229" s="12"/>
      <c r="P229" s="8">
        <v>295</v>
      </c>
      <c r="Q229" s="3"/>
      <c r="R229" s="7">
        <f t="shared" si="48"/>
        <v>3.9131388135110019E-5</v>
      </c>
      <c r="S229" s="3"/>
      <c r="T229" s="8">
        <v>2950</v>
      </c>
      <c r="U229" s="3"/>
      <c r="V229" s="7">
        <f t="shared" si="49"/>
        <v>4.6946640847457066E-4</v>
      </c>
      <c r="W229" s="3"/>
      <c r="X229" s="8">
        <f t="shared" si="50"/>
        <v>-2655</v>
      </c>
      <c r="Y229" s="3"/>
      <c r="Z229" s="7">
        <f t="shared" si="51"/>
        <v>-0.9</v>
      </c>
    </row>
    <row r="230" spans="1:26" s="69" customFormat="1" ht="15" hidden="1" customHeight="1" outlineLevel="2" x14ac:dyDescent="0.3">
      <c r="A230" s="25"/>
      <c r="B230" s="12" t="str">
        <f>CONCATENATE("          ","6309"," - ","TELEPHONE")</f>
        <v xml:space="preserve">          6309 - TELEPHONE</v>
      </c>
      <c r="C230" s="12"/>
      <c r="D230" s="8">
        <v>1823.1</v>
      </c>
      <c r="E230" s="3"/>
      <c r="F230" s="7">
        <f t="shared" si="44"/>
        <v>1.7369830716322348E-3</v>
      </c>
      <c r="G230" s="3"/>
      <c r="H230" s="8">
        <v>1714.92</v>
      </c>
      <c r="I230" s="3"/>
      <c r="J230" s="7">
        <f t="shared" si="45"/>
        <v>2.7976772420591329E-3</v>
      </c>
      <c r="K230" s="3"/>
      <c r="L230" s="8">
        <f t="shared" si="46"/>
        <v>108.17999999999984</v>
      </c>
      <c r="M230" s="3"/>
      <c r="N230" s="7">
        <f t="shared" si="47"/>
        <v>6.3081659785879124E-2</v>
      </c>
      <c r="O230" s="12"/>
      <c r="P230" s="8">
        <v>17804.16</v>
      </c>
      <c r="Q230" s="3"/>
      <c r="R230" s="7">
        <f t="shared" si="48"/>
        <v>2.3616999843376284E-3</v>
      </c>
      <c r="S230" s="3"/>
      <c r="T230" s="8">
        <v>19524.919999999998</v>
      </c>
      <c r="U230" s="3"/>
      <c r="V230" s="7">
        <f t="shared" si="49"/>
        <v>3.1072183281875641E-3</v>
      </c>
      <c r="W230" s="3"/>
      <c r="X230" s="8">
        <f t="shared" si="50"/>
        <v>-1720.7599999999984</v>
      </c>
      <c r="Y230" s="3"/>
      <c r="Z230" s="7">
        <f t="shared" si="51"/>
        <v>-8.8131475058540493E-2</v>
      </c>
    </row>
    <row r="231" spans="1:26" s="68" customFormat="1" ht="15" customHeight="1" outlineLevel="1" collapsed="1" x14ac:dyDescent="0.3">
      <c r="A231" s="26"/>
      <c r="B231" s="14" t="str">
        <f>CONCATENATE("     ","Training                                          ")</f>
        <v xml:space="preserve">     Training                                          </v>
      </c>
      <c r="C231" s="14"/>
      <c r="D231" s="2">
        <f>SUM(OSRRefD22_22x_0)</f>
        <v>199</v>
      </c>
      <c r="E231" s="2"/>
      <c r="F231" s="6">
        <f t="shared" si="44"/>
        <v>1.8959992938117205E-4</v>
      </c>
      <c r="G231" s="2"/>
      <c r="H231" s="2">
        <f>SUM(OSRRefH22_22x_0)</f>
        <v>0</v>
      </c>
      <c r="I231" s="2"/>
      <c r="J231" s="6">
        <f t="shared" si="45"/>
        <v>0</v>
      </c>
      <c r="K231" s="2"/>
      <c r="L231" s="2">
        <f t="shared" si="46"/>
        <v>199</v>
      </c>
      <c r="M231" s="2"/>
      <c r="N231" s="6">
        <f t="shared" si="47"/>
        <v>0</v>
      </c>
      <c r="O231" s="14"/>
      <c r="P231" s="2">
        <f>SUM(OSRRefP22_22x_0)</f>
        <v>1094</v>
      </c>
      <c r="Q231" s="2"/>
      <c r="R231" s="6">
        <f t="shared" si="48"/>
        <v>1.4511775803325547E-4</v>
      </c>
      <c r="S231" s="2"/>
      <c r="T231" s="2">
        <f>SUM(OSRRefT22_22x_0)</f>
        <v>995.63</v>
      </c>
      <c r="U231" s="2"/>
      <c r="V231" s="6">
        <f t="shared" si="49"/>
        <v>1.5844570856594467E-4</v>
      </c>
      <c r="W231" s="2"/>
      <c r="X231" s="2">
        <f t="shared" si="50"/>
        <v>98.37</v>
      </c>
      <c r="Y231" s="2"/>
      <c r="Z231" s="6">
        <f t="shared" si="51"/>
        <v>9.8801763707401347E-2</v>
      </c>
    </row>
    <row r="232" spans="1:26" s="69" customFormat="1" ht="15" hidden="1" customHeight="1" outlineLevel="2" x14ac:dyDescent="0.3">
      <c r="A232" s="25"/>
      <c r="B232" s="12" t="str">
        <f>CONCATENATE("          ","6376"," - ","TRAINING")</f>
        <v xml:space="preserve">          6376 - TRAINING</v>
      </c>
      <c r="C232" s="12"/>
      <c r="D232" s="8">
        <v>199</v>
      </c>
      <c r="E232" s="3"/>
      <c r="F232" s="7">
        <f t="shared" si="44"/>
        <v>1.8959992938117205E-4</v>
      </c>
      <c r="G232" s="3"/>
      <c r="H232" s="8"/>
      <c r="I232" s="3"/>
      <c r="J232" s="7">
        <f t="shared" si="45"/>
        <v>0</v>
      </c>
      <c r="K232" s="3"/>
      <c r="L232" s="8">
        <f t="shared" si="46"/>
        <v>199</v>
      </c>
      <c r="M232" s="3"/>
      <c r="N232" s="7">
        <f t="shared" si="47"/>
        <v>0</v>
      </c>
      <c r="O232" s="12"/>
      <c r="P232" s="8">
        <v>1094</v>
      </c>
      <c r="Q232" s="3"/>
      <c r="R232" s="7">
        <f t="shared" si="48"/>
        <v>1.4511775803325547E-4</v>
      </c>
      <c r="S232" s="3"/>
      <c r="T232" s="8">
        <v>995.63</v>
      </c>
      <c r="U232" s="3"/>
      <c r="V232" s="7">
        <f t="shared" si="49"/>
        <v>1.5844570856594467E-4</v>
      </c>
      <c r="W232" s="3"/>
      <c r="X232" s="8">
        <f t="shared" si="50"/>
        <v>98.37</v>
      </c>
      <c r="Y232" s="3"/>
      <c r="Z232" s="7">
        <f t="shared" si="51"/>
        <v>9.8801763707401347E-2</v>
      </c>
    </row>
    <row r="233" spans="1:26" s="68" customFormat="1" ht="15" customHeight="1" outlineLevel="1" collapsed="1" x14ac:dyDescent="0.3">
      <c r="A233" s="26"/>
      <c r="B233" s="14" t="str">
        <f>CONCATENATE("     ","Travel                                            ")</f>
        <v xml:space="preserve">     Travel                                            </v>
      </c>
      <c r="C233" s="14"/>
      <c r="D233" s="2">
        <f>SUM(OSRRefD22_23x_0)</f>
        <v>46.81</v>
      </c>
      <c r="E233" s="2"/>
      <c r="F233" s="6">
        <f t="shared" si="44"/>
        <v>4.4598857760465645E-5</v>
      </c>
      <c r="G233" s="2"/>
      <c r="H233" s="2">
        <f>SUM(OSRRefH22_23x_0)</f>
        <v>93.02</v>
      </c>
      <c r="I233" s="2"/>
      <c r="J233" s="6">
        <f t="shared" si="45"/>
        <v>1.5175048227109166E-4</v>
      </c>
      <c r="K233" s="2"/>
      <c r="L233" s="2">
        <f t="shared" si="46"/>
        <v>-46.209999999999994</v>
      </c>
      <c r="M233" s="2"/>
      <c r="N233" s="6">
        <f t="shared" si="47"/>
        <v>-0.49677488712104917</v>
      </c>
      <c r="O233" s="14"/>
      <c r="P233" s="2">
        <f>SUM(OSRRefP22_23x_0)</f>
        <v>1135.57</v>
      </c>
      <c r="Q233" s="2"/>
      <c r="R233" s="6">
        <f t="shared" si="48"/>
        <v>1.5063196754097247E-4</v>
      </c>
      <c r="S233" s="2"/>
      <c r="T233" s="2">
        <f>SUM(OSRRefT22_23x_0)</f>
        <v>903.33</v>
      </c>
      <c r="U233" s="2"/>
      <c r="V233" s="6">
        <f t="shared" si="49"/>
        <v>1.4375697992113014E-4</v>
      </c>
      <c r="W233" s="2"/>
      <c r="X233" s="2">
        <f t="shared" si="50"/>
        <v>232.2399999999999</v>
      </c>
      <c r="Y233" s="2"/>
      <c r="Z233" s="6">
        <f t="shared" si="51"/>
        <v>0.25709319960590249</v>
      </c>
    </row>
    <row r="234" spans="1:26" s="69" customFormat="1" ht="15" hidden="1" customHeight="1" outlineLevel="2" x14ac:dyDescent="0.3">
      <c r="A234" s="25"/>
      <c r="B234" s="12" t="str">
        <f>CONCATENATE("          ","6292"," - ","TRAVEL/CONFERENCE")</f>
        <v xml:space="preserve">          6292 - TRAVEL/CONFERENCE</v>
      </c>
      <c r="C234" s="12"/>
      <c r="D234" s="8"/>
      <c r="E234" s="3"/>
      <c r="F234" s="7">
        <f t="shared" si="44"/>
        <v>0</v>
      </c>
      <c r="G234" s="3"/>
      <c r="H234" s="8"/>
      <c r="I234" s="3"/>
      <c r="J234" s="7">
        <f t="shared" si="45"/>
        <v>0</v>
      </c>
      <c r="K234" s="3"/>
      <c r="L234" s="8">
        <f t="shared" si="46"/>
        <v>0</v>
      </c>
      <c r="M234" s="3"/>
      <c r="N234" s="7">
        <f t="shared" si="47"/>
        <v>0</v>
      </c>
      <c r="O234" s="12"/>
      <c r="P234" s="8">
        <v>495</v>
      </c>
      <c r="Q234" s="3"/>
      <c r="R234" s="7">
        <f t="shared" si="48"/>
        <v>6.5661142802981226E-5</v>
      </c>
      <c r="S234" s="3"/>
      <c r="T234" s="8">
        <v>299.16000000000003</v>
      </c>
      <c r="U234" s="3"/>
      <c r="V234" s="7">
        <f t="shared" si="49"/>
        <v>4.760866805398392E-5</v>
      </c>
      <c r="W234" s="3"/>
      <c r="X234" s="8">
        <f t="shared" si="50"/>
        <v>195.83999999999997</v>
      </c>
      <c r="Y234" s="3"/>
      <c r="Z234" s="7">
        <f t="shared" si="51"/>
        <v>0.65463297232250284</v>
      </c>
    </row>
    <row r="235" spans="1:26" s="69" customFormat="1" ht="15" hidden="1" customHeight="1" outlineLevel="2" x14ac:dyDescent="0.3">
      <c r="A235" s="25"/>
      <c r="B235" s="12" t="str">
        <f>CONCATENATE("          ","6294"," - ","TRAVEL OPERATIONAL")</f>
        <v xml:space="preserve">          6294 - TRAVEL OPERATIONAL</v>
      </c>
      <c r="C235" s="12"/>
      <c r="D235" s="8">
        <v>46.81</v>
      </c>
      <c r="E235" s="3"/>
      <c r="F235" s="7">
        <f t="shared" si="44"/>
        <v>4.4598857760465645E-5</v>
      </c>
      <c r="G235" s="3"/>
      <c r="H235" s="8">
        <v>93.02</v>
      </c>
      <c r="I235" s="3"/>
      <c r="J235" s="7">
        <f t="shared" si="45"/>
        <v>1.5175048227109166E-4</v>
      </c>
      <c r="K235" s="3"/>
      <c r="L235" s="8">
        <f t="shared" si="46"/>
        <v>-46.209999999999994</v>
      </c>
      <c r="M235" s="3"/>
      <c r="N235" s="7">
        <f t="shared" si="47"/>
        <v>-0.49677488712104917</v>
      </c>
      <c r="O235" s="12"/>
      <c r="P235" s="8">
        <v>403.48</v>
      </c>
      <c r="Q235" s="3"/>
      <c r="R235" s="7">
        <f t="shared" si="48"/>
        <v>5.3521127066963361E-5</v>
      </c>
      <c r="S235" s="3"/>
      <c r="T235" s="8">
        <v>544.28</v>
      </c>
      <c r="U235" s="3"/>
      <c r="V235" s="7">
        <f t="shared" si="49"/>
        <v>8.6617348069335359E-5</v>
      </c>
      <c r="W235" s="3"/>
      <c r="X235" s="8">
        <f t="shared" si="50"/>
        <v>-140.79999999999995</v>
      </c>
      <c r="Y235" s="3"/>
      <c r="Z235" s="7">
        <f t="shared" si="51"/>
        <v>-0.25869037995149546</v>
      </c>
    </row>
    <row r="236" spans="1:26" s="69" customFormat="1" ht="15" hidden="1" customHeight="1" outlineLevel="2" x14ac:dyDescent="0.3">
      <c r="A236" s="25"/>
      <c r="B236" s="12" t="str">
        <f>CONCATENATE("          ","6298"," - ","VEHICLE MILEAGE")</f>
        <v xml:space="preserve">          6298 - VEHICLE MILEAGE</v>
      </c>
      <c r="C236" s="12"/>
      <c r="D236" s="8"/>
      <c r="E236" s="3"/>
      <c r="F236" s="7">
        <f t="shared" si="44"/>
        <v>0</v>
      </c>
      <c r="G236" s="3"/>
      <c r="H236" s="8"/>
      <c r="I236" s="3"/>
      <c r="J236" s="7">
        <f t="shared" si="45"/>
        <v>0</v>
      </c>
      <c r="K236" s="3"/>
      <c r="L236" s="8">
        <f t="shared" si="46"/>
        <v>0</v>
      </c>
      <c r="M236" s="3"/>
      <c r="N236" s="7">
        <f t="shared" si="47"/>
        <v>0</v>
      </c>
      <c r="O236" s="12"/>
      <c r="P236" s="8">
        <v>237.09</v>
      </c>
      <c r="Q236" s="3"/>
      <c r="R236" s="7">
        <f t="shared" si="48"/>
        <v>3.1449697671027913E-5</v>
      </c>
      <c r="S236" s="3"/>
      <c r="T236" s="8">
        <v>59.89</v>
      </c>
      <c r="U236" s="3"/>
      <c r="V236" s="7">
        <f t="shared" si="49"/>
        <v>9.530963797810861E-6</v>
      </c>
      <c r="W236" s="3"/>
      <c r="X236" s="8">
        <f t="shared" si="50"/>
        <v>177.2</v>
      </c>
      <c r="Y236" s="3"/>
      <c r="Z236" s="7">
        <f t="shared" si="51"/>
        <v>2.9587577224912338</v>
      </c>
    </row>
    <row r="237" spans="1:26" s="68" customFormat="1" ht="15" customHeight="1" outlineLevel="1" collapsed="1" x14ac:dyDescent="0.3">
      <c r="A237" s="26"/>
      <c r="B237" s="14" t="str">
        <f>CONCATENATE("     ","Utilities                                         ")</f>
        <v xml:space="preserve">     Utilities                                         </v>
      </c>
      <c r="C237" s="14"/>
      <c r="D237" s="2">
        <f>SUM(OSRRefD22_24x_0)</f>
        <v>6137.83</v>
      </c>
      <c r="E237" s="2"/>
      <c r="F237" s="6">
        <f t="shared" si="44"/>
        <v>5.8479001736363775E-3</v>
      </c>
      <c r="G237" s="2"/>
      <c r="H237" s="2">
        <f>SUM(OSRRefH22_24x_0)</f>
        <v>3429.45</v>
      </c>
      <c r="I237" s="2"/>
      <c r="J237" s="6">
        <f t="shared" si="45"/>
        <v>5.5947182479530776E-3</v>
      </c>
      <c r="K237" s="2"/>
      <c r="L237" s="2">
        <f t="shared" si="46"/>
        <v>2708.38</v>
      </c>
      <c r="M237" s="2"/>
      <c r="N237" s="6">
        <f t="shared" si="47"/>
        <v>0.78974179533161304</v>
      </c>
      <c r="O237" s="14"/>
      <c r="P237" s="2">
        <f>SUM(OSRRefP22_24x_0)</f>
        <v>49032.9</v>
      </c>
      <c r="Q237" s="2"/>
      <c r="R237" s="6">
        <f t="shared" si="48"/>
        <v>6.5041540382713087E-3</v>
      </c>
      <c r="S237" s="2"/>
      <c r="T237" s="2">
        <f>SUM(OSRRefT22_24x_0)</f>
        <v>52517.62</v>
      </c>
      <c r="U237" s="2"/>
      <c r="V237" s="6">
        <f t="shared" si="49"/>
        <v>8.3577147264516215E-3</v>
      </c>
      <c r="W237" s="2"/>
      <c r="X237" s="2">
        <f t="shared" si="50"/>
        <v>-3484.7200000000012</v>
      </c>
      <c r="Y237" s="2"/>
      <c r="Z237" s="6">
        <f t="shared" si="51"/>
        <v>-6.6353349599620109E-2</v>
      </c>
    </row>
    <row r="238" spans="1:26" s="69" customFormat="1" ht="15" hidden="1" customHeight="1" outlineLevel="2" x14ac:dyDescent="0.3">
      <c r="A238" s="25"/>
      <c r="B238" s="12" t="str">
        <f>CONCATENATE("          ","6274"," - ","UTILITIES")</f>
        <v xml:space="preserve">          6274 - UTILITIES</v>
      </c>
      <c r="C238" s="12"/>
      <c r="D238" s="8">
        <v>6137.83</v>
      </c>
      <c r="E238" s="3"/>
      <c r="F238" s="7">
        <f t="shared" si="44"/>
        <v>5.8479001736363775E-3</v>
      </c>
      <c r="G238" s="3"/>
      <c r="H238" s="8">
        <v>3429.45</v>
      </c>
      <c r="I238" s="3"/>
      <c r="J238" s="7">
        <f t="shared" si="45"/>
        <v>5.5947182479530776E-3</v>
      </c>
      <c r="K238" s="3"/>
      <c r="L238" s="8">
        <f t="shared" si="46"/>
        <v>2708.38</v>
      </c>
      <c r="M238" s="3"/>
      <c r="N238" s="7">
        <f t="shared" si="47"/>
        <v>0.78974179533161304</v>
      </c>
      <c r="O238" s="12"/>
      <c r="P238" s="8">
        <v>49032.9</v>
      </c>
      <c r="Q238" s="3"/>
      <c r="R238" s="7">
        <f t="shared" si="48"/>
        <v>6.5041540382713087E-3</v>
      </c>
      <c r="S238" s="3"/>
      <c r="T238" s="8">
        <v>52517.62</v>
      </c>
      <c r="U238" s="3"/>
      <c r="V238" s="7">
        <f t="shared" si="49"/>
        <v>8.3577147264516215E-3</v>
      </c>
      <c r="W238" s="3"/>
      <c r="X238" s="8">
        <f t="shared" si="50"/>
        <v>-3484.7200000000012</v>
      </c>
      <c r="Y238" s="3"/>
      <c r="Z238" s="7">
        <f t="shared" si="51"/>
        <v>-6.6353349599620109E-2</v>
      </c>
    </row>
    <row r="239" spans="1:26" s="64" customFormat="1" ht="15" customHeight="1" x14ac:dyDescent="0.3">
      <c r="A239" s="36"/>
      <c r="B239" s="36"/>
      <c r="C239" s="36"/>
      <c r="D239" s="2"/>
      <c r="E239" s="2"/>
      <c r="F239" s="6"/>
      <c r="G239" s="2"/>
      <c r="H239" s="2"/>
      <c r="I239" s="2"/>
      <c r="J239" s="6"/>
      <c r="K239" s="2"/>
      <c r="L239" s="2"/>
      <c r="M239" s="2"/>
      <c r="N239" s="6"/>
      <c r="O239" s="36"/>
      <c r="P239" s="2"/>
      <c r="Q239" s="2"/>
      <c r="R239" s="6"/>
      <c r="S239" s="2"/>
      <c r="T239" s="2"/>
      <c r="U239" s="2"/>
      <c r="V239" s="6"/>
      <c r="W239" s="2"/>
      <c r="X239" s="2"/>
      <c r="Y239" s="2"/>
      <c r="Z239" s="6"/>
    </row>
    <row r="240" spans="1:26" s="62" customFormat="1" ht="15" customHeight="1" collapsed="1" x14ac:dyDescent="0.3">
      <c r="A240" s="11"/>
      <c r="B240" s="28" t="s">
        <v>290</v>
      </c>
      <c r="C240" s="11"/>
      <c r="D240" s="5">
        <f>SUM(OSRRefD25x_0)</f>
        <v>181755.47</v>
      </c>
      <c r="E240" s="5"/>
      <c r="F240" s="13">
        <f t="shared" ref="F240:F246" si="52">IF(D$12=0,0,D240/D$12)</f>
        <v>0.1731699712394057</v>
      </c>
      <c r="G240" s="5"/>
      <c r="H240" s="5">
        <f>SUM(OSRRefH25x_0)</f>
        <v>214608.06</v>
      </c>
      <c r="I240" s="5"/>
      <c r="J240" s="13">
        <f t="shared" ref="J240:J246" si="53">IF(H$12=0,0,H240/H$12)</f>
        <v>0.35010617721203369</v>
      </c>
      <c r="K240" s="5"/>
      <c r="L240" s="5">
        <f t="shared" ref="L240:L246" si="54">+D240-H240</f>
        <v>-32852.589999999997</v>
      </c>
      <c r="M240" s="5"/>
      <c r="N240" s="13">
        <f t="shared" ref="N240:N246" si="55">IF(H240=0,0,L240/H240)</f>
        <v>-0.15308180876338007</v>
      </c>
      <c r="O240" s="11"/>
      <c r="P240" s="5">
        <f>SUM(OSRRefP25x_0)</f>
        <v>914248.28</v>
      </c>
      <c r="Q240" s="5"/>
      <c r="R240" s="13">
        <f t="shared" ref="R240:R246" si="56">IF(P$12=0,0,P240/P$12)</f>
        <v>0.12127391286961609</v>
      </c>
      <c r="S240" s="5"/>
      <c r="T240" s="5">
        <f>SUM(OSRRefT25x_0)</f>
        <v>989142.1100000001</v>
      </c>
      <c r="U240" s="5"/>
      <c r="V240" s="13">
        <f t="shared" ref="V240:V246" si="57">IF(T$12=0,0,T240/T$12)</f>
        <v>0.15741321825513857</v>
      </c>
      <c r="W240" s="5"/>
      <c r="X240" s="5">
        <f t="shared" ref="X240:X246" si="58">+P240-T240</f>
        <v>-74893.830000000075</v>
      </c>
      <c r="Y240" s="5"/>
      <c r="Z240" s="13">
        <f t="shared" ref="Z240:Z246" si="59">IF(T240=0,0,X240/T240)</f>
        <v>-7.5715945406469518E-2</v>
      </c>
    </row>
    <row r="241" spans="1:26" s="69" customFormat="1" ht="15" hidden="1" customHeight="1" outlineLevel="1" x14ac:dyDescent="0.3">
      <c r="A241" s="42"/>
      <c r="B241" s="12" t="str">
        <f>CONCATENATE("          ","4187"," - ","NON-TAXABLE SALES-COMPUTER REP")</f>
        <v xml:space="preserve">          4187 - NON-TAXABLE SALES-COMPUTER REP</v>
      </c>
      <c r="C241" s="12"/>
      <c r="D241" s="3">
        <f>0</f>
        <v>0</v>
      </c>
      <c r="E241" s="3"/>
      <c r="F241" s="20">
        <f t="shared" si="52"/>
        <v>0</v>
      </c>
      <c r="G241" s="3"/>
      <c r="H241" s="3">
        <f>--160.46</f>
        <v>160.46</v>
      </c>
      <c r="I241" s="3"/>
      <c r="J241" s="20">
        <f t="shared" si="53"/>
        <v>2.6177039760502441E-4</v>
      </c>
      <c r="K241" s="3"/>
      <c r="L241" s="3">
        <f t="shared" si="54"/>
        <v>-160.46</v>
      </c>
      <c r="M241" s="3"/>
      <c r="N241" s="20">
        <f t="shared" si="55"/>
        <v>-1</v>
      </c>
      <c r="O241" s="12"/>
      <c r="P241" s="3">
        <f>0</f>
        <v>0</v>
      </c>
      <c r="Q241" s="3"/>
      <c r="R241" s="20">
        <f t="shared" si="56"/>
        <v>0</v>
      </c>
      <c r="S241" s="3"/>
      <c r="T241" s="3">
        <f>--1614.97</f>
        <v>1614.97</v>
      </c>
      <c r="U241" s="3"/>
      <c r="V241" s="20">
        <f t="shared" si="57"/>
        <v>2.5700819176073812E-4</v>
      </c>
      <c r="W241" s="3"/>
      <c r="X241" s="3">
        <f t="shared" si="58"/>
        <v>-1614.97</v>
      </c>
      <c r="Y241" s="3"/>
      <c r="Z241" s="20">
        <f t="shared" si="59"/>
        <v>-1</v>
      </c>
    </row>
    <row r="242" spans="1:26" s="69" customFormat="1" ht="15" hidden="1" customHeight="1" outlineLevel="1" x14ac:dyDescent="0.3">
      <c r="A242" s="42"/>
      <c r="B242" s="12" t="str">
        <f>CONCATENATE("          ","9087"," - ","")</f>
        <v xml:space="preserve">          9087 - </v>
      </c>
      <c r="C242" s="12"/>
      <c r="D242" s="3">
        <f>-1475.31</f>
        <v>-1475.31</v>
      </c>
      <c r="E242" s="3"/>
      <c r="F242" s="20">
        <f t="shared" si="52"/>
        <v>-1.4056214664087282E-3</v>
      </c>
      <c r="G242" s="3"/>
      <c r="H242" s="3">
        <f>0</f>
        <v>0</v>
      </c>
      <c r="I242" s="3"/>
      <c r="J242" s="20">
        <f t="shared" si="53"/>
        <v>0</v>
      </c>
      <c r="K242" s="3"/>
      <c r="L242" s="3">
        <f t="shared" si="54"/>
        <v>-1475.31</v>
      </c>
      <c r="M242" s="3"/>
      <c r="N242" s="20">
        <f t="shared" si="55"/>
        <v>0</v>
      </c>
      <c r="O242" s="12"/>
      <c r="P242" s="3">
        <f>--731.78</f>
        <v>731.78</v>
      </c>
      <c r="Q242" s="3"/>
      <c r="R242" s="20">
        <f t="shared" si="56"/>
        <v>9.7069719354273931E-5</v>
      </c>
      <c r="S242" s="3"/>
      <c r="T242" s="3">
        <f>0</f>
        <v>0</v>
      </c>
      <c r="U242" s="3"/>
      <c r="V242" s="20">
        <f t="shared" si="57"/>
        <v>0</v>
      </c>
      <c r="W242" s="3"/>
      <c r="X242" s="3">
        <f t="shared" si="58"/>
        <v>731.78</v>
      </c>
      <c r="Y242" s="3"/>
      <c r="Z242" s="20">
        <f t="shared" si="59"/>
        <v>0</v>
      </c>
    </row>
    <row r="243" spans="1:26" s="69" customFormat="1" ht="15" hidden="1" customHeight="1" outlineLevel="1" x14ac:dyDescent="0.3">
      <c r="A243" s="42"/>
      <c r="B243" s="12" t="str">
        <f>CONCATENATE("          ","9150"," - ","MISC. INCOME")</f>
        <v xml:space="preserve">          9150 - MISC. INCOME</v>
      </c>
      <c r="C243" s="12"/>
      <c r="D243" s="3">
        <f>--7658.89</f>
        <v>7658.89</v>
      </c>
      <c r="E243" s="3"/>
      <c r="F243" s="20">
        <f t="shared" si="52"/>
        <v>7.297110568533491E-3</v>
      </c>
      <c r="G243" s="3"/>
      <c r="H243" s="3">
        <f>--41318.03</f>
        <v>41318.03</v>
      </c>
      <c r="I243" s="3"/>
      <c r="J243" s="20">
        <f t="shared" si="53"/>
        <v>6.7405192205885117E-2</v>
      </c>
      <c r="K243" s="3"/>
      <c r="L243" s="3">
        <f t="shared" si="54"/>
        <v>-33659.14</v>
      </c>
      <c r="M243" s="3"/>
      <c r="N243" s="20">
        <f t="shared" si="55"/>
        <v>-0.81463564453581161</v>
      </c>
      <c r="O243" s="12"/>
      <c r="P243" s="3">
        <f>--330539.58</f>
        <v>330539.58</v>
      </c>
      <c r="Q243" s="3"/>
      <c r="R243" s="20">
        <f t="shared" si="56"/>
        <v>4.3845669827105929E-2</v>
      </c>
      <c r="S243" s="3"/>
      <c r="T243" s="3">
        <f>--341753.66</f>
        <v>341753.66</v>
      </c>
      <c r="U243" s="3"/>
      <c r="V243" s="20">
        <f t="shared" si="57"/>
        <v>5.4387072319742213E-2</v>
      </c>
      <c r="W243" s="3"/>
      <c r="X243" s="3">
        <f t="shared" si="58"/>
        <v>-11214.079999999958</v>
      </c>
      <c r="Y243" s="3"/>
      <c r="Z243" s="20">
        <f t="shared" si="59"/>
        <v>-3.2813342803702406E-2</v>
      </c>
    </row>
    <row r="244" spans="1:26" s="69" customFormat="1" ht="15" hidden="1" customHeight="1" outlineLevel="1" x14ac:dyDescent="0.3">
      <c r="A244" s="42"/>
      <c r="B244" s="12" t="str">
        <f>CONCATENATE("          ","9151"," - ","MISC. INCOME")</f>
        <v xml:space="preserve">          9151 - MISC. INCOME</v>
      </c>
      <c r="C244" s="12"/>
      <c r="D244" s="3">
        <f>0</f>
        <v>0</v>
      </c>
      <c r="E244" s="3"/>
      <c r="F244" s="20">
        <f t="shared" si="52"/>
        <v>0</v>
      </c>
      <c r="G244" s="3"/>
      <c r="H244" s="3">
        <f>-2282.24</f>
        <v>-2282.2399999999998</v>
      </c>
      <c r="I244" s="3"/>
      <c r="J244" s="20">
        <f t="shared" si="53"/>
        <v>-3.7231887836849734E-3</v>
      </c>
      <c r="K244" s="3"/>
      <c r="L244" s="3">
        <f t="shared" si="54"/>
        <v>2282.2399999999998</v>
      </c>
      <c r="M244" s="3"/>
      <c r="N244" s="20">
        <f t="shared" si="55"/>
        <v>-1</v>
      </c>
      <c r="O244" s="12"/>
      <c r="P244" s="3">
        <f>--323761.7</f>
        <v>323761.7</v>
      </c>
      <c r="Q244" s="3"/>
      <c r="R244" s="20">
        <f t="shared" si="56"/>
        <v>4.2946592359264575E-2</v>
      </c>
      <c r="S244" s="3"/>
      <c r="T244" s="3">
        <f>--295628.46</f>
        <v>295628.46000000002</v>
      </c>
      <c r="U244" s="3"/>
      <c r="V244" s="20">
        <f t="shared" si="57"/>
        <v>4.704665469798925E-2</v>
      </c>
      <c r="W244" s="3"/>
      <c r="X244" s="3">
        <f t="shared" si="58"/>
        <v>28133.239999999991</v>
      </c>
      <c r="Y244" s="3"/>
      <c r="Z244" s="20">
        <f t="shared" si="59"/>
        <v>9.5164180065748699E-2</v>
      </c>
    </row>
    <row r="245" spans="1:26" s="69" customFormat="1" ht="15" hidden="1" customHeight="1" outlineLevel="1" x14ac:dyDescent="0.3">
      <c r="A245" s="42"/>
      <c r="B245" s="12" t="str">
        <f>CONCATENATE("          ","9152"," - ","MISC. INCOME")</f>
        <v xml:space="preserve">          9152 - MISC. INCOME</v>
      </c>
      <c r="C245" s="12"/>
      <c r="D245" s="3">
        <f>--516.89</f>
        <v>516.89</v>
      </c>
      <c r="E245" s="3"/>
      <c r="F245" s="20">
        <f t="shared" si="52"/>
        <v>4.924739070242915E-4</v>
      </c>
      <c r="G245" s="3"/>
      <c r="H245" s="3">
        <f>--397.11</f>
        <v>397.11</v>
      </c>
      <c r="I245" s="3"/>
      <c r="J245" s="20">
        <f t="shared" si="53"/>
        <v>6.4783523989113325E-4</v>
      </c>
      <c r="K245" s="3"/>
      <c r="L245" s="3">
        <f t="shared" si="54"/>
        <v>119.77999999999997</v>
      </c>
      <c r="M245" s="3"/>
      <c r="N245" s="20">
        <f t="shared" si="55"/>
        <v>0.30162927148648983</v>
      </c>
      <c r="O245" s="12"/>
      <c r="P245" s="3">
        <f>--4384.52</f>
        <v>4384.5200000000004</v>
      </c>
      <c r="Q245" s="3"/>
      <c r="R245" s="20">
        <f t="shared" si="56"/>
        <v>5.816011996818732E-4</v>
      </c>
      <c r="S245" s="3"/>
      <c r="T245" s="3">
        <f>--3710.56</f>
        <v>3710.56</v>
      </c>
      <c r="U245" s="3"/>
      <c r="V245" s="20">
        <f t="shared" si="57"/>
        <v>5.9050280563708571E-4</v>
      </c>
      <c r="W245" s="3"/>
      <c r="X245" s="3">
        <f t="shared" si="58"/>
        <v>673.96000000000049</v>
      </c>
      <c r="Y245" s="3"/>
      <c r="Z245" s="20">
        <f t="shared" si="59"/>
        <v>0.18163296106248128</v>
      </c>
    </row>
    <row r="246" spans="1:26" s="69" customFormat="1" ht="15" hidden="1" customHeight="1" outlineLevel="1" x14ac:dyDescent="0.3">
      <c r="A246" s="42"/>
      <c r="B246" s="12" t="str">
        <f>CONCATENATE("          ","9163"," - ","MISC. INCOME")</f>
        <v xml:space="preserve">          9163 - MISC. INCOME</v>
      </c>
      <c r="C246" s="12"/>
      <c r="D246" s="3">
        <f>--175055</f>
        <v>175055</v>
      </c>
      <c r="E246" s="3"/>
      <c r="F246" s="20">
        <f t="shared" si="52"/>
        <v>0.16678600823025663</v>
      </c>
      <c r="G246" s="3"/>
      <c r="H246" s="3">
        <f>--175014.7</f>
        <v>175014.7</v>
      </c>
      <c r="I246" s="3"/>
      <c r="J246" s="20">
        <f t="shared" si="53"/>
        <v>0.28551456815233744</v>
      </c>
      <c r="K246" s="3"/>
      <c r="L246" s="3">
        <f t="shared" si="54"/>
        <v>40.299999999988358</v>
      </c>
      <c r="M246" s="3"/>
      <c r="N246" s="20">
        <f t="shared" si="55"/>
        <v>2.3026637191040728E-4</v>
      </c>
      <c r="O246" s="12"/>
      <c r="P246" s="3">
        <f>--254830.7</f>
        <v>254830.7</v>
      </c>
      <c r="Q246" s="3"/>
      <c r="R246" s="20">
        <f t="shared" si="56"/>
        <v>3.3802979764209429E-2</v>
      </c>
      <c r="S246" s="3"/>
      <c r="T246" s="3">
        <f>--346434.46</f>
        <v>346434.46</v>
      </c>
      <c r="U246" s="3"/>
      <c r="V246" s="20">
        <f t="shared" si="57"/>
        <v>5.513198024000926E-2</v>
      </c>
      <c r="W246" s="3"/>
      <c r="X246" s="3">
        <f t="shared" si="58"/>
        <v>-91603.760000000009</v>
      </c>
      <c r="Y246" s="3"/>
      <c r="Z246" s="20">
        <f t="shared" si="59"/>
        <v>-0.26441873016904843</v>
      </c>
    </row>
    <row r="247" spans="1:26" ht="15" customHeight="1" x14ac:dyDescent="0.3">
      <c r="A247" s="10"/>
      <c r="B247" s="11"/>
      <c r="C247" s="11"/>
      <c r="D247" s="4"/>
      <c r="E247" s="4"/>
      <c r="F247" s="9"/>
      <c r="G247" s="4"/>
      <c r="H247" s="4"/>
      <c r="I247" s="4"/>
      <c r="J247" s="9"/>
      <c r="K247" s="4"/>
      <c r="L247" s="4"/>
      <c r="M247" s="4"/>
      <c r="N247" s="9"/>
      <c r="O247" s="11"/>
      <c r="P247" s="4"/>
      <c r="Q247" s="4"/>
      <c r="R247" s="9"/>
      <c r="S247" s="4"/>
      <c r="T247" s="4"/>
      <c r="U247" s="4"/>
      <c r="V247" s="9"/>
      <c r="W247" s="4"/>
      <c r="X247" s="4"/>
      <c r="Y247" s="4"/>
      <c r="Z247" s="9"/>
    </row>
    <row r="248" spans="1:26" s="62" customFormat="1" ht="15" customHeight="1" x14ac:dyDescent="0.3">
      <c r="A248" s="11"/>
      <c r="B248" s="27" t="s">
        <v>291</v>
      </c>
      <c r="C248" s="27"/>
      <c r="D248" s="22">
        <f>+D148-D150+D240</f>
        <v>268130.11999999988</v>
      </c>
      <c r="E248" s="15"/>
      <c r="F248" s="21">
        <f>IF(D$12=0,0,D248/D$12)</f>
        <v>0.25546458199479982</v>
      </c>
      <c r="G248" s="15"/>
      <c r="H248" s="22">
        <f>+H148-H150+H240</f>
        <v>129482.25</v>
      </c>
      <c r="I248" s="15"/>
      <c r="J248" s="21">
        <f>IF(H$12=0,0,H248/H$12)</f>
        <v>0.21123407743545539</v>
      </c>
      <c r="K248" s="17"/>
      <c r="L248" s="22">
        <f>+D248-H248</f>
        <v>138647.86999999988</v>
      </c>
      <c r="M248" s="17"/>
      <c r="N248" s="21">
        <f>IF(H248=0,0,L248/H248)</f>
        <v>1.0707866908398631</v>
      </c>
      <c r="O248" s="28"/>
      <c r="P248" s="22">
        <f>+P148-P150+P240</f>
        <v>669924.70000000088</v>
      </c>
      <c r="Q248" s="15"/>
      <c r="R248" s="21">
        <f>IF(P$12=0,0,P248/P$12)</f>
        <v>8.8864689684736181E-2</v>
      </c>
      <c r="S248" s="15"/>
      <c r="T248" s="22">
        <f>+T148-T150+T240</f>
        <v>180560.49000000092</v>
      </c>
      <c r="U248" s="15"/>
      <c r="V248" s="21">
        <f>IF(T$12=0,0,T248/T$12)</f>
        <v>2.8734605000918328E-2</v>
      </c>
      <c r="W248" s="17"/>
      <c r="X248" s="22">
        <f>+P248-T248</f>
        <v>489364.20999999996</v>
      </c>
      <c r="Y248" s="17"/>
      <c r="Z248" s="21">
        <f>IF(T248=0,0,X248/T248)</f>
        <v>2.7102507863154197</v>
      </c>
    </row>
    <row r="249" spans="1:26" ht="15" customHeight="1" x14ac:dyDescent="0.3">
      <c r="A249" s="10"/>
      <c r="B249" s="11"/>
      <c r="C249" s="10"/>
      <c r="D249" s="4"/>
      <c r="E249" s="4"/>
      <c r="F249" s="9"/>
      <c r="G249" s="4"/>
      <c r="H249" s="4"/>
      <c r="I249" s="4"/>
      <c r="J249" s="9"/>
      <c r="K249" s="4"/>
      <c r="L249" s="4"/>
      <c r="M249" s="4"/>
      <c r="N249" s="9"/>
      <c r="P249" s="4"/>
      <c r="Q249" s="4"/>
      <c r="R249" s="9"/>
      <c r="S249" s="4"/>
      <c r="T249" s="4"/>
      <c r="U249" s="4"/>
      <c r="V249" s="9"/>
      <c r="W249" s="4"/>
      <c r="X249" s="4"/>
      <c r="Y249" s="4"/>
      <c r="Z249" s="9"/>
    </row>
    <row r="250" spans="1:26" s="62" customFormat="1" ht="15" customHeight="1" x14ac:dyDescent="0.3">
      <c r="A250" s="48"/>
      <c r="B250" s="11" t="s">
        <v>292</v>
      </c>
      <c r="C250" s="11"/>
      <c r="D250" s="5">
        <v>89735.61</v>
      </c>
      <c r="E250" s="5"/>
      <c r="F250" s="13">
        <f>IF(D$12=0,0,D250/D$12)</f>
        <v>8.549681064812259E-2</v>
      </c>
      <c r="G250" s="5"/>
      <c r="H250" s="5">
        <v>172012.05</v>
      </c>
      <c r="I250" s="5"/>
      <c r="J250" s="13">
        <f>IF(H$12=0,0,H250/H$12)</f>
        <v>0.28061612066156882</v>
      </c>
      <c r="K250" s="5"/>
      <c r="L250" s="5">
        <f>+D250-H250</f>
        <v>-82276.439999999988</v>
      </c>
      <c r="M250" s="5"/>
      <c r="N250" s="13">
        <f>IF(H250=0,0,L250/H250)</f>
        <v>-0.47831788528768765</v>
      </c>
      <c r="O250" s="11"/>
      <c r="P250" s="5">
        <v>899725.97</v>
      </c>
      <c r="Q250" s="5"/>
      <c r="R250" s="13">
        <f>IF(P$12=0,0,P250/P$12)</f>
        <v>0.11934754626206222</v>
      </c>
      <c r="S250" s="5"/>
      <c r="T250" s="5">
        <v>1295023.33</v>
      </c>
      <c r="U250" s="5"/>
      <c r="V250" s="13">
        <f>IF(T$12=0,0,T250/T$12)</f>
        <v>0.20609150902572163</v>
      </c>
      <c r="W250" s="5"/>
      <c r="X250" s="5">
        <f>+P250-T250</f>
        <v>-395297.3600000001</v>
      </c>
      <c r="Y250" s="5"/>
      <c r="Z250" s="13">
        <f>IF(T250=0,0,X250/T250)</f>
        <v>-0.30524342754504669</v>
      </c>
    </row>
    <row r="251" spans="1:26" ht="15" customHeight="1" x14ac:dyDescent="0.3">
      <c r="A251" s="10"/>
      <c r="B251" s="11"/>
      <c r="C251" s="11"/>
      <c r="D251" s="4"/>
      <c r="E251" s="4"/>
      <c r="F251" s="9"/>
      <c r="G251" s="4"/>
      <c r="H251" s="4"/>
      <c r="I251" s="4"/>
      <c r="J251" s="9"/>
      <c r="K251" s="4"/>
      <c r="L251" s="4"/>
      <c r="M251" s="4"/>
      <c r="N251" s="9"/>
      <c r="O251" s="11"/>
      <c r="P251" s="4"/>
      <c r="Q251" s="4"/>
      <c r="R251" s="9"/>
      <c r="S251" s="4"/>
      <c r="T251" s="4"/>
      <c r="U251" s="4"/>
      <c r="V251" s="9"/>
      <c r="W251" s="4"/>
      <c r="X251" s="4"/>
      <c r="Y251" s="4"/>
      <c r="Z251" s="9"/>
    </row>
    <row r="252" spans="1:26" s="62" customFormat="1" ht="15" customHeight="1" x14ac:dyDescent="0.3">
      <c r="A252" s="11"/>
      <c r="B252" s="27" t="s">
        <v>293</v>
      </c>
      <c r="C252" s="27"/>
      <c r="D252" s="34">
        <f>+D248-D250</f>
        <v>178394.50999999989</v>
      </c>
      <c r="E252" s="15"/>
      <c r="F252" s="33">
        <f>IF(D$12=0,0,D252/D$12)</f>
        <v>0.16996777134667723</v>
      </c>
      <c r="G252" s="15"/>
      <c r="H252" s="34">
        <f>+H248-H250</f>
        <v>-42529.799999999988</v>
      </c>
      <c r="I252" s="15"/>
      <c r="J252" s="33">
        <f>IF(H$12=0,0,H252/H$12)</f>
        <v>-6.9382043226113438E-2</v>
      </c>
      <c r="K252" s="17"/>
      <c r="L252" s="34">
        <f>D252-H252</f>
        <v>220924.30999999988</v>
      </c>
      <c r="M252" s="17"/>
      <c r="N252" s="33">
        <f>IF(H252=0,0,L252/H252)</f>
        <v>-5.1945767438360857</v>
      </c>
      <c r="O252" s="28"/>
      <c r="P252" s="34">
        <f>+P248-P250</f>
        <v>-229801.26999999909</v>
      </c>
      <c r="Q252" s="15"/>
      <c r="R252" s="33">
        <f>IF(P$12=0,0,P252/P$12)</f>
        <v>-3.048285657732603E-2</v>
      </c>
      <c r="S252" s="15"/>
      <c r="T252" s="34">
        <f>+T248-T250</f>
        <v>-1114462.8399999992</v>
      </c>
      <c r="U252" s="15"/>
      <c r="V252" s="33">
        <f>IF(T$12=0,0,T252/T$12)</f>
        <v>-0.17735690402480328</v>
      </c>
      <c r="W252" s="17"/>
      <c r="X252" s="34">
        <f>P252-T252</f>
        <v>884661.57000000007</v>
      </c>
      <c r="Y252" s="17"/>
      <c r="Z252" s="33">
        <f>IF(T252=0,0,X252/T252)</f>
        <v>-0.79380086822814189</v>
      </c>
    </row>
    <row r="253" spans="1:26" ht="15" customHeight="1" x14ac:dyDescent="0.3">
      <c r="A253" s="10"/>
      <c r="B253" s="10"/>
      <c r="C253" s="10"/>
      <c r="D253" s="4"/>
      <c r="E253" s="4"/>
      <c r="F253" s="9"/>
      <c r="G253" s="4"/>
      <c r="H253" s="4"/>
      <c r="I253" s="4"/>
      <c r="J253" s="9"/>
      <c r="K253" s="4"/>
      <c r="L253" s="4"/>
      <c r="M253" s="4"/>
      <c r="N253" s="9"/>
      <c r="P253" s="4"/>
      <c r="Q253" s="4"/>
      <c r="R253" s="9"/>
      <c r="S253" s="4"/>
      <c r="T253" s="4"/>
      <c r="U253" s="4"/>
      <c r="V253" s="9"/>
      <c r="W253" s="4"/>
      <c r="X253" s="4"/>
      <c r="Y253" s="4"/>
      <c r="Z253" s="9"/>
    </row>
    <row r="254" spans="1:26" ht="15" customHeight="1" x14ac:dyDescent="0.3">
      <c r="A254" s="10"/>
      <c r="B254" s="10"/>
      <c r="C254" s="10"/>
      <c r="D254" s="4"/>
      <c r="E254" s="4"/>
      <c r="F254" s="9"/>
      <c r="G254" s="4"/>
      <c r="H254" s="4"/>
      <c r="I254" s="4"/>
      <c r="J254" s="9"/>
      <c r="K254" s="4"/>
      <c r="L254" s="4"/>
      <c r="M254" s="4"/>
      <c r="N254" s="9"/>
      <c r="P254" s="4"/>
      <c r="Q254" s="4"/>
      <c r="R254" s="9"/>
      <c r="S254" s="4"/>
      <c r="T254" s="4"/>
      <c r="U254" s="4"/>
      <c r="V254" s="9"/>
      <c r="W254" s="4"/>
      <c r="X254" s="4"/>
      <c r="Y254" s="4"/>
      <c r="Z254" s="9"/>
    </row>
    <row r="255" spans="1:26" s="62" customFormat="1" ht="15" customHeight="1" x14ac:dyDescent="0.3">
      <c r="A255" s="11"/>
      <c r="B255" s="27" t="s">
        <v>296</v>
      </c>
      <c r="C255" s="27"/>
      <c r="D255" s="31">
        <f>SUM(D252:D254)</f>
        <v>178394.50999999989</v>
      </c>
      <c r="E255" s="15"/>
      <c r="F255" s="32">
        <f>IF(D$12=0,0,D255/D$12)</f>
        <v>0.16996777134667723</v>
      </c>
      <c r="G255" s="15"/>
      <c r="H255" s="31">
        <f>SUM(H252:H254)</f>
        <v>-42529.799999999988</v>
      </c>
      <c r="I255" s="15"/>
      <c r="J255" s="32">
        <f>IF(H$12=0,0,H255/H$12)</f>
        <v>-6.9382043226113438E-2</v>
      </c>
      <c r="K255" s="17"/>
      <c r="L255" s="31">
        <f>+D255-H255</f>
        <v>220924.30999999988</v>
      </c>
      <c r="M255" s="17"/>
      <c r="N255" s="32">
        <f>IF(H255=0,0,L255/H255)</f>
        <v>-5.1945767438360857</v>
      </c>
      <c r="O255" s="28"/>
      <c r="P255" s="31">
        <f>SUM(P252:P254)</f>
        <v>-229801.26999999909</v>
      </c>
      <c r="Q255" s="15"/>
      <c r="R255" s="32">
        <f>IF(P$12=0,0,P255/P$12)</f>
        <v>-3.048285657732603E-2</v>
      </c>
      <c r="S255" s="15"/>
      <c r="T255" s="31">
        <f>SUM(T252:T254)</f>
        <v>-1114462.8399999992</v>
      </c>
      <c r="U255" s="15"/>
      <c r="V255" s="32">
        <f>IF(T$12=0,0,T255/T$12)</f>
        <v>-0.17735690402480328</v>
      </c>
      <c r="W255" s="17"/>
      <c r="X255" s="31">
        <f>+P255-T255</f>
        <v>884661.57000000007</v>
      </c>
      <c r="Y255" s="17"/>
      <c r="Z255" s="32">
        <f>IF(T255=0,0,X255/T255)</f>
        <v>-0.79380086822814189</v>
      </c>
    </row>
    <row r="256" spans="1:26" ht="15" customHeight="1" x14ac:dyDescent="0.3">
      <c r="A256" s="10"/>
      <c r="C256" s="10"/>
      <c r="D256" s="19"/>
      <c r="E256" s="19"/>
      <c r="G256" s="19"/>
      <c r="H256" s="19"/>
      <c r="I256" s="19"/>
      <c r="J256" s="40"/>
      <c r="K256" s="19"/>
      <c r="L256" s="19"/>
      <c r="M256" s="19"/>
      <c r="P256" s="19"/>
      <c r="Q256" s="19"/>
      <c r="R256" s="40"/>
      <c r="S256" s="19"/>
      <c r="T256" s="19"/>
      <c r="U256" s="19"/>
      <c r="V256" s="40"/>
      <c r="W256" s="19"/>
      <c r="X256" s="19"/>
    </row>
    <row r="257" spans="1:24" ht="15" customHeight="1" x14ac:dyDescent="0.3">
      <c r="A257" s="10"/>
      <c r="B257" s="56">
        <v>44663.038578206018</v>
      </c>
      <c r="D257" s="19"/>
      <c r="E257" s="19"/>
      <c r="G257" s="19"/>
      <c r="H257" s="19"/>
      <c r="I257" s="19"/>
      <c r="J257" s="40"/>
      <c r="K257" s="19"/>
      <c r="L257" s="19"/>
      <c r="M257" s="19"/>
      <c r="P257" s="19"/>
      <c r="Q257" s="19"/>
      <c r="R257" s="40"/>
      <c r="S257" s="19"/>
      <c r="T257" s="19"/>
      <c r="U257" s="19"/>
      <c r="V257" s="40"/>
      <c r="W257" s="19"/>
      <c r="X257" s="19"/>
    </row>
    <row r="258" spans="1:24" ht="15" customHeight="1" x14ac:dyDescent="0.3">
      <c r="A258" s="10"/>
      <c r="B258" s="57" t="s">
        <v>297</v>
      </c>
      <c r="D258" s="19"/>
      <c r="E258" s="19"/>
      <c r="G258" s="19"/>
      <c r="H258" s="19"/>
      <c r="I258" s="19"/>
      <c r="J258" s="40"/>
      <c r="K258" s="19"/>
      <c r="L258" s="19"/>
      <c r="M258" s="19"/>
      <c r="P258" s="19"/>
      <c r="Q258" s="19"/>
      <c r="R258" s="40"/>
      <c r="S258" s="19"/>
      <c r="T258" s="19"/>
      <c r="U258" s="19"/>
      <c r="V258" s="40"/>
      <c r="W258" s="19"/>
      <c r="X258" s="19"/>
    </row>
    <row r="259" spans="1:24" ht="15" customHeight="1" x14ac:dyDescent="0.3">
      <c r="A259" s="10"/>
      <c r="B259" s="58"/>
      <c r="D259" s="19"/>
      <c r="E259" s="19"/>
      <c r="G259" s="19"/>
      <c r="H259" s="19"/>
      <c r="I259" s="19"/>
      <c r="J259" s="40"/>
      <c r="K259" s="19"/>
      <c r="L259" s="19"/>
      <c r="M259" s="19"/>
      <c r="P259" s="19"/>
      <c r="Q259" s="19"/>
      <c r="R259" s="40"/>
      <c r="S259" s="19"/>
      <c r="T259" s="19"/>
      <c r="U259" s="19"/>
      <c r="V259" s="40"/>
      <c r="W259" s="19"/>
      <c r="X259" s="19"/>
    </row>
    <row r="260" spans="1:24" ht="15" customHeight="1" x14ac:dyDescent="0.3">
      <c r="D260" s="19"/>
      <c r="E260" s="19"/>
      <c r="G260" s="19"/>
      <c r="H260" s="19"/>
      <c r="I260" s="19"/>
      <c r="J260" s="40"/>
      <c r="K260" s="19"/>
      <c r="L260" s="19"/>
      <c r="M260" s="19"/>
      <c r="P260" s="19"/>
      <c r="Q260" s="19"/>
      <c r="R260" s="40"/>
      <c r="S260" s="19"/>
      <c r="T260" s="19"/>
      <c r="U260" s="19"/>
      <c r="V260" s="40"/>
      <c r="W260" s="19"/>
      <c r="X26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493B-B3FA-B7E4-F175-D46A67680C3B}">
  <sheetPr>
    <tabColor rgb="FF92D050"/>
    <outlinePr summaryBelow="0" summaryRight="0"/>
  </sheetPr>
  <dimension ref="A2:Z11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","301"," - ","Bookstore Operations")</f>
        <v>Department 301 - Bookstore Operations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7" t="s">
        <v>288</v>
      </c>
      <c r="C17" s="27"/>
      <c r="D17" s="22">
        <f>D12-D14</f>
        <v>0</v>
      </c>
      <c r="E17" s="15"/>
      <c r="F17" s="21">
        <f>IF(D$12=0,0,D17/D$12)</f>
        <v>0</v>
      </c>
      <c r="G17" s="15"/>
      <c r="H17" s="22">
        <f>H12-H14</f>
        <v>0</v>
      </c>
      <c r="I17" s="15"/>
      <c r="J17" s="21">
        <f>IF(H$12=0,0,H17/H$12)</f>
        <v>0</v>
      </c>
      <c r="K17" s="17"/>
      <c r="L17" s="22">
        <f>+D17-H17</f>
        <v>0</v>
      </c>
      <c r="M17" s="17"/>
      <c r="N17" s="21">
        <f>IF(H17=0,0,L17/H17)</f>
        <v>0</v>
      </c>
      <c r="O17" s="28"/>
      <c r="P17" s="22">
        <f>P12-P14</f>
        <v>0</v>
      </c>
      <c r="Q17" s="15"/>
      <c r="R17" s="21">
        <f>IF(P$12=0,0,P17/P$12)</f>
        <v>0</v>
      </c>
      <c r="S17" s="15"/>
      <c r="T17" s="22">
        <f>T12-T14</f>
        <v>0</v>
      </c>
      <c r="U17" s="15"/>
      <c r="V17" s="21">
        <f>IF(T$12=0,0,T17/T$12)</f>
        <v>0</v>
      </c>
      <c r="W17" s="17"/>
      <c r="X17" s="22">
        <f>+P17-T17</f>
        <v>0</v>
      </c>
      <c r="Y17" s="17"/>
      <c r="Z17" s="21">
        <f>IF(T17=0,0,X17/T17)</f>
        <v>0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8" t="s">
        <v>289</v>
      </c>
      <c r="C19" s="11"/>
      <c r="D19" s="23" cm="1">
        <f t="array" ref="D19">SUM(OSRRefD22x_0)</f>
        <v>134992.33000000002</v>
      </c>
      <c r="E19" s="23"/>
      <c r="F19" s="35">
        <f t="shared" ref="F19:F50" si="0">IF(D$12=0,0,D19/D$12)</f>
        <v>0</v>
      </c>
      <c r="G19" s="23"/>
      <c r="H19" s="23" cm="1">
        <f t="array" ref="H19">SUM(OSRRefH22x_0)</f>
        <v>95870.02</v>
      </c>
      <c r="I19" s="23"/>
      <c r="J19" s="35">
        <f t="shared" ref="J19:J50" si="1">IF(H$12=0,0,H19/H$12)</f>
        <v>0</v>
      </c>
      <c r="K19" s="5"/>
      <c r="L19" s="23">
        <f t="shared" ref="L19:L50" si="2">+D19-H19</f>
        <v>39122.310000000012</v>
      </c>
      <c r="M19" s="5"/>
      <c r="N19" s="35">
        <f t="shared" ref="N19:N50" si="3">IF(H19=0,0,L19/H19)</f>
        <v>0.40807658118773743</v>
      </c>
      <c r="O19" s="11"/>
      <c r="P19" s="23" cm="1">
        <f t="array" ref="P19">SUM(OSRRefP22x_0)</f>
        <v>1292945.17</v>
      </c>
      <c r="Q19" s="23"/>
      <c r="R19" s="35">
        <f t="shared" ref="R19:R50" si="4">IF(P$12=0,0,P19/P$12)</f>
        <v>0</v>
      </c>
      <c r="S19" s="23"/>
      <c r="T19" s="23" cm="1">
        <f t="array" ref="T19">SUM(OSRRefT22x_0)</f>
        <v>1095415.9200000004</v>
      </c>
      <c r="U19" s="23"/>
      <c r="V19" s="35">
        <f t="shared" ref="V19:V50" si="5">IF(T$12=0,0,T19/T$12)</f>
        <v>0</v>
      </c>
      <c r="W19" s="5"/>
      <c r="X19" s="23">
        <f t="shared" ref="X19:X50" si="6">+P19-T19</f>
        <v>197529.24999999953</v>
      </c>
      <c r="Y19" s="5"/>
      <c r="Z19" s="35">
        <f t="shared" ref="Z19:Z50" si="7">IF(T19=0,0,X19/T19)</f>
        <v>0.18032351583862272</v>
      </c>
    </row>
    <row r="20" spans="1:26" s="68" customFormat="1" ht="15" customHeight="1" outlineLevel="1" collapsed="1" x14ac:dyDescent="0.3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13121.18</v>
      </c>
      <c r="E20" s="2"/>
      <c r="F20" s="6">
        <f t="shared" si="0"/>
        <v>0</v>
      </c>
      <c r="G20" s="2"/>
      <c r="H20" s="2">
        <f>SUM(OSRRefH22_0x_0)</f>
        <v>11134.78</v>
      </c>
      <c r="I20" s="2"/>
      <c r="J20" s="6">
        <f t="shared" si="1"/>
        <v>0</v>
      </c>
      <c r="K20" s="2"/>
      <c r="L20" s="2">
        <f t="shared" si="2"/>
        <v>1986.3999999999996</v>
      </c>
      <c r="M20" s="2"/>
      <c r="N20" s="6">
        <f t="shared" si="3"/>
        <v>0.17839598088152614</v>
      </c>
      <c r="O20" s="14"/>
      <c r="P20" s="2">
        <f>SUM(OSRRefP22_0x_0)</f>
        <v>128935.67</v>
      </c>
      <c r="Q20" s="2"/>
      <c r="R20" s="6">
        <f t="shared" si="4"/>
        <v>0</v>
      </c>
      <c r="S20" s="2"/>
      <c r="T20" s="2">
        <f>SUM(OSRRefT22_0x_0)</f>
        <v>85303.580000000016</v>
      </c>
      <c r="U20" s="2"/>
      <c r="V20" s="6">
        <f t="shared" si="5"/>
        <v>0</v>
      </c>
      <c r="W20" s="2"/>
      <c r="X20" s="2">
        <f t="shared" si="6"/>
        <v>43632.089999999982</v>
      </c>
      <c r="Y20" s="2"/>
      <c r="Z20" s="6">
        <f t="shared" si="7"/>
        <v>0.51149189752645752</v>
      </c>
    </row>
    <row r="21" spans="1:26" s="69" customFormat="1" ht="15" hidden="1" customHeight="1" outlineLevel="2" x14ac:dyDescent="0.3">
      <c r="A21" s="25"/>
      <c r="B21" s="12" t="str">
        <f>CONCATENATE("          ","6111"," - ","F.I.C.A.")</f>
        <v xml:space="preserve">          6111 - F.I.C.A.</v>
      </c>
      <c r="C21" s="12"/>
      <c r="D21" s="8">
        <v>2144.9</v>
      </c>
      <c r="E21" s="3"/>
      <c r="F21" s="7">
        <f t="shared" si="0"/>
        <v>0</v>
      </c>
      <c r="G21" s="3"/>
      <c r="H21" s="8">
        <v>1737.13</v>
      </c>
      <c r="I21" s="3"/>
      <c r="J21" s="7">
        <f t="shared" si="1"/>
        <v>0</v>
      </c>
      <c r="K21" s="3"/>
      <c r="L21" s="8">
        <f t="shared" si="2"/>
        <v>407.77</v>
      </c>
      <c r="M21" s="3"/>
      <c r="N21" s="7">
        <f t="shared" si="3"/>
        <v>0.23473775710511013</v>
      </c>
      <c r="O21" s="12"/>
      <c r="P21" s="8">
        <v>22912.01</v>
      </c>
      <c r="Q21" s="3"/>
      <c r="R21" s="7">
        <f t="shared" si="4"/>
        <v>0</v>
      </c>
      <c r="S21" s="3"/>
      <c r="T21" s="8">
        <v>20879.46</v>
      </c>
      <c r="U21" s="3"/>
      <c r="V21" s="7">
        <f t="shared" si="5"/>
        <v>0</v>
      </c>
      <c r="W21" s="3"/>
      <c r="X21" s="8">
        <f t="shared" si="6"/>
        <v>2032.5499999999993</v>
      </c>
      <c r="Y21" s="3"/>
      <c r="Z21" s="7">
        <f t="shared" si="7"/>
        <v>9.7346866250372338E-2</v>
      </c>
    </row>
    <row r="22" spans="1:26" s="69" customFormat="1" ht="15" hidden="1" customHeight="1" outlineLevel="2" x14ac:dyDescent="0.3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740.65</v>
      </c>
      <c r="E22" s="3"/>
      <c r="F22" s="7">
        <f t="shared" si="0"/>
        <v>0</v>
      </c>
      <c r="G22" s="3"/>
      <c r="H22" s="8">
        <v>555.75</v>
      </c>
      <c r="I22" s="3"/>
      <c r="J22" s="7">
        <f t="shared" si="1"/>
        <v>0</v>
      </c>
      <c r="K22" s="3"/>
      <c r="L22" s="8">
        <f t="shared" si="2"/>
        <v>184.89999999999998</v>
      </c>
      <c r="M22" s="3"/>
      <c r="N22" s="7">
        <f t="shared" si="3"/>
        <v>0.33270355375618532</v>
      </c>
      <c r="O22" s="12"/>
      <c r="P22" s="8">
        <v>6929.78</v>
      </c>
      <c r="Q22" s="3"/>
      <c r="R22" s="7">
        <f t="shared" si="4"/>
        <v>0</v>
      </c>
      <c r="S22" s="3"/>
      <c r="T22" s="8">
        <v>6414.38</v>
      </c>
      <c r="U22" s="3"/>
      <c r="V22" s="7">
        <f t="shared" si="5"/>
        <v>0</v>
      </c>
      <c r="W22" s="3"/>
      <c r="X22" s="8">
        <f t="shared" si="6"/>
        <v>515.39999999999964</v>
      </c>
      <c r="Y22" s="3"/>
      <c r="Z22" s="7">
        <f t="shared" si="7"/>
        <v>8.0350711993988452E-2</v>
      </c>
    </row>
    <row r="23" spans="1:26" s="69" customFormat="1" ht="15" hidden="1" customHeight="1" outlineLevel="2" x14ac:dyDescent="0.3">
      <c r="A23" s="25"/>
      <c r="B23" s="12" t="str">
        <f>CONCATENATE("          ","6113"," - ","GROUP INSURANCE")</f>
        <v xml:space="preserve">          6113 - GROUP INSURANCE</v>
      </c>
      <c r="C23" s="12"/>
      <c r="D23" s="8">
        <v>4880.57</v>
      </c>
      <c r="E23" s="3"/>
      <c r="F23" s="7">
        <f t="shared" si="0"/>
        <v>0</v>
      </c>
      <c r="G23" s="3"/>
      <c r="H23" s="8">
        <v>5096.28</v>
      </c>
      <c r="I23" s="3"/>
      <c r="J23" s="7">
        <f t="shared" si="1"/>
        <v>0</v>
      </c>
      <c r="K23" s="3"/>
      <c r="L23" s="8">
        <f t="shared" si="2"/>
        <v>-215.71000000000004</v>
      </c>
      <c r="M23" s="3"/>
      <c r="N23" s="7">
        <f t="shared" si="3"/>
        <v>-4.2326952208277417E-2</v>
      </c>
      <c r="O23" s="12"/>
      <c r="P23" s="8">
        <v>47042.79</v>
      </c>
      <c r="Q23" s="3"/>
      <c r="R23" s="7">
        <f t="shared" si="4"/>
        <v>0</v>
      </c>
      <c r="S23" s="3"/>
      <c r="T23" s="8">
        <v>25140.57</v>
      </c>
      <c r="U23" s="3"/>
      <c r="V23" s="7">
        <f t="shared" si="5"/>
        <v>0</v>
      </c>
      <c r="W23" s="3"/>
      <c r="X23" s="8">
        <f t="shared" si="6"/>
        <v>21902.22</v>
      </c>
      <c r="Y23" s="3"/>
      <c r="Z23" s="7">
        <f t="shared" si="7"/>
        <v>0.87119027134229654</v>
      </c>
    </row>
    <row r="24" spans="1:26" s="69" customFormat="1" ht="15" hidden="1" customHeight="1" outlineLevel="2" x14ac:dyDescent="0.3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132.21</v>
      </c>
      <c r="E24" s="3"/>
      <c r="F24" s="7">
        <f t="shared" si="0"/>
        <v>0</v>
      </c>
      <c r="G24" s="3"/>
      <c r="H24" s="8">
        <v>87.01</v>
      </c>
      <c r="I24" s="3"/>
      <c r="J24" s="7">
        <f t="shared" si="1"/>
        <v>0</v>
      </c>
      <c r="K24" s="3"/>
      <c r="L24" s="8">
        <f t="shared" si="2"/>
        <v>45.2</v>
      </c>
      <c r="M24" s="3"/>
      <c r="N24" s="7">
        <f t="shared" si="3"/>
        <v>0.51948051948051943</v>
      </c>
      <c r="O24" s="12"/>
      <c r="P24" s="8">
        <v>1236.77</v>
      </c>
      <c r="Q24" s="3"/>
      <c r="R24" s="7">
        <f t="shared" si="4"/>
        <v>0</v>
      </c>
      <c r="S24" s="3"/>
      <c r="T24" s="8">
        <v>1004.4</v>
      </c>
      <c r="U24" s="3"/>
      <c r="V24" s="7">
        <f t="shared" si="5"/>
        <v>0</v>
      </c>
      <c r="W24" s="3"/>
      <c r="X24" s="8">
        <f t="shared" si="6"/>
        <v>232.37</v>
      </c>
      <c r="Y24" s="3"/>
      <c r="Z24" s="7">
        <f t="shared" si="7"/>
        <v>0.23135205097570691</v>
      </c>
    </row>
    <row r="25" spans="1:26" s="69" customFormat="1" ht="15" hidden="1" customHeight="1" outlineLevel="2" x14ac:dyDescent="0.3">
      <c r="A25" s="25"/>
      <c r="B25" s="12" t="str">
        <f>CONCATENATE("          ","6115"," - ","P.E.R.S.")</f>
        <v xml:space="preserve">          6115 - P.E.R.S.</v>
      </c>
      <c r="C25" s="12"/>
      <c r="D25" s="8">
        <v>1579.6</v>
      </c>
      <c r="E25" s="3"/>
      <c r="F25" s="7">
        <f t="shared" si="0"/>
        <v>0</v>
      </c>
      <c r="G25" s="3"/>
      <c r="H25" s="8">
        <v>1040.94</v>
      </c>
      <c r="I25" s="3"/>
      <c r="J25" s="7">
        <f t="shared" si="1"/>
        <v>0</v>
      </c>
      <c r="K25" s="3"/>
      <c r="L25" s="8">
        <f t="shared" si="2"/>
        <v>538.65999999999985</v>
      </c>
      <c r="M25" s="3"/>
      <c r="N25" s="7">
        <f t="shared" si="3"/>
        <v>0.51747459027417508</v>
      </c>
      <c r="O25" s="12"/>
      <c r="P25" s="8">
        <v>14732.86</v>
      </c>
      <c r="Q25" s="3"/>
      <c r="R25" s="7">
        <f t="shared" si="4"/>
        <v>0</v>
      </c>
      <c r="S25" s="3"/>
      <c r="T25" s="8">
        <v>11550.77</v>
      </c>
      <c r="U25" s="3"/>
      <c r="V25" s="7">
        <f t="shared" si="5"/>
        <v>0</v>
      </c>
      <c r="W25" s="3"/>
      <c r="X25" s="8">
        <f t="shared" si="6"/>
        <v>3182.09</v>
      </c>
      <c r="Y25" s="3"/>
      <c r="Z25" s="7">
        <f t="shared" si="7"/>
        <v>0.27548726188816852</v>
      </c>
    </row>
    <row r="26" spans="1:26" s="69" customFormat="1" ht="15" hidden="1" customHeight="1" outlineLevel="2" x14ac:dyDescent="0.3">
      <c r="A26" s="25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401.9</v>
      </c>
      <c r="U26" s="3"/>
      <c r="V26" s="7">
        <f t="shared" si="5"/>
        <v>0</v>
      </c>
      <c r="W26" s="3"/>
      <c r="X26" s="8">
        <f t="shared" si="6"/>
        <v>-401.9</v>
      </c>
      <c r="Y26" s="3"/>
      <c r="Z26" s="7">
        <f t="shared" si="7"/>
        <v>-1</v>
      </c>
    </row>
    <row r="27" spans="1:26" s="69" customFormat="1" ht="15" hidden="1" customHeight="1" outlineLevel="2" x14ac:dyDescent="0.3">
      <c r="A27" s="25"/>
      <c r="B27" s="12" t="str">
        <f>CONCATENATE("          ","6117"," - ","RETIREMENT STAFF HOURLY")</f>
        <v xml:space="preserve">          6117 - RETIREMENT STAFF HOURLY</v>
      </c>
      <c r="C27" s="12"/>
      <c r="D27" s="8">
        <v>412.62</v>
      </c>
      <c r="E27" s="3"/>
      <c r="F27" s="7">
        <f t="shared" si="0"/>
        <v>0</v>
      </c>
      <c r="G27" s="3"/>
      <c r="H27" s="8">
        <v>282.24</v>
      </c>
      <c r="I27" s="3"/>
      <c r="J27" s="7">
        <f t="shared" si="1"/>
        <v>0</v>
      </c>
      <c r="K27" s="3"/>
      <c r="L27" s="8">
        <f t="shared" si="2"/>
        <v>130.38</v>
      </c>
      <c r="M27" s="3"/>
      <c r="N27" s="7">
        <f t="shared" si="3"/>
        <v>0.46194727891156462</v>
      </c>
      <c r="O27" s="12"/>
      <c r="P27" s="8">
        <v>3182.95</v>
      </c>
      <c r="Q27" s="3"/>
      <c r="R27" s="7">
        <f t="shared" si="4"/>
        <v>0</v>
      </c>
      <c r="S27" s="3"/>
      <c r="T27" s="8">
        <v>891.68</v>
      </c>
      <c r="U27" s="3"/>
      <c r="V27" s="7">
        <f t="shared" si="5"/>
        <v>0</v>
      </c>
      <c r="W27" s="3"/>
      <c r="X27" s="8">
        <f t="shared" si="6"/>
        <v>2291.27</v>
      </c>
      <c r="Y27" s="3"/>
      <c r="Z27" s="7">
        <f t="shared" si="7"/>
        <v>2.569610174053472</v>
      </c>
    </row>
    <row r="28" spans="1:26" s="69" customFormat="1" ht="15" hidden="1" customHeight="1" outlineLevel="2" x14ac:dyDescent="0.3">
      <c r="A28" s="25"/>
      <c r="B28" s="12" t="str">
        <f>CONCATENATE("          ","6118"," - ","VACATION")</f>
        <v xml:space="preserve">          6118 - VACATION</v>
      </c>
      <c r="C28" s="12"/>
      <c r="D28" s="8">
        <v>1242.79</v>
      </c>
      <c r="E28" s="3"/>
      <c r="F28" s="7">
        <f t="shared" si="0"/>
        <v>0</v>
      </c>
      <c r="G28" s="3"/>
      <c r="H28" s="8">
        <v>1261.27</v>
      </c>
      <c r="I28" s="3"/>
      <c r="J28" s="7">
        <f t="shared" si="1"/>
        <v>0</v>
      </c>
      <c r="K28" s="3"/>
      <c r="L28" s="8">
        <f t="shared" si="2"/>
        <v>-18.480000000000018</v>
      </c>
      <c r="M28" s="3"/>
      <c r="N28" s="7">
        <f t="shared" si="3"/>
        <v>-1.4651898483274809E-2</v>
      </c>
      <c r="O28" s="12"/>
      <c r="P28" s="8">
        <v>14019.24</v>
      </c>
      <c r="Q28" s="3"/>
      <c r="R28" s="7">
        <f t="shared" si="4"/>
        <v>0</v>
      </c>
      <c r="S28" s="3"/>
      <c r="T28" s="8">
        <v>10333.040000000001</v>
      </c>
      <c r="U28" s="3"/>
      <c r="V28" s="7">
        <f t="shared" si="5"/>
        <v>0</v>
      </c>
      <c r="W28" s="3"/>
      <c r="X28" s="8">
        <f t="shared" si="6"/>
        <v>3686.1999999999989</v>
      </c>
      <c r="Y28" s="3"/>
      <c r="Z28" s="7">
        <f t="shared" si="7"/>
        <v>0.35673915904709541</v>
      </c>
    </row>
    <row r="29" spans="1:26" s="69" customFormat="1" ht="15" hidden="1" customHeight="1" outlineLevel="2" x14ac:dyDescent="0.3">
      <c r="A29" s="25"/>
      <c r="B29" s="12" t="str">
        <f>CONCATENATE("          ","6119"," - ","SICK LEAVE")</f>
        <v xml:space="preserve">          6119 - SICK LEAVE</v>
      </c>
      <c r="C29" s="12"/>
      <c r="D29" s="8">
        <v>1093.08</v>
      </c>
      <c r="E29" s="3"/>
      <c r="F29" s="7">
        <f t="shared" si="0"/>
        <v>0</v>
      </c>
      <c r="G29" s="3"/>
      <c r="H29" s="8">
        <v>832.35</v>
      </c>
      <c r="I29" s="3"/>
      <c r="J29" s="7">
        <f t="shared" si="1"/>
        <v>0</v>
      </c>
      <c r="K29" s="3"/>
      <c r="L29" s="8">
        <f t="shared" si="2"/>
        <v>260.7299999999999</v>
      </c>
      <c r="M29" s="3"/>
      <c r="N29" s="7">
        <f t="shared" si="3"/>
        <v>0.31324562984321486</v>
      </c>
      <c r="O29" s="12"/>
      <c r="P29" s="8">
        <v>12634.51</v>
      </c>
      <c r="Q29" s="3"/>
      <c r="R29" s="7">
        <f t="shared" si="4"/>
        <v>0</v>
      </c>
      <c r="S29" s="3"/>
      <c r="T29" s="8">
        <v>6935.08</v>
      </c>
      <c r="U29" s="3"/>
      <c r="V29" s="7">
        <f t="shared" si="5"/>
        <v>0</v>
      </c>
      <c r="W29" s="3"/>
      <c r="X29" s="8">
        <f t="shared" si="6"/>
        <v>5699.43</v>
      </c>
      <c r="Y29" s="3"/>
      <c r="Z29" s="7">
        <f t="shared" si="7"/>
        <v>0.82182613610801902</v>
      </c>
    </row>
    <row r="30" spans="1:26" s="69" customFormat="1" ht="15" hidden="1" customHeight="1" outlineLevel="2" x14ac:dyDescent="0.3">
      <c r="A30" s="25"/>
      <c r="B30" s="12" t="str">
        <f>CONCATENATE("          ","6156"," - ","EMPLOYEE MEALS")</f>
        <v xml:space="preserve">          6156 - EMPLOYEE MEALS</v>
      </c>
      <c r="C30" s="12"/>
      <c r="D30" s="8">
        <v>894.76</v>
      </c>
      <c r="E30" s="3"/>
      <c r="F30" s="7">
        <f t="shared" si="0"/>
        <v>0</v>
      </c>
      <c r="G30" s="3"/>
      <c r="H30" s="8">
        <v>241.81</v>
      </c>
      <c r="I30" s="3"/>
      <c r="J30" s="7">
        <f t="shared" si="1"/>
        <v>0</v>
      </c>
      <c r="K30" s="3"/>
      <c r="L30" s="8">
        <f t="shared" si="2"/>
        <v>652.95000000000005</v>
      </c>
      <c r="M30" s="3"/>
      <c r="N30" s="7">
        <f t="shared" si="3"/>
        <v>2.7002605351308882</v>
      </c>
      <c r="O30" s="12"/>
      <c r="P30" s="8">
        <v>6244.76</v>
      </c>
      <c r="Q30" s="3"/>
      <c r="R30" s="7">
        <f t="shared" si="4"/>
        <v>0</v>
      </c>
      <c r="S30" s="3"/>
      <c r="T30" s="8">
        <v>1752.3</v>
      </c>
      <c r="U30" s="3"/>
      <c r="V30" s="7">
        <f t="shared" si="5"/>
        <v>0</v>
      </c>
      <c r="W30" s="3"/>
      <c r="X30" s="8">
        <f t="shared" si="6"/>
        <v>4492.46</v>
      </c>
      <c r="Y30" s="3"/>
      <c r="Z30" s="7">
        <f t="shared" si="7"/>
        <v>2.5637504993437199</v>
      </c>
    </row>
    <row r="31" spans="1:26" s="68" customFormat="1" ht="15" customHeight="1" outlineLevel="1" collapsed="1" x14ac:dyDescent="0.3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50053.990000000005</v>
      </c>
      <c r="E31" s="2"/>
      <c r="F31" s="6">
        <f t="shared" si="0"/>
        <v>0</v>
      </c>
      <c r="G31" s="2"/>
      <c r="H31" s="2">
        <f>SUM(OSRRefH22_1x_0)</f>
        <v>34369.06</v>
      </c>
      <c r="I31" s="2"/>
      <c r="J31" s="6">
        <f t="shared" si="1"/>
        <v>0</v>
      </c>
      <c r="K31" s="2"/>
      <c r="L31" s="2">
        <f t="shared" si="2"/>
        <v>15684.930000000008</v>
      </c>
      <c r="M31" s="2"/>
      <c r="N31" s="6">
        <f t="shared" si="3"/>
        <v>0.45636773307154777</v>
      </c>
      <c r="O31" s="14"/>
      <c r="P31" s="2">
        <f>SUM(OSRRefP22_1x_0)</f>
        <v>482483.32000000007</v>
      </c>
      <c r="Q31" s="2"/>
      <c r="R31" s="6">
        <f t="shared" si="4"/>
        <v>0</v>
      </c>
      <c r="S31" s="2"/>
      <c r="T31" s="2">
        <f>SUM(OSRRefT22_1x_0)</f>
        <v>377972.62</v>
      </c>
      <c r="U31" s="2"/>
      <c r="V31" s="6">
        <f t="shared" si="5"/>
        <v>0</v>
      </c>
      <c r="W31" s="2"/>
      <c r="X31" s="2">
        <f t="shared" si="6"/>
        <v>104510.70000000007</v>
      </c>
      <c r="Y31" s="2"/>
      <c r="Z31" s="6">
        <f t="shared" si="7"/>
        <v>0.27650336153978577</v>
      </c>
    </row>
    <row r="32" spans="1:26" s="69" customFormat="1" ht="15" hidden="1" customHeight="1" outlineLevel="2" x14ac:dyDescent="0.3">
      <c r="A32" s="25"/>
      <c r="B32" s="12" t="str">
        <f>CONCATENATE("          ","6001"," - ","ADMINISTRATIVE SALARIES")</f>
        <v xml:space="preserve">          6001 - ADMINISTRATIVE SALARIES</v>
      </c>
      <c r="C32" s="12"/>
      <c r="D32" s="8">
        <v>3959.51</v>
      </c>
      <c r="E32" s="3"/>
      <c r="F32" s="7">
        <f t="shared" si="0"/>
        <v>0</v>
      </c>
      <c r="G32" s="3"/>
      <c r="H32" s="8">
        <v>4279.74</v>
      </c>
      <c r="I32" s="3"/>
      <c r="J32" s="7">
        <f t="shared" si="1"/>
        <v>0</v>
      </c>
      <c r="K32" s="3"/>
      <c r="L32" s="8">
        <f t="shared" si="2"/>
        <v>-320.22999999999956</v>
      </c>
      <c r="M32" s="3"/>
      <c r="N32" s="7">
        <f t="shared" si="3"/>
        <v>-7.4824638879931862E-2</v>
      </c>
      <c r="O32" s="12"/>
      <c r="P32" s="8">
        <v>44917.06</v>
      </c>
      <c r="Q32" s="3"/>
      <c r="R32" s="7">
        <f t="shared" si="4"/>
        <v>0</v>
      </c>
      <c r="S32" s="3"/>
      <c r="T32" s="8">
        <v>39087.65</v>
      </c>
      <c r="U32" s="3"/>
      <c r="V32" s="7">
        <f t="shared" si="5"/>
        <v>0</v>
      </c>
      <c r="W32" s="3"/>
      <c r="X32" s="8">
        <f t="shared" si="6"/>
        <v>5829.4099999999962</v>
      </c>
      <c r="Y32" s="3"/>
      <c r="Z32" s="7">
        <f t="shared" si="7"/>
        <v>0.14913687571394024</v>
      </c>
    </row>
    <row r="33" spans="1:26" s="69" customFormat="1" ht="15" hidden="1" customHeight="1" outlineLevel="2" x14ac:dyDescent="0.3">
      <c r="A33" s="25"/>
      <c r="B33" s="12" t="str">
        <f>CONCATENATE("          ","6002"," - ","STAFF SALARIES")</f>
        <v xml:space="preserve">          6002 - STAFF SALARIES</v>
      </c>
      <c r="C33" s="12"/>
      <c r="D33" s="8">
        <v>11040.02</v>
      </c>
      <c r="E33" s="3"/>
      <c r="F33" s="7">
        <f t="shared" si="0"/>
        <v>0</v>
      </c>
      <c r="G33" s="3"/>
      <c r="H33" s="8">
        <v>9584.6299999999992</v>
      </c>
      <c r="I33" s="3"/>
      <c r="J33" s="7">
        <f t="shared" si="1"/>
        <v>0</v>
      </c>
      <c r="K33" s="3"/>
      <c r="L33" s="8">
        <f t="shared" si="2"/>
        <v>1455.3900000000012</v>
      </c>
      <c r="M33" s="3"/>
      <c r="N33" s="7">
        <f t="shared" si="3"/>
        <v>0.151846237152608</v>
      </c>
      <c r="O33" s="12"/>
      <c r="P33" s="8">
        <v>98592.51</v>
      </c>
      <c r="Q33" s="3"/>
      <c r="R33" s="7">
        <f t="shared" si="4"/>
        <v>0</v>
      </c>
      <c r="S33" s="3"/>
      <c r="T33" s="8">
        <v>82663.990000000005</v>
      </c>
      <c r="U33" s="3"/>
      <c r="V33" s="7">
        <f t="shared" si="5"/>
        <v>0</v>
      </c>
      <c r="W33" s="3"/>
      <c r="X33" s="8">
        <f t="shared" si="6"/>
        <v>15928.51999999999</v>
      </c>
      <c r="Y33" s="3"/>
      <c r="Z33" s="7">
        <f t="shared" si="7"/>
        <v>0.19268994879148693</v>
      </c>
    </row>
    <row r="34" spans="1:26" s="69" customFormat="1" ht="15" hidden="1" customHeight="1" outlineLevel="2" x14ac:dyDescent="0.3">
      <c r="A34" s="25"/>
      <c r="B34" s="12" t="str">
        <f>CONCATENATE("          ","6004"," - ","STAFF HOURLY")</f>
        <v xml:space="preserve">          6004 - STAFF HOURLY</v>
      </c>
      <c r="C34" s="12"/>
      <c r="D34" s="8">
        <v>7006.01</v>
      </c>
      <c r="E34" s="3"/>
      <c r="F34" s="7">
        <f t="shared" si="0"/>
        <v>0</v>
      </c>
      <c r="G34" s="3"/>
      <c r="H34" s="8">
        <v>2986.56</v>
      </c>
      <c r="I34" s="3"/>
      <c r="J34" s="7">
        <f t="shared" si="1"/>
        <v>0</v>
      </c>
      <c r="K34" s="3"/>
      <c r="L34" s="8">
        <f t="shared" si="2"/>
        <v>4019.4500000000003</v>
      </c>
      <c r="M34" s="3"/>
      <c r="N34" s="7">
        <f t="shared" si="3"/>
        <v>1.3458460570020359</v>
      </c>
      <c r="O34" s="12"/>
      <c r="P34" s="8">
        <v>67147.97</v>
      </c>
      <c r="Q34" s="3"/>
      <c r="R34" s="7">
        <f t="shared" si="4"/>
        <v>0</v>
      </c>
      <c r="S34" s="3"/>
      <c r="T34" s="8">
        <v>25362.65</v>
      </c>
      <c r="U34" s="3"/>
      <c r="V34" s="7">
        <f t="shared" si="5"/>
        <v>0</v>
      </c>
      <c r="W34" s="3"/>
      <c r="X34" s="8">
        <f t="shared" si="6"/>
        <v>41785.32</v>
      </c>
      <c r="Y34" s="3"/>
      <c r="Z34" s="7">
        <f t="shared" si="7"/>
        <v>1.6475139624605473</v>
      </c>
    </row>
    <row r="35" spans="1:26" s="69" customFormat="1" ht="15" hidden="1" customHeight="1" outlineLevel="2" x14ac:dyDescent="0.3">
      <c r="A35" s="25"/>
      <c r="B35" s="12" t="str">
        <f>CONCATENATE("          ","6005"," - ","TEMPORARY WAGES-HOURLY")</f>
        <v xml:space="preserve">          6005 - TEMPORARY WAGES-HOURLY</v>
      </c>
      <c r="C35" s="12"/>
      <c r="D35" s="8">
        <v>1659.92</v>
      </c>
      <c r="E35" s="3"/>
      <c r="F35" s="7">
        <f t="shared" si="0"/>
        <v>0</v>
      </c>
      <c r="G35" s="3"/>
      <c r="H35" s="8">
        <v>4979.6000000000004</v>
      </c>
      <c r="I35" s="3"/>
      <c r="J35" s="7">
        <f t="shared" si="1"/>
        <v>0</v>
      </c>
      <c r="K35" s="3"/>
      <c r="L35" s="8">
        <f t="shared" si="2"/>
        <v>-3319.6800000000003</v>
      </c>
      <c r="M35" s="3"/>
      <c r="N35" s="7">
        <f t="shared" si="3"/>
        <v>-0.66665595630171104</v>
      </c>
      <c r="O35" s="12"/>
      <c r="P35" s="8">
        <v>24847.05</v>
      </c>
      <c r="Q35" s="3"/>
      <c r="R35" s="7">
        <f t="shared" si="4"/>
        <v>0</v>
      </c>
      <c r="S35" s="3"/>
      <c r="T35" s="8">
        <v>65306.79</v>
      </c>
      <c r="U35" s="3"/>
      <c r="V35" s="7">
        <f t="shared" si="5"/>
        <v>0</v>
      </c>
      <c r="W35" s="3"/>
      <c r="X35" s="8">
        <f t="shared" si="6"/>
        <v>-40459.740000000005</v>
      </c>
      <c r="Y35" s="3"/>
      <c r="Z35" s="7">
        <f t="shared" si="7"/>
        <v>-0.61953343595665944</v>
      </c>
    </row>
    <row r="36" spans="1:26" s="69" customFormat="1" ht="15" hidden="1" customHeight="1" outlineLevel="2" x14ac:dyDescent="0.3">
      <c r="A36" s="25"/>
      <c r="B36" s="12" t="str">
        <f>CONCATENATE("          ","6006"," - ","TEMPORARY PART TIME")</f>
        <v xml:space="preserve">          6006 - TEMPORARY PART TIME</v>
      </c>
      <c r="C36" s="12"/>
      <c r="D36" s="8">
        <v>1071.74</v>
      </c>
      <c r="E36" s="3"/>
      <c r="F36" s="7">
        <f t="shared" si="0"/>
        <v>0</v>
      </c>
      <c r="G36" s="3"/>
      <c r="H36" s="8">
        <v>546.70000000000005</v>
      </c>
      <c r="I36" s="3"/>
      <c r="J36" s="7">
        <f t="shared" si="1"/>
        <v>0</v>
      </c>
      <c r="K36" s="3"/>
      <c r="L36" s="8">
        <f t="shared" si="2"/>
        <v>525.04</v>
      </c>
      <c r="M36" s="3"/>
      <c r="N36" s="7">
        <f t="shared" si="3"/>
        <v>0.96038046460581661</v>
      </c>
      <c r="O36" s="12"/>
      <c r="P36" s="8">
        <v>15352.11</v>
      </c>
      <c r="Q36" s="3"/>
      <c r="R36" s="7">
        <f t="shared" si="4"/>
        <v>0</v>
      </c>
      <c r="S36" s="3"/>
      <c r="T36" s="8">
        <v>10780.39</v>
      </c>
      <c r="U36" s="3"/>
      <c r="V36" s="7">
        <f t="shared" si="5"/>
        <v>0</v>
      </c>
      <c r="W36" s="3"/>
      <c r="X36" s="8">
        <f t="shared" si="6"/>
        <v>4571.7200000000012</v>
      </c>
      <c r="Y36" s="3"/>
      <c r="Z36" s="7">
        <f t="shared" si="7"/>
        <v>0.42407742205986992</v>
      </c>
    </row>
    <row r="37" spans="1:26" s="69" customFormat="1" ht="15" hidden="1" customHeight="1" outlineLevel="2" x14ac:dyDescent="0.3">
      <c r="A37" s="25"/>
      <c r="B37" s="12" t="str">
        <f>CONCATENATE("          ","6007"," - ","STUDENT HOURLY")</f>
        <v xml:space="preserve">          6007 - STUDENT HOURLY</v>
      </c>
      <c r="C37" s="12"/>
      <c r="D37" s="8">
        <v>24173.74</v>
      </c>
      <c r="E37" s="3"/>
      <c r="F37" s="7">
        <f t="shared" si="0"/>
        <v>0</v>
      </c>
      <c r="G37" s="3"/>
      <c r="H37" s="8">
        <v>11991.83</v>
      </c>
      <c r="I37" s="3"/>
      <c r="J37" s="7">
        <f t="shared" si="1"/>
        <v>0</v>
      </c>
      <c r="K37" s="3"/>
      <c r="L37" s="8">
        <f t="shared" si="2"/>
        <v>12181.910000000002</v>
      </c>
      <c r="M37" s="3"/>
      <c r="N37" s="7">
        <f t="shared" si="3"/>
        <v>1.0158507917473816</v>
      </c>
      <c r="O37" s="12"/>
      <c r="P37" s="8">
        <v>217308.59</v>
      </c>
      <c r="Q37" s="3"/>
      <c r="R37" s="7">
        <f t="shared" si="4"/>
        <v>0</v>
      </c>
      <c r="S37" s="3"/>
      <c r="T37" s="8">
        <v>154771.15</v>
      </c>
      <c r="U37" s="3"/>
      <c r="V37" s="7">
        <f t="shared" si="5"/>
        <v>0</v>
      </c>
      <c r="W37" s="3"/>
      <c r="X37" s="8">
        <f t="shared" si="6"/>
        <v>62537.440000000002</v>
      </c>
      <c r="Y37" s="3"/>
      <c r="Z37" s="7">
        <f t="shared" si="7"/>
        <v>0.4040639356882727</v>
      </c>
    </row>
    <row r="38" spans="1:26" s="69" customFormat="1" ht="15" hidden="1" customHeight="1" outlineLevel="2" x14ac:dyDescent="0.3">
      <c r="A38" s="25"/>
      <c r="B38" s="12" t="str">
        <f>CONCATENATE("          ","6008"," - ","STUDENT HOURLY-FICA EXEMPT")</f>
        <v xml:space="preserve">          6008 - STUDENT HOURLY-FICA EXEMPT</v>
      </c>
      <c r="C38" s="12"/>
      <c r="D38" s="8">
        <v>1143.05</v>
      </c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1143.05</v>
      </c>
      <c r="M38" s="3"/>
      <c r="N38" s="7">
        <f t="shared" si="3"/>
        <v>0</v>
      </c>
      <c r="O38" s="12"/>
      <c r="P38" s="8">
        <v>14318.03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14318.03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","Advertising/Promo                                 ")</f>
        <v xml:space="preserve">     Advertising/Promo                                 </v>
      </c>
      <c r="C39" s="14"/>
      <c r="D39" s="2">
        <f>SUM(OSRRefD22_2x_0)</f>
        <v>0</v>
      </c>
      <c r="E39" s="2"/>
      <c r="F39" s="6">
        <f t="shared" si="0"/>
        <v>0</v>
      </c>
      <c r="G39" s="2"/>
      <c r="H39" s="2">
        <f>SUM(OSRRefH22_2x_0)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SUM(OSRRefP22_2x_0)</f>
        <v>-366.38</v>
      </c>
      <c r="Q39" s="2"/>
      <c r="R39" s="6">
        <f t="shared" si="4"/>
        <v>0</v>
      </c>
      <c r="S39" s="2"/>
      <c r="T39" s="2">
        <f>SUM(OSRRefT22_2x_0)</f>
        <v>225</v>
      </c>
      <c r="U39" s="2"/>
      <c r="V39" s="6">
        <f t="shared" si="5"/>
        <v>0</v>
      </c>
      <c r="W39" s="2"/>
      <c r="X39" s="2">
        <f t="shared" si="6"/>
        <v>-591.38</v>
      </c>
      <c r="Y39" s="2"/>
      <c r="Z39" s="6">
        <f t="shared" si="7"/>
        <v>-2.6283555555555553</v>
      </c>
    </row>
    <row r="40" spans="1:26" s="69" customFormat="1" ht="15" hidden="1" customHeight="1" outlineLevel="2" x14ac:dyDescent="0.3">
      <c r="A40" s="25"/>
      <c r="B40" s="12" t="str">
        <f>CONCATENATE("          ","6362"," - ","ADVERTISING EXPENSE")</f>
        <v xml:space="preserve">          6362 - ADVERTISING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-366.38</v>
      </c>
      <c r="Q40" s="3"/>
      <c r="R40" s="7">
        <f t="shared" si="4"/>
        <v>0</v>
      </c>
      <c r="S40" s="3"/>
      <c r="T40" s="8">
        <v>225</v>
      </c>
      <c r="U40" s="3"/>
      <c r="V40" s="7">
        <f t="shared" si="5"/>
        <v>0</v>
      </c>
      <c r="W40" s="3"/>
      <c r="X40" s="8">
        <f t="shared" si="6"/>
        <v>-591.38</v>
      </c>
      <c r="Y40" s="3"/>
      <c r="Z40" s="7">
        <f t="shared" si="7"/>
        <v>-2.6283555555555553</v>
      </c>
    </row>
    <row r="41" spans="1:26" s="68" customFormat="1" ht="15" customHeight="1" outlineLevel="1" collapsed="1" x14ac:dyDescent="0.3">
      <c r="A41" s="26"/>
      <c r="B41" s="14" t="str">
        <f>CONCATENATE("     ","Bad Debts/Over/Short                              ")</f>
        <v xml:space="preserve">     Bad Debts/Over/Short                              </v>
      </c>
      <c r="C41" s="14"/>
      <c r="D41" s="2">
        <f>SUM(OSRRefD22_3x_0)</f>
        <v>-30.91</v>
      </c>
      <c r="E41" s="2"/>
      <c r="F41" s="6">
        <f t="shared" si="0"/>
        <v>0</v>
      </c>
      <c r="G41" s="2"/>
      <c r="H41" s="2">
        <f>SUM(OSRRefH22_3x_0)</f>
        <v>3.9</v>
      </c>
      <c r="I41" s="2"/>
      <c r="J41" s="6">
        <f t="shared" si="1"/>
        <v>0</v>
      </c>
      <c r="K41" s="2"/>
      <c r="L41" s="2">
        <f t="shared" si="2"/>
        <v>-34.81</v>
      </c>
      <c r="M41" s="2"/>
      <c r="N41" s="6">
        <f t="shared" si="3"/>
        <v>-8.9256410256410259</v>
      </c>
      <c r="O41" s="14"/>
      <c r="P41" s="2">
        <f>SUM(OSRRefP22_3x_0)</f>
        <v>110.84</v>
      </c>
      <c r="Q41" s="2"/>
      <c r="R41" s="6">
        <f t="shared" si="4"/>
        <v>0</v>
      </c>
      <c r="S41" s="2"/>
      <c r="T41" s="2">
        <f>SUM(OSRRefT22_3x_0)</f>
        <v>5206.21</v>
      </c>
      <c r="U41" s="2"/>
      <c r="V41" s="6">
        <f t="shared" si="5"/>
        <v>0</v>
      </c>
      <c r="W41" s="2"/>
      <c r="X41" s="2">
        <f t="shared" si="6"/>
        <v>-5095.37</v>
      </c>
      <c r="Y41" s="2"/>
      <c r="Z41" s="6">
        <f t="shared" si="7"/>
        <v>-0.97871004050931476</v>
      </c>
    </row>
    <row r="42" spans="1:26" s="69" customFormat="1" ht="15" hidden="1" customHeight="1" outlineLevel="2" x14ac:dyDescent="0.3">
      <c r="A42" s="25"/>
      <c r="B42" s="12" t="str">
        <f>CONCATENATE("          ","6272"," - ","CASH (OVER/SHORT)")</f>
        <v xml:space="preserve">          6272 - CASH (OVER/SHORT)</v>
      </c>
      <c r="C42" s="12"/>
      <c r="D42" s="8">
        <v>-30.91</v>
      </c>
      <c r="E42" s="3"/>
      <c r="F42" s="7">
        <f t="shared" si="0"/>
        <v>0</v>
      </c>
      <c r="G42" s="3"/>
      <c r="H42" s="8">
        <v>3.9</v>
      </c>
      <c r="I42" s="3"/>
      <c r="J42" s="7">
        <f t="shared" si="1"/>
        <v>0</v>
      </c>
      <c r="K42" s="3"/>
      <c r="L42" s="8">
        <f t="shared" si="2"/>
        <v>-34.81</v>
      </c>
      <c r="M42" s="3"/>
      <c r="N42" s="7">
        <f t="shared" si="3"/>
        <v>-8.9256410256410259</v>
      </c>
      <c r="O42" s="12"/>
      <c r="P42" s="8">
        <v>110.84</v>
      </c>
      <c r="Q42" s="3"/>
      <c r="R42" s="7">
        <f t="shared" si="4"/>
        <v>0</v>
      </c>
      <c r="S42" s="3"/>
      <c r="T42" s="8">
        <v>-143.21</v>
      </c>
      <c r="U42" s="3"/>
      <c r="V42" s="7">
        <f t="shared" si="5"/>
        <v>0</v>
      </c>
      <c r="W42" s="3"/>
      <c r="X42" s="8">
        <f t="shared" si="6"/>
        <v>254.05</v>
      </c>
      <c r="Y42" s="3"/>
      <c r="Z42" s="7">
        <f t="shared" si="7"/>
        <v>-1.773968298303191</v>
      </c>
    </row>
    <row r="43" spans="1:26" s="69" customFormat="1" ht="15" hidden="1" customHeight="1" outlineLevel="2" x14ac:dyDescent="0.3">
      <c r="A43" s="25"/>
      <c r="B43" s="12" t="str">
        <f>CONCATENATE("          ","6342"," - ","BAD DEBT")</f>
        <v xml:space="preserve">          6342 - BAD DEBT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5349.42</v>
      </c>
      <c r="U43" s="3"/>
      <c r="V43" s="7">
        <f t="shared" si="5"/>
        <v>0</v>
      </c>
      <c r="W43" s="3"/>
      <c r="X43" s="8">
        <f t="shared" si="6"/>
        <v>-5349.42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6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15573.86</v>
      </c>
      <c r="E44" s="2"/>
      <c r="F44" s="6">
        <f t="shared" si="0"/>
        <v>0</v>
      </c>
      <c r="G44" s="2"/>
      <c r="H44" s="2">
        <f>SUM(OSRRefH22_4x_0)</f>
        <v>3353.76</v>
      </c>
      <c r="I44" s="2"/>
      <c r="J44" s="6">
        <f t="shared" si="1"/>
        <v>0</v>
      </c>
      <c r="K44" s="2"/>
      <c r="L44" s="2">
        <f t="shared" si="2"/>
        <v>12220.1</v>
      </c>
      <c r="M44" s="2"/>
      <c r="N44" s="6">
        <f t="shared" si="3"/>
        <v>3.6437013978340729</v>
      </c>
      <c r="O44" s="14"/>
      <c r="P44" s="2">
        <f>SUM(OSRRefP22_4x_0)</f>
        <v>106592.47</v>
      </c>
      <c r="Q44" s="2"/>
      <c r="R44" s="6">
        <f t="shared" si="4"/>
        <v>0</v>
      </c>
      <c r="S44" s="2"/>
      <c r="T44" s="2">
        <f>SUM(OSRRefT22_4x_0)</f>
        <v>65987.11</v>
      </c>
      <c r="U44" s="2"/>
      <c r="V44" s="6">
        <f t="shared" si="5"/>
        <v>0</v>
      </c>
      <c r="W44" s="2"/>
      <c r="X44" s="2">
        <f t="shared" si="6"/>
        <v>40605.360000000001</v>
      </c>
      <c r="Y44" s="2"/>
      <c r="Z44" s="6">
        <f t="shared" si="7"/>
        <v>0.61535290756027961</v>
      </c>
    </row>
    <row r="45" spans="1:26" s="69" customFormat="1" ht="15" hidden="1" customHeight="1" outlineLevel="2" x14ac:dyDescent="0.3">
      <c r="A45" s="25"/>
      <c r="B45" s="12" t="str">
        <f>CONCATENATE("          ","6381"," - ","BANK/CREDIT CARD FEES")</f>
        <v xml:space="preserve">          6381 - BANK/CREDIT CARD FEES</v>
      </c>
      <c r="C45" s="12"/>
      <c r="D45" s="8">
        <v>15573.86</v>
      </c>
      <c r="E45" s="3"/>
      <c r="F45" s="7">
        <f t="shared" si="0"/>
        <v>0</v>
      </c>
      <c r="G45" s="3"/>
      <c r="H45" s="8">
        <v>3353.76</v>
      </c>
      <c r="I45" s="3"/>
      <c r="J45" s="7">
        <f t="shared" si="1"/>
        <v>0</v>
      </c>
      <c r="K45" s="3"/>
      <c r="L45" s="8">
        <f t="shared" si="2"/>
        <v>12220.1</v>
      </c>
      <c r="M45" s="3"/>
      <c r="N45" s="7">
        <f t="shared" si="3"/>
        <v>3.6437013978340729</v>
      </c>
      <c r="O45" s="12"/>
      <c r="P45" s="8">
        <v>106592.47</v>
      </c>
      <c r="Q45" s="3"/>
      <c r="R45" s="7">
        <f t="shared" si="4"/>
        <v>0</v>
      </c>
      <c r="S45" s="3"/>
      <c r="T45" s="8">
        <v>65987.11</v>
      </c>
      <c r="U45" s="3"/>
      <c r="V45" s="7">
        <f t="shared" si="5"/>
        <v>0</v>
      </c>
      <c r="W45" s="3"/>
      <c r="X45" s="8">
        <f t="shared" si="6"/>
        <v>40605.360000000001</v>
      </c>
      <c r="Y45" s="3"/>
      <c r="Z45" s="7">
        <f t="shared" si="7"/>
        <v>0.61535290756027961</v>
      </c>
    </row>
    <row r="46" spans="1:26" s="68" customFormat="1" ht="15" customHeight="1" outlineLevel="1" collapsed="1" x14ac:dyDescent="0.3">
      <c r="A46" s="26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27370.129999999997</v>
      </c>
      <c r="E46" s="2"/>
      <c r="F46" s="6">
        <f t="shared" si="0"/>
        <v>0</v>
      </c>
      <c r="G46" s="2"/>
      <c r="H46" s="2">
        <f>SUM(OSRRefH22_5x_0)</f>
        <v>30565.97</v>
      </c>
      <c r="I46" s="2"/>
      <c r="J46" s="6">
        <f t="shared" si="1"/>
        <v>0</v>
      </c>
      <c r="K46" s="2"/>
      <c r="L46" s="2">
        <f t="shared" si="2"/>
        <v>-3195.8400000000038</v>
      </c>
      <c r="M46" s="2"/>
      <c r="N46" s="6">
        <f t="shared" si="3"/>
        <v>-0.10455549095939058</v>
      </c>
      <c r="O46" s="14"/>
      <c r="P46" s="2">
        <f>SUM(OSRRefP22_5x_0)</f>
        <v>265907.65000000002</v>
      </c>
      <c r="Q46" s="2"/>
      <c r="R46" s="6">
        <f t="shared" si="4"/>
        <v>0</v>
      </c>
      <c r="S46" s="2"/>
      <c r="T46" s="2">
        <f>SUM(OSRRefT22_5x_0)</f>
        <v>275389.21999999997</v>
      </c>
      <c r="U46" s="2"/>
      <c r="V46" s="6">
        <f t="shared" si="5"/>
        <v>0</v>
      </c>
      <c r="W46" s="2"/>
      <c r="X46" s="2">
        <f t="shared" si="6"/>
        <v>-9481.5699999999488</v>
      </c>
      <c r="Y46" s="2"/>
      <c r="Z46" s="6">
        <f t="shared" si="7"/>
        <v>-3.4429706435131879E-2</v>
      </c>
    </row>
    <row r="47" spans="1:26" s="69" customFormat="1" ht="15" hidden="1" customHeight="1" outlineLevel="2" x14ac:dyDescent="0.3">
      <c r="A47" s="25"/>
      <c r="B47" s="12" t="str">
        <f>CONCATENATE("          ","6321"," - ","BUILDING DEPRECIATION")</f>
        <v xml:space="preserve">          6321 - BUILDING DEPRECIATION</v>
      </c>
      <c r="C47" s="12"/>
      <c r="D47" s="8">
        <v>13321.71</v>
      </c>
      <c r="E47" s="3"/>
      <c r="F47" s="7">
        <f t="shared" si="0"/>
        <v>0</v>
      </c>
      <c r="G47" s="3"/>
      <c r="H47" s="8">
        <v>16396.52</v>
      </c>
      <c r="I47" s="3"/>
      <c r="J47" s="7">
        <f t="shared" si="1"/>
        <v>0</v>
      </c>
      <c r="K47" s="3"/>
      <c r="L47" s="8">
        <f t="shared" si="2"/>
        <v>-3074.8100000000013</v>
      </c>
      <c r="M47" s="3"/>
      <c r="N47" s="7">
        <f t="shared" si="3"/>
        <v>-0.18752820720494356</v>
      </c>
      <c r="O47" s="12"/>
      <c r="P47" s="8">
        <v>139154.13</v>
      </c>
      <c r="Q47" s="3"/>
      <c r="R47" s="7">
        <f t="shared" si="4"/>
        <v>0</v>
      </c>
      <c r="S47" s="3"/>
      <c r="T47" s="8">
        <v>147568.68</v>
      </c>
      <c r="U47" s="3"/>
      <c r="V47" s="7">
        <f t="shared" si="5"/>
        <v>0</v>
      </c>
      <c r="W47" s="3"/>
      <c r="X47" s="8">
        <f t="shared" si="6"/>
        <v>-8414.5499999999884</v>
      </c>
      <c r="Y47" s="3"/>
      <c r="Z47" s="7">
        <f t="shared" si="7"/>
        <v>-5.7021245971706117E-2</v>
      </c>
    </row>
    <row r="48" spans="1:26" s="69" customFormat="1" ht="15" hidden="1" customHeight="1" outlineLevel="2" x14ac:dyDescent="0.3">
      <c r="A48" s="25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14048.42</v>
      </c>
      <c r="E48" s="3"/>
      <c r="F48" s="7">
        <f t="shared" si="0"/>
        <v>0</v>
      </c>
      <c r="G48" s="3"/>
      <c r="H48" s="8">
        <v>14169.45</v>
      </c>
      <c r="I48" s="3"/>
      <c r="J48" s="7">
        <f t="shared" si="1"/>
        <v>0</v>
      </c>
      <c r="K48" s="3"/>
      <c r="L48" s="8">
        <f t="shared" si="2"/>
        <v>-121.03000000000065</v>
      </c>
      <c r="M48" s="3"/>
      <c r="N48" s="7">
        <f t="shared" si="3"/>
        <v>-8.5416159413386292E-3</v>
      </c>
      <c r="O48" s="12"/>
      <c r="P48" s="8">
        <v>126753.52</v>
      </c>
      <c r="Q48" s="3"/>
      <c r="R48" s="7">
        <f t="shared" si="4"/>
        <v>0</v>
      </c>
      <c r="S48" s="3"/>
      <c r="T48" s="8">
        <v>127820.54</v>
      </c>
      <c r="U48" s="3"/>
      <c r="V48" s="7">
        <f t="shared" si="5"/>
        <v>0</v>
      </c>
      <c r="W48" s="3"/>
      <c r="X48" s="8">
        <f t="shared" si="6"/>
        <v>-1067.0199999999895</v>
      </c>
      <c r="Y48" s="3"/>
      <c r="Z48" s="7">
        <f t="shared" si="7"/>
        <v>-8.3477976231362307E-3</v>
      </c>
    </row>
    <row r="49" spans="1:26" s="68" customFormat="1" ht="15" customHeight="1" outlineLevel="1" collapsed="1" x14ac:dyDescent="0.3">
      <c r="A49" s="26"/>
      <c r="B49" s="14" t="str">
        <f>CONCATENATE("     ","Discounts and Markdowns                           ")</f>
        <v xml:space="preserve">     Discounts and Markdowns                           </v>
      </c>
      <c r="C49" s="14"/>
      <c r="D49" s="2">
        <f>SUM(OSRRefD22_6x_0)</f>
        <v>-7.05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-7.05</v>
      </c>
      <c r="M49" s="2"/>
      <c r="N49" s="6">
        <f t="shared" si="3"/>
        <v>0</v>
      </c>
      <c r="O49" s="14"/>
      <c r="P49" s="2">
        <f>SUM(OSRRefP22_6x_0)</f>
        <v>2056.15</v>
      </c>
      <c r="Q49" s="2"/>
      <c r="R49" s="6">
        <f t="shared" si="4"/>
        <v>0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2056.15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5"/>
      <c r="B50" s="12" t="str">
        <f>CONCATENATE("          ","6382"," - ","DISCOUNTS/MARK DOWNS")</f>
        <v xml:space="preserve">          6382 - DISCOUNTS/MARK DOWNS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2170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2170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","9175"," - ","EARNED DISCOUNTS")</f>
        <v xml:space="preserve">          9175 - EARNED DISCOUNTS</v>
      </c>
      <c r="C51" s="12"/>
      <c r="D51" s="8">
        <v>-7.05</v>
      </c>
      <c r="E51" s="3"/>
      <c r="F51" s="7">
        <f t="shared" ref="F51:F82" si="8">IF(D$12=0,0,D51/D$12)</f>
        <v>0</v>
      </c>
      <c r="G51" s="3"/>
      <c r="H51" s="8"/>
      <c r="I51" s="3"/>
      <c r="J51" s="7">
        <f t="shared" ref="J51:J82" si="9">IF(H$12=0,0,H51/H$12)</f>
        <v>0</v>
      </c>
      <c r="K51" s="3"/>
      <c r="L51" s="8">
        <f t="shared" ref="L51:L82" si="10">+D51-H51</f>
        <v>-7.05</v>
      </c>
      <c r="M51" s="3"/>
      <c r="N51" s="7">
        <f t="shared" ref="N51:N82" si="11">IF(H51=0,0,L51/H51)</f>
        <v>0</v>
      </c>
      <c r="O51" s="12"/>
      <c r="P51" s="8">
        <v>-113.85</v>
      </c>
      <c r="Q51" s="3"/>
      <c r="R51" s="7">
        <f t="shared" ref="R51:R82" si="12">IF(P$12=0,0,P51/P$12)</f>
        <v>0</v>
      </c>
      <c r="S51" s="3"/>
      <c r="T51" s="8"/>
      <c r="U51" s="3"/>
      <c r="V51" s="7">
        <f t="shared" ref="V51:V82" si="13">IF(T$12=0,0,T51/T$12)</f>
        <v>0</v>
      </c>
      <c r="W51" s="3"/>
      <c r="X51" s="8">
        <f t="shared" ref="X51:X82" si="14">+P51-T51</f>
        <v>-113.85</v>
      </c>
      <c r="Y51" s="3"/>
      <c r="Z51" s="7">
        <f t="shared" ref="Z51:Z82" si="15">IF(T51=0,0,X51/T51)</f>
        <v>0</v>
      </c>
    </row>
    <row r="52" spans="1:26" s="68" customFormat="1" ht="15" customHeight="1" outlineLevel="1" collapsed="1" x14ac:dyDescent="0.3">
      <c r="A52" s="26"/>
      <c r="B52" s="14" t="str">
        <f>CONCATENATE("     ","Donations                                         ")</f>
        <v xml:space="preserve">     Donations                                         </v>
      </c>
      <c r="C52" s="14"/>
      <c r="D52" s="2">
        <f>SUM(OSRRefD22_7x_0)</f>
        <v>0</v>
      </c>
      <c r="E52" s="2"/>
      <c r="F52" s="6">
        <f t="shared" si="8"/>
        <v>0</v>
      </c>
      <c r="G52" s="2"/>
      <c r="H52" s="2">
        <f>SUM(OSRRefH22_7x_0)</f>
        <v>0</v>
      </c>
      <c r="I52" s="2"/>
      <c r="J52" s="6">
        <f t="shared" si="9"/>
        <v>0</v>
      </c>
      <c r="K52" s="2"/>
      <c r="L52" s="2">
        <f t="shared" si="10"/>
        <v>0</v>
      </c>
      <c r="M52" s="2"/>
      <c r="N52" s="6">
        <f t="shared" si="11"/>
        <v>0</v>
      </c>
      <c r="O52" s="14"/>
      <c r="P52" s="2">
        <f>SUM(OSRRefP22_7x_0)</f>
        <v>5818.27</v>
      </c>
      <c r="Q52" s="2"/>
      <c r="R52" s="6">
        <f t="shared" si="12"/>
        <v>0</v>
      </c>
      <c r="S52" s="2"/>
      <c r="T52" s="2">
        <f>SUM(OSRRefT22_7x_0)</f>
        <v>0</v>
      </c>
      <c r="U52" s="2"/>
      <c r="V52" s="6">
        <f t="shared" si="13"/>
        <v>0</v>
      </c>
      <c r="W52" s="2"/>
      <c r="X52" s="2">
        <f t="shared" si="14"/>
        <v>5818.27</v>
      </c>
      <c r="Y52" s="2"/>
      <c r="Z52" s="6">
        <f t="shared" si="15"/>
        <v>0</v>
      </c>
    </row>
    <row r="53" spans="1:26" s="69" customFormat="1" ht="15" hidden="1" customHeight="1" outlineLevel="2" x14ac:dyDescent="0.3">
      <c r="A53" s="25"/>
      <c r="B53" s="12" t="str">
        <f>CONCATENATE("          ","6399"," - ","DONATION-ON CAMPUS")</f>
        <v xml:space="preserve">          6399 - DONATION-ON CAMPUS</v>
      </c>
      <c r="C53" s="12"/>
      <c r="D53" s="8"/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>
        <v>5818.27</v>
      </c>
      <c r="Q53" s="3"/>
      <c r="R53" s="7">
        <f t="shared" si="12"/>
        <v>0</v>
      </c>
      <c r="S53" s="3"/>
      <c r="T53" s="8"/>
      <c r="U53" s="3"/>
      <c r="V53" s="7">
        <f t="shared" si="13"/>
        <v>0</v>
      </c>
      <c r="W53" s="3"/>
      <c r="X53" s="8">
        <f t="shared" si="14"/>
        <v>5818.27</v>
      </c>
      <c r="Y53" s="3"/>
      <c r="Z53" s="7">
        <f t="shared" si="15"/>
        <v>0</v>
      </c>
    </row>
    <row r="54" spans="1:26" s="68" customFormat="1" ht="15" customHeight="1" outlineLevel="1" collapsed="1" x14ac:dyDescent="0.3">
      <c r="A54" s="26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SUM(OSRRefD22_8x_0)</f>
        <v>0</v>
      </c>
      <c r="E54" s="2"/>
      <c r="F54" s="6">
        <f t="shared" si="8"/>
        <v>0</v>
      </c>
      <c r="G54" s="2"/>
      <c r="H54" s="2">
        <f>SUM(OSRRefH22_8x_0)</f>
        <v>0</v>
      </c>
      <c r="I54" s="2"/>
      <c r="J54" s="6">
        <f t="shared" si="9"/>
        <v>0</v>
      </c>
      <c r="K54" s="2"/>
      <c r="L54" s="2">
        <f t="shared" si="10"/>
        <v>0</v>
      </c>
      <c r="M54" s="2"/>
      <c r="N54" s="6">
        <f t="shared" si="11"/>
        <v>0</v>
      </c>
      <c r="O54" s="14"/>
      <c r="P54" s="2">
        <f>SUM(OSRRefP22_8x_0)</f>
        <v>4028.75</v>
      </c>
      <c r="Q54" s="2"/>
      <c r="R54" s="6">
        <f t="shared" si="12"/>
        <v>0</v>
      </c>
      <c r="S54" s="2"/>
      <c r="T54" s="2">
        <f>SUM(OSRRefT22_8x_0)</f>
        <v>78.33</v>
      </c>
      <c r="U54" s="2"/>
      <c r="V54" s="6">
        <f t="shared" si="13"/>
        <v>0</v>
      </c>
      <c r="W54" s="2"/>
      <c r="X54" s="2">
        <f t="shared" si="14"/>
        <v>3950.42</v>
      </c>
      <c r="Y54" s="2"/>
      <c r="Z54" s="6">
        <f t="shared" si="15"/>
        <v>50.433039703817187</v>
      </c>
    </row>
    <row r="55" spans="1:26" s="69" customFormat="1" ht="15" hidden="1" customHeight="1" outlineLevel="2" x14ac:dyDescent="0.3">
      <c r="A55" s="25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4028.75</v>
      </c>
      <c r="Q55" s="3"/>
      <c r="R55" s="7">
        <f t="shared" si="12"/>
        <v>0</v>
      </c>
      <c r="S55" s="3"/>
      <c r="T55" s="8">
        <v>78.33</v>
      </c>
      <c r="U55" s="3"/>
      <c r="V55" s="7">
        <f t="shared" si="13"/>
        <v>0</v>
      </c>
      <c r="W55" s="3"/>
      <c r="X55" s="8">
        <f t="shared" si="14"/>
        <v>3950.42</v>
      </c>
      <c r="Y55" s="3"/>
      <c r="Z55" s="7">
        <f t="shared" si="15"/>
        <v>50.433039703817187</v>
      </c>
    </row>
    <row r="56" spans="1:26" s="68" customFormat="1" ht="15" customHeight="1" outlineLevel="1" collapsed="1" x14ac:dyDescent="0.3">
      <c r="A56" s="26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SUM(OSRRefD22_9x_0)</f>
        <v>415.15</v>
      </c>
      <c r="E56" s="2"/>
      <c r="F56" s="6">
        <f t="shared" si="8"/>
        <v>0</v>
      </c>
      <c r="G56" s="2"/>
      <c r="H56" s="2">
        <f>SUM(OSRRefH22_9x_0)</f>
        <v>0</v>
      </c>
      <c r="I56" s="2"/>
      <c r="J56" s="6">
        <f t="shared" si="9"/>
        <v>0</v>
      </c>
      <c r="K56" s="2"/>
      <c r="L56" s="2">
        <f t="shared" si="10"/>
        <v>415.15</v>
      </c>
      <c r="M56" s="2"/>
      <c r="N56" s="6">
        <f t="shared" si="11"/>
        <v>0</v>
      </c>
      <c r="O56" s="14"/>
      <c r="P56" s="2">
        <f>SUM(OSRRefP22_9x_0)</f>
        <v>2527.88</v>
      </c>
      <c r="Q56" s="2"/>
      <c r="R56" s="6">
        <f t="shared" si="12"/>
        <v>0</v>
      </c>
      <c r="S56" s="2"/>
      <c r="T56" s="2">
        <f>SUM(OSRRefT22_9x_0)</f>
        <v>1773.91</v>
      </c>
      <c r="U56" s="2"/>
      <c r="V56" s="6">
        <f t="shared" si="13"/>
        <v>0</v>
      </c>
      <c r="W56" s="2"/>
      <c r="X56" s="2">
        <f t="shared" si="14"/>
        <v>753.97</v>
      </c>
      <c r="Y56" s="2"/>
      <c r="Z56" s="6">
        <f t="shared" si="15"/>
        <v>0.42503283706614203</v>
      </c>
    </row>
    <row r="57" spans="1:26" s="69" customFormat="1" ht="15" hidden="1" customHeight="1" outlineLevel="2" x14ac:dyDescent="0.3">
      <c r="A57" s="25"/>
      <c r="B57" s="12" t="str">
        <f>CONCATENATE("          ","6351"," - ","EQUIPMENT RENTAL")</f>
        <v xml:space="preserve">          6351 - EQUIPMENT RENTAL</v>
      </c>
      <c r="C57" s="12"/>
      <c r="D57" s="8">
        <v>415.15</v>
      </c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415.15</v>
      </c>
      <c r="M57" s="3"/>
      <c r="N57" s="7">
        <f t="shared" si="11"/>
        <v>0</v>
      </c>
      <c r="O57" s="12"/>
      <c r="P57" s="8">
        <v>2527.88</v>
      </c>
      <c r="Q57" s="3"/>
      <c r="R57" s="7">
        <f t="shared" si="12"/>
        <v>0</v>
      </c>
      <c r="S57" s="3"/>
      <c r="T57" s="8">
        <v>1773.91</v>
      </c>
      <c r="U57" s="3"/>
      <c r="V57" s="7">
        <f t="shared" si="13"/>
        <v>0</v>
      </c>
      <c r="W57" s="3"/>
      <c r="X57" s="8">
        <f t="shared" si="14"/>
        <v>753.97</v>
      </c>
      <c r="Y57" s="3"/>
      <c r="Z57" s="7">
        <f t="shared" si="15"/>
        <v>0.42503283706614203</v>
      </c>
    </row>
    <row r="58" spans="1:26" s="68" customFormat="1" ht="15" customHeight="1" outlineLevel="1" collapsed="1" x14ac:dyDescent="0.3">
      <c r="A58" s="26"/>
      <c r="B58" s="14" t="str">
        <f>CONCATENATE("     ","Freight out/Postage                               ")</f>
        <v xml:space="preserve">     Freight out/Postage                               </v>
      </c>
      <c r="C58" s="14"/>
      <c r="D58" s="2">
        <f>SUM(OSRRefD22_10x_0)</f>
        <v>15.95</v>
      </c>
      <c r="E58" s="2"/>
      <c r="F58" s="6">
        <f t="shared" si="8"/>
        <v>0</v>
      </c>
      <c r="G58" s="2"/>
      <c r="H58" s="2">
        <f>SUM(OSRRefH22_10x_0)</f>
        <v>15.95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SUM(OSRRefP22_10x_0)</f>
        <v>11264.13</v>
      </c>
      <c r="Q58" s="2"/>
      <c r="R58" s="6">
        <f t="shared" si="12"/>
        <v>0</v>
      </c>
      <c r="S58" s="2"/>
      <c r="T58" s="2">
        <f>SUM(OSRRefT22_10x_0)</f>
        <v>2033.6</v>
      </c>
      <c r="U58" s="2"/>
      <c r="V58" s="6">
        <f t="shared" si="13"/>
        <v>0</v>
      </c>
      <c r="W58" s="2"/>
      <c r="X58" s="2">
        <f t="shared" si="14"/>
        <v>9230.5299999999988</v>
      </c>
      <c r="Y58" s="2"/>
      <c r="Z58" s="6">
        <f t="shared" si="15"/>
        <v>4.5390096380802518</v>
      </c>
    </row>
    <row r="59" spans="1:26" s="69" customFormat="1" ht="15" hidden="1" customHeight="1" outlineLevel="2" x14ac:dyDescent="0.3">
      <c r="A59" s="25"/>
      <c r="B59" s="12" t="str">
        <f>CONCATENATE("          ","6307"," - ","POSTAGE")</f>
        <v xml:space="preserve">          6307 - POSTAGE</v>
      </c>
      <c r="C59" s="12"/>
      <c r="D59" s="8">
        <v>15.95</v>
      </c>
      <c r="E59" s="3"/>
      <c r="F59" s="7">
        <f t="shared" si="8"/>
        <v>0</v>
      </c>
      <c r="G59" s="3"/>
      <c r="H59" s="8">
        <v>15.95</v>
      </c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11264.13</v>
      </c>
      <c r="Q59" s="3"/>
      <c r="R59" s="7">
        <f t="shared" si="12"/>
        <v>0</v>
      </c>
      <c r="S59" s="3"/>
      <c r="T59" s="8">
        <v>2033.6</v>
      </c>
      <c r="U59" s="3"/>
      <c r="V59" s="7">
        <f t="shared" si="13"/>
        <v>0</v>
      </c>
      <c r="W59" s="3"/>
      <c r="X59" s="8">
        <f t="shared" si="14"/>
        <v>9230.5299999999988</v>
      </c>
      <c r="Y59" s="3"/>
      <c r="Z59" s="7">
        <f t="shared" si="15"/>
        <v>4.5390096380802518</v>
      </c>
    </row>
    <row r="60" spans="1:26" s="68" customFormat="1" ht="15" customHeight="1" outlineLevel="1" collapsed="1" x14ac:dyDescent="0.3">
      <c r="A60" s="26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SUM(OSRRefD22_11x_0)</f>
        <v>72</v>
      </c>
      <c r="E60" s="2"/>
      <c r="F60" s="6">
        <f t="shared" si="8"/>
        <v>0</v>
      </c>
      <c r="G60" s="2"/>
      <c r="H60" s="2">
        <f>SUM(OSRRefH22_11x_0)</f>
        <v>0</v>
      </c>
      <c r="I60" s="2"/>
      <c r="J60" s="6">
        <f t="shared" si="9"/>
        <v>0</v>
      </c>
      <c r="K60" s="2"/>
      <c r="L60" s="2">
        <f t="shared" si="10"/>
        <v>72</v>
      </c>
      <c r="M60" s="2"/>
      <c r="N60" s="6">
        <f t="shared" si="11"/>
        <v>0</v>
      </c>
      <c r="O60" s="14"/>
      <c r="P60" s="2">
        <f>SUM(OSRRefP22_11x_0)</f>
        <v>2895.8</v>
      </c>
      <c r="Q60" s="2"/>
      <c r="R60" s="6">
        <f t="shared" si="12"/>
        <v>0</v>
      </c>
      <c r="S60" s="2"/>
      <c r="T60" s="2">
        <f>SUM(OSRRefT22_11x_0)</f>
        <v>1386.81</v>
      </c>
      <c r="U60" s="2"/>
      <c r="V60" s="6">
        <f t="shared" si="13"/>
        <v>0</v>
      </c>
      <c r="W60" s="2"/>
      <c r="X60" s="2">
        <f t="shared" si="14"/>
        <v>1508.9900000000002</v>
      </c>
      <c r="Y60" s="2"/>
      <c r="Z60" s="6">
        <f t="shared" si="15"/>
        <v>1.0881014702807164</v>
      </c>
    </row>
    <row r="61" spans="1:26" s="69" customFormat="1" ht="15" hidden="1" customHeight="1" outlineLevel="2" x14ac:dyDescent="0.3">
      <c r="A61" s="25"/>
      <c r="B61" s="12" t="str">
        <f>CONCATENATE("          ","6279"," - ","GENERAL EXPENSE")</f>
        <v xml:space="preserve">          6279 - GENERAL EXPENSE</v>
      </c>
      <c r="C61" s="12"/>
      <c r="D61" s="8">
        <v>72</v>
      </c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72</v>
      </c>
      <c r="M61" s="3"/>
      <c r="N61" s="7">
        <f t="shared" si="11"/>
        <v>0</v>
      </c>
      <c r="O61" s="12"/>
      <c r="P61" s="8">
        <v>2895.8</v>
      </c>
      <c r="Q61" s="3"/>
      <c r="R61" s="7">
        <f t="shared" si="12"/>
        <v>0</v>
      </c>
      <c r="S61" s="3"/>
      <c r="T61" s="8">
        <v>1386.81</v>
      </c>
      <c r="U61" s="3"/>
      <c r="V61" s="7">
        <f t="shared" si="13"/>
        <v>0</v>
      </c>
      <c r="W61" s="3"/>
      <c r="X61" s="8">
        <f t="shared" si="14"/>
        <v>1508.9900000000002</v>
      </c>
      <c r="Y61" s="3"/>
      <c r="Z61" s="7">
        <f t="shared" si="15"/>
        <v>1.0881014702807164</v>
      </c>
    </row>
    <row r="62" spans="1:26" s="68" customFormat="1" ht="15" customHeight="1" outlineLevel="1" collapsed="1" x14ac:dyDescent="0.3">
      <c r="A62" s="26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SUM(OSRRefD22_12x_0)</f>
        <v>5275.49</v>
      </c>
      <c r="E62" s="2"/>
      <c r="F62" s="6">
        <f t="shared" si="8"/>
        <v>0</v>
      </c>
      <c r="G62" s="2"/>
      <c r="H62" s="2">
        <f>SUM(OSRRefH22_12x_0)</f>
        <v>3883.56</v>
      </c>
      <c r="I62" s="2"/>
      <c r="J62" s="6">
        <f t="shared" si="9"/>
        <v>0</v>
      </c>
      <c r="K62" s="2"/>
      <c r="L62" s="2">
        <f t="shared" si="10"/>
        <v>1391.9299999999998</v>
      </c>
      <c r="M62" s="2"/>
      <c r="N62" s="6">
        <f t="shared" si="11"/>
        <v>0.35841598945297609</v>
      </c>
      <c r="O62" s="14"/>
      <c r="P62" s="2">
        <f>SUM(OSRRefP22_12x_0)</f>
        <v>47479.41</v>
      </c>
      <c r="Q62" s="2"/>
      <c r="R62" s="6">
        <f t="shared" si="12"/>
        <v>0</v>
      </c>
      <c r="S62" s="2"/>
      <c r="T62" s="2">
        <f>SUM(OSRRefT22_12x_0)</f>
        <v>34952.04</v>
      </c>
      <c r="U62" s="2"/>
      <c r="V62" s="6">
        <f t="shared" si="13"/>
        <v>0</v>
      </c>
      <c r="W62" s="2"/>
      <c r="X62" s="2">
        <f t="shared" si="14"/>
        <v>12527.370000000003</v>
      </c>
      <c r="Y62" s="2"/>
      <c r="Z62" s="6">
        <f t="shared" si="15"/>
        <v>0.3584159894529762</v>
      </c>
    </row>
    <row r="63" spans="1:26" s="69" customFormat="1" ht="15" hidden="1" customHeight="1" outlineLevel="2" x14ac:dyDescent="0.3">
      <c r="A63" s="25"/>
      <c r="B63" s="12" t="str">
        <f>CONCATENATE("          ","6314"," - ","LIABILITY INSURANCE")</f>
        <v xml:space="preserve">          6314 - LIABILITY INSURANCE</v>
      </c>
      <c r="C63" s="12"/>
      <c r="D63" s="8">
        <v>5275.49</v>
      </c>
      <c r="E63" s="3"/>
      <c r="F63" s="7">
        <f t="shared" si="8"/>
        <v>0</v>
      </c>
      <c r="G63" s="3"/>
      <c r="H63" s="8">
        <v>3883.56</v>
      </c>
      <c r="I63" s="3"/>
      <c r="J63" s="7">
        <f t="shared" si="9"/>
        <v>0</v>
      </c>
      <c r="K63" s="3"/>
      <c r="L63" s="8">
        <f t="shared" si="10"/>
        <v>1391.9299999999998</v>
      </c>
      <c r="M63" s="3"/>
      <c r="N63" s="7">
        <f t="shared" si="11"/>
        <v>0.35841598945297609</v>
      </c>
      <c r="O63" s="12"/>
      <c r="P63" s="8">
        <v>47479.41</v>
      </c>
      <c r="Q63" s="3"/>
      <c r="R63" s="7">
        <f t="shared" si="12"/>
        <v>0</v>
      </c>
      <c r="S63" s="3"/>
      <c r="T63" s="8">
        <v>34952.04</v>
      </c>
      <c r="U63" s="3"/>
      <c r="V63" s="7">
        <f t="shared" si="13"/>
        <v>0</v>
      </c>
      <c r="W63" s="3"/>
      <c r="X63" s="8">
        <f t="shared" si="14"/>
        <v>12527.370000000003</v>
      </c>
      <c r="Y63" s="3"/>
      <c r="Z63" s="7">
        <f t="shared" si="15"/>
        <v>0.3584159894529762</v>
      </c>
    </row>
    <row r="64" spans="1:26" s="68" customFormat="1" ht="15" customHeight="1" outlineLevel="1" collapsed="1" x14ac:dyDescent="0.3">
      <c r="A64" s="26"/>
      <c r="B64" s="14" t="str">
        <f>CONCATENATE("     ","Professional Services                             ")</f>
        <v xml:space="preserve">     Professional Services                             </v>
      </c>
      <c r="C64" s="14"/>
      <c r="D64" s="2">
        <f>SUM(OSRRefD22_13x_0)</f>
        <v>0</v>
      </c>
      <c r="E64" s="2"/>
      <c r="F64" s="6">
        <f t="shared" si="8"/>
        <v>0</v>
      </c>
      <c r="G64" s="2"/>
      <c r="H64" s="2">
        <f>SUM(OSRRefH22_13x_0)</f>
        <v>0</v>
      </c>
      <c r="I64" s="2"/>
      <c r="J64" s="6">
        <f t="shared" si="9"/>
        <v>0</v>
      </c>
      <c r="K64" s="2"/>
      <c r="L64" s="2">
        <f t="shared" si="10"/>
        <v>0</v>
      </c>
      <c r="M64" s="2"/>
      <c r="N64" s="6">
        <f t="shared" si="11"/>
        <v>0</v>
      </c>
      <c r="O64" s="14"/>
      <c r="P64" s="2">
        <f>SUM(OSRRefP22_13x_0)</f>
        <v>7517.43</v>
      </c>
      <c r="Q64" s="2"/>
      <c r="R64" s="6">
        <f t="shared" si="12"/>
        <v>0</v>
      </c>
      <c r="S64" s="2"/>
      <c r="T64" s="2">
        <f>SUM(OSRRefT22_13x_0)</f>
        <v>0</v>
      </c>
      <c r="U64" s="2"/>
      <c r="V64" s="6">
        <f t="shared" si="13"/>
        <v>0</v>
      </c>
      <c r="W64" s="2"/>
      <c r="X64" s="2">
        <f t="shared" si="14"/>
        <v>7517.43</v>
      </c>
      <c r="Y64" s="2"/>
      <c r="Z64" s="6">
        <f t="shared" si="15"/>
        <v>0</v>
      </c>
    </row>
    <row r="65" spans="1:26" s="69" customFormat="1" ht="15" hidden="1" customHeight="1" outlineLevel="2" x14ac:dyDescent="0.3">
      <c r="A65" s="25"/>
      <c r="B65" s="12" t="str">
        <f>CONCATENATE("          ","6336"," - ","PROFESSIONAL SERVICES")</f>
        <v xml:space="preserve">          6336 - PROFESSIONAL SERVICES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7517.43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7517.43</v>
      </c>
      <c r="Y65" s="3"/>
      <c r="Z65" s="7">
        <f t="shared" si="15"/>
        <v>0</v>
      </c>
    </row>
    <row r="66" spans="1:26" s="68" customFormat="1" ht="15" customHeight="1" outlineLevel="1" collapsed="1" x14ac:dyDescent="0.3">
      <c r="A66" s="26"/>
      <c r="B66" s="14" t="str">
        <f>CONCATENATE("     ","Rent                                              ")</f>
        <v xml:space="preserve">     Rent                                              </v>
      </c>
      <c r="C66" s="14"/>
      <c r="D66" s="2">
        <f>SUM(OSRRefD22_14x_0)</f>
        <v>-800</v>
      </c>
      <c r="E66" s="2"/>
      <c r="F66" s="6">
        <f t="shared" si="8"/>
        <v>0</v>
      </c>
      <c r="G66" s="2"/>
      <c r="H66" s="2">
        <f>SUM(OSRRefH22_14x_0)</f>
        <v>-800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SUM(OSRRefP22_14x_0)</f>
        <v>-7200</v>
      </c>
      <c r="Q66" s="2"/>
      <c r="R66" s="6">
        <f t="shared" si="12"/>
        <v>0</v>
      </c>
      <c r="S66" s="2"/>
      <c r="T66" s="2">
        <f>SUM(OSRRefT22_14x_0)</f>
        <v>-7200</v>
      </c>
      <c r="U66" s="2"/>
      <c r="V66" s="6">
        <f t="shared" si="13"/>
        <v>0</v>
      </c>
      <c r="W66" s="2"/>
      <c r="X66" s="2">
        <f t="shared" si="14"/>
        <v>0</v>
      </c>
      <c r="Y66" s="2"/>
      <c r="Z66" s="6">
        <f t="shared" si="15"/>
        <v>0</v>
      </c>
    </row>
    <row r="67" spans="1:26" s="69" customFormat="1" ht="15" hidden="1" customHeight="1" outlineLevel="2" x14ac:dyDescent="0.3">
      <c r="A67" s="25"/>
      <c r="B67" s="12" t="str">
        <f>CONCATENATE("          ","6273"," - ","RENT")</f>
        <v xml:space="preserve">          6273 - RENT</v>
      </c>
      <c r="C67" s="12"/>
      <c r="D67" s="8">
        <v>-800</v>
      </c>
      <c r="E67" s="3"/>
      <c r="F67" s="7">
        <f t="shared" si="8"/>
        <v>0</v>
      </c>
      <c r="G67" s="3"/>
      <c r="H67" s="8">
        <v>-800</v>
      </c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-7200</v>
      </c>
      <c r="Q67" s="3"/>
      <c r="R67" s="7">
        <f t="shared" si="12"/>
        <v>0</v>
      </c>
      <c r="S67" s="3"/>
      <c r="T67" s="8">
        <v>-7200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68" customFormat="1" ht="15" customHeight="1" outlineLevel="1" collapsed="1" x14ac:dyDescent="0.3">
      <c r="A68" s="26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SUM(OSRRefD22_15x_0)</f>
        <v>11144.42</v>
      </c>
      <c r="E68" s="2"/>
      <c r="F68" s="6">
        <f t="shared" si="8"/>
        <v>0</v>
      </c>
      <c r="G68" s="2"/>
      <c r="H68" s="2">
        <f>SUM(OSRRefH22_15x_0)</f>
        <v>1088.31</v>
      </c>
      <c r="I68" s="2"/>
      <c r="J68" s="6">
        <f t="shared" si="9"/>
        <v>0</v>
      </c>
      <c r="K68" s="2"/>
      <c r="L68" s="2">
        <f t="shared" si="10"/>
        <v>10056.11</v>
      </c>
      <c r="M68" s="2"/>
      <c r="N68" s="6">
        <f t="shared" si="11"/>
        <v>9.2401154082935939</v>
      </c>
      <c r="O68" s="14"/>
      <c r="P68" s="2">
        <f>SUM(OSRRefP22_15x_0)</f>
        <v>93940.54</v>
      </c>
      <c r="Q68" s="2"/>
      <c r="R68" s="6">
        <f t="shared" si="12"/>
        <v>0</v>
      </c>
      <c r="S68" s="2"/>
      <c r="T68" s="2">
        <f>SUM(OSRRefT22_15x_0)</f>
        <v>98659.56</v>
      </c>
      <c r="U68" s="2"/>
      <c r="V68" s="6">
        <f t="shared" si="13"/>
        <v>0</v>
      </c>
      <c r="W68" s="2"/>
      <c r="X68" s="2">
        <f t="shared" si="14"/>
        <v>-4719.0200000000041</v>
      </c>
      <c r="Y68" s="2"/>
      <c r="Z68" s="6">
        <f t="shared" si="15"/>
        <v>-4.7831350555384643E-2</v>
      </c>
    </row>
    <row r="69" spans="1:26" s="69" customFormat="1" ht="15" hidden="1" customHeight="1" outlineLevel="2" x14ac:dyDescent="0.3">
      <c r="A69" s="25"/>
      <c r="B69" s="12" t="str">
        <f>CONCATENATE("          ","6371"," - ","COMPUTER SOFTWARE MAINTENANCE")</f>
        <v xml:space="preserve">          6371 - COMPUTER SOFTWARE MAINTENANCE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56736</v>
      </c>
      <c r="Q69" s="3"/>
      <c r="R69" s="7">
        <f t="shared" si="12"/>
        <v>0</v>
      </c>
      <c r="S69" s="3"/>
      <c r="T69" s="8">
        <v>59760.03</v>
      </c>
      <c r="U69" s="3"/>
      <c r="V69" s="7">
        <f t="shared" si="13"/>
        <v>0</v>
      </c>
      <c r="W69" s="3"/>
      <c r="X69" s="8">
        <f t="shared" si="14"/>
        <v>-3024.0299999999988</v>
      </c>
      <c r="Y69" s="3"/>
      <c r="Z69" s="7">
        <f t="shared" si="15"/>
        <v>-5.0602886243530987E-2</v>
      </c>
    </row>
    <row r="70" spans="1:26" s="69" customFormat="1" ht="15" hidden="1" customHeight="1" outlineLevel="2" x14ac:dyDescent="0.3">
      <c r="A70" s="25"/>
      <c r="B70" s="12" t="str">
        <f>CONCATENATE("          ","6372"," - ","COMPUTER HARDWARE MAINTENANCE")</f>
        <v xml:space="preserve">          6372 - COMPUTER HARDWARE MAINTENANCE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/>
      <c r="Q70" s="3"/>
      <c r="R70" s="7">
        <f t="shared" si="12"/>
        <v>0</v>
      </c>
      <c r="S70" s="3"/>
      <c r="T70" s="8">
        <v>-0.63</v>
      </c>
      <c r="U70" s="3"/>
      <c r="V70" s="7">
        <f t="shared" si="13"/>
        <v>0</v>
      </c>
      <c r="W70" s="3"/>
      <c r="X70" s="8">
        <f t="shared" si="14"/>
        <v>0.63</v>
      </c>
      <c r="Y70" s="3"/>
      <c r="Z70" s="7">
        <f t="shared" si="15"/>
        <v>-1</v>
      </c>
    </row>
    <row r="71" spans="1:26" s="69" customFormat="1" ht="15" hidden="1" customHeight="1" outlineLevel="2" x14ac:dyDescent="0.3">
      <c r="A71" s="25"/>
      <c r="B71" s="12" t="str">
        <f>CONCATENATE("          ","6373"," - ","MAINTENANCE CONTRACTS")</f>
        <v xml:space="preserve">          6373 - MAINTENANCE CONTRACTS</v>
      </c>
      <c r="C71" s="12"/>
      <c r="D71" s="8">
        <v>2323.5700000000002</v>
      </c>
      <c r="E71" s="3"/>
      <c r="F71" s="7">
        <f t="shared" si="8"/>
        <v>0</v>
      </c>
      <c r="G71" s="3"/>
      <c r="H71" s="8">
        <v>1043.31</v>
      </c>
      <c r="I71" s="3"/>
      <c r="J71" s="7">
        <f t="shared" si="9"/>
        <v>0</v>
      </c>
      <c r="K71" s="3"/>
      <c r="L71" s="8">
        <f t="shared" si="10"/>
        <v>1280.2600000000002</v>
      </c>
      <c r="M71" s="3"/>
      <c r="N71" s="7">
        <f t="shared" si="11"/>
        <v>1.2271137054183323</v>
      </c>
      <c r="O71" s="12"/>
      <c r="P71" s="8">
        <v>11907.21</v>
      </c>
      <c r="Q71" s="3"/>
      <c r="R71" s="7">
        <f t="shared" si="12"/>
        <v>0</v>
      </c>
      <c r="S71" s="3"/>
      <c r="T71" s="8">
        <v>13117.12</v>
      </c>
      <c r="U71" s="3"/>
      <c r="V71" s="7">
        <f t="shared" si="13"/>
        <v>0</v>
      </c>
      <c r="W71" s="3"/>
      <c r="X71" s="8">
        <f t="shared" si="14"/>
        <v>-1209.9100000000017</v>
      </c>
      <c r="Y71" s="3"/>
      <c r="Z71" s="7">
        <f t="shared" si="15"/>
        <v>-9.2238997584835822E-2</v>
      </c>
    </row>
    <row r="72" spans="1:26" s="69" customFormat="1" ht="15" hidden="1" customHeight="1" outlineLevel="2" x14ac:dyDescent="0.3">
      <c r="A72" s="25"/>
      <c r="B72" s="12" t="str">
        <f>CONCATENATE("          ","6375"," - ","OUTSIDE REPAIRS &amp; MAINTENANCE")</f>
        <v xml:space="preserve">          6375 - OUTSIDE REPAIRS &amp; MAINTENANCE</v>
      </c>
      <c r="C72" s="12"/>
      <c r="D72" s="8">
        <v>8820.85</v>
      </c>
      <c r="E72" s="3"/>
      <c r="F72" s="7">
        <f t="shared" si="8"/>
        <v>0</v>
      </c>
      <c r="G72" s="3"/>
      <c r="H72" s="8">
        <v>45</v>
      </c>
      <c r="I72" s="3"/>
      <c r="J72" s="7">
        <f t="shared" si="9"/>
        <v>0</v>
      </c>
      <c r="K72" s="3"/>
      <c r="L72" s="8">
        <f t="shared" si="10"/>
        <v>8775.85</v>
      </c>
      <c r="M72" s="3"/>
      <c r="N72" s="7">
        <f t="shared" si="11"/>
        <v>195.01888888888891</v>
      </c>
      <c r="O72" s="12"/>
      <c r="P72" s="8">
        <v>25297.33</v>
      </c>
      <c r="Q72" s="3"/>
      <c r="R72" s="7">
        <f t="shared" si="12"/>
        <v>0</v>
      </c>
      <c r="S72" s="3"/>
      <c r="T72" s="8">
        <v>25783.040000000001</v>
      </c>
      <c r="U72" s="3"/>
      <c r="V72" s="7">
        <f t="shared" si="13"/>
        <v>0</v>
      </c>
      <c r="W72" s="3"/>
      <c r="X72" s="8">
        <f t="shared" si="14"/>
        <v>-485.70999999999913</v>
      </c>
      <c r="Y72" s="3"/>
      <c r="Z72" s="7">
        <f t="shared" si="15"/>
        <v>-1.8838352653527245E-2</v>
      </c>
    </row>
    <row r="73" spans="1:26" s="68" customFormat="1" ht="15" customHeight="1" outlineLevel="1" collapsed="1" x14ac:dyDescent="0.3">
      <c r="A73" s="26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SUM(OSRRefD22_16x_0)</f>
        <v>4165.87</v>
      </c>
      <c r="E73" s="2"/>
      <c r="F73" s="6">
        <f t="shared" si="8"/>
        <v>0</v>
      </c>
      <c r="G73" s="2"/>
      <c r="H73" s="2">
        <f>SUM(OSRRefH22_16x_0)</f>
        <v>7224.93</v>
      </c>
      <c r="I73" s="2"/>
      <c r="J73" s="6">
        <f t="shared" si="9"/>
        <v>0</v>
      </c>
      <c r="K73" s="2"/>
      <c r="L73" s="2">
        <f t="shared" si="10"/>
        <v>-3059.0600000000004</v>
      </c>
      <c r="M73" s="2"/>
      <c r="N73" s="6">
        <f t="shared" si="11"/>
        <v>-0.42340341013684568</v>
      </c>
      <c r="O73" s="14"/>
      <c r="P73" s="2">
        <f>SUM(OSRRefP22_16x_0)</f>
        <v>46134.71</v>
      </c>
      <c r="Q73" s="2"/>
      <c r="R73" s="6">
        <f t="shared" si="12"/>
        <v>0</v>
      </c>
      <c r="S73" s="2"/>
      <c r="T73" s="2">
        <f>SUM(OSRRefT22_16x_0)</f>
        <v>35511.82</v>
      </c>
      <c r="U73" s="2"/>
      <c r="V73" s="6">
        <f t="shared" si="13"/>
        <v>0</v>
      </c>
      <c r="W73" s="2"/>
      <c r="X73" s="2">
        <f t="shared" si="14"/>
        <v>10622.89</v>
      </c>
      <c r="Y73" s="2"/>
      <c r="Z73" s="6">
        <f t="shared" si="15"/>
        <v>0.29913673813395086</v>
      </c>
    </row>
    <row r="74" spans="1:26" s="69" customFormat="1" ht="15" hidden="1" customHeight="1" outlineLevel="2" x14ac:dyDescent="0.3">
      <c r="A74" s="25"/>
      <c r="B74" s="12" t="str">
        <f>CONCATENATE("          ","6282"," - ","JANITORIAL/EXTERMINATOR EXPENS")</f>
        <v xml:space="preserve">          6282 - JANITORIAL/EXTERMINATOR EXPENS</v>
      </c>
      <c r="C74" s="12"/>
      <c r="D74" s="8">
        <v>140.65</v>
      </c>
      <c r="E74" s="3"/>
      <c r="F74" s="7">
        <f t="shared" si="8"/>
        <v>0</v>
      </c>
      <c r="G74" s="3"/>
      <c r="H74" s="8">
        <v>453</v>
      </c>
      <c r="I74" s="3"/>
      <c r="J74" s="7">
        <f t="shared" si="9"/>
        <v>0</v>
      </c>
      <c r="K74" s="3"/>
      <c r="L74" s="8">
        <f t="shared" si="10"/>
        <v>-312.35000000000002</v>
      </c>
      <c r="M74" s="3"/>
      <c r="N74" s="7">
        <f t="shared" si="11"/>
        <v>-0.68951434878587203</v>
      </c>
      <c r="O74" s="12"/>
      <c r="P74" s="8">
        <v>1917.03</v>
      </c>
      <c r="Q74" s="3"/>
      <c r="R74" s="7">
        <f t="shared" si="12"/>
        <v>0</v>
      </c>
      <c r="S74" s="3"/>
      <c r="T74" s="8">
        <v>7230.12</v>
      </c>
      <c r="U74" s="3"/>
      <c r="V74" s="7">
        <f t="shared" si="13"/>
        <v>0</v>
      </c>
      <c r="W74" s="3"/>
      <c r="X74" s="8">
        <f t="shared" si="14"/>
        <v>-5313.09</v>
      </c>
      <c r="Y74" s="3"/>
      <c r="Z74" s="7">
        <f t="shared" si="15"/>
        <v>-0.73485502315314277</v>
      </c>
    </row>
    <row r="75" spans="1:26" s="69" customFormat="1" ht="15" hidden="1" customHeight="1" outlineLevel="2" x14ac:dyDescent="0.3">
      <c r="A75" s="25"/>
      <c r="B75" s="12" t="str">
        <f>CONCATENATE("          ","6283"," - ","PLANT SERVICE")</f>
        <v xml:space="preserve">          6283 - PLANT SERVICE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/>
      <c r="Q75" s="3"/>
      <c r="R75" s="7">
        <f t="shared" si="12"/>
        <v>0</v>
      </c>
      <c r="S75" s="3"/>
      <c r="T75" s="8">
        <v>130</v>
      </c>
      <c r="U75" s="3"/>
      <c r="V75" s="7">
        <f t="shared" si="13"/>
        <v>0</v>
      </c>
      <c r="W75" s="3"/>
      <c r="X75" s="8">
        <f t="shared" si="14"/>
        <v>-130</v>
      </c>
      <c r="Y75" s="3"/>
      <c r="Z75" s="7">
        <f t="shared" si="15"/>
        <v>-1</v>
      </c>
    </row>
    <row r="76" spans="1:26" s="69" customFormat="1" ht="15" hidden="1" customHeight="1" outlineLevel="2" x14ac:dyDescent="0.3">
      <c r="A76" s="25"/>
      <c r="B76" s="12" t="str">
        <f>CONCATENATE("          ","6285"," - ","JANITORIAL SERVICES")</f>
        <v xml:space="preserve">          6285 - JANITORIAL SERVICES</v>
      </c>
      <c r="C76" s="12"/>
      <c r="D76" s="8">
        <v>4025.22</v>
      </c>
      <c r="E76" s="3"/>
      <c r="F76" s="7">
        <f t="shared" si="8"/>
        <v>0</v>
      </c>
      <c r="G76" s="3"/>
      <c r="H76" s="8">
        <v>6771.93</v>
      </c>
      <c r="I76" s="3"/>
      <c r="J76" s="7">
        <f t="shared" si="9"/>
        <v>0</v>
      </c>
      <c r="K76" s="3"/>
      <c r="L76" s="8">
        <f t="shared" si="10"/>
        <v>-2746.7100000000005</v>
      </c>
      <c r="M76" s="3"/>
      <c r="N76" s="7">
        <f t="shared" si="11"/>
        <v>-0.40560224337818029</v>
      </c>
      <c r="O76" s="12"/>
      <c r="P76" s="8">
        <v>44217.68</v>
      </c>
      <c r="Q76" s="3"/>
      <c r="R76" s="7">
        <f t="shared" si="12"/>
        <v>0</v>
      </c>
      <c r="S76" s="3"/>
      <c r="T76" s="8">
        <v>28151.7</v>
      </c>
      <c r="U76" s="3"/>
      <c r="V76" s="7">
        <f t="shared" si="13"/>
        <v>0</v>
      </c>
      <c r="W76" s="3"/>
      <c r="X76" s="8">
        <f t="shared" si="14"/>
        <v>16065.98</v>
      </c>
      <c r="Y76" s="3"/>
      <c r="Z76" s="7">
        <f t="shared" si="15"/>
        <v>0.57069306649332008</v>
      </c>
    </row>
    <row r="77" spans="1:26" s="68" customFormat="1" ht="15" customHeight="1" outlineLevel="1" collapsed="1" x14ac:dyDescent="0.3">
      <c r="A77" s="26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2">
        <f>SUM(OSRRefD22_17x_0)</f>
        <v>0</v>
      </c>
      <c r="E77" s="2"/>
      <c r="F77" s="6">
        <f t="shared" si="8"/>
        <v>0</v>
      </c>
      <c r="G77" s="2"/>
      <c r="H77" s="2">
        <f>SUM(OSRRefH22_17x_0)</f>
        <v>0</v>
      </c>
      <c r="I77" s="2"/>
      <c r="J77" s="6">
        <f t="shared" si="9"/>
        <v>0</v>
      </c>
      <c r="K77" s="2"/>
      <c r="L77" s="2">
        <f t="shared" si="10"/>
        <v>0</v>
      </c>
      <c r="M77" s="2"/>
      <c r="N77" s="6">
        <f t="shared" si="11"/>
        <v>0</v>
      </c>
      <c r="O77" s="14"/>
      <c r="P77" s="2">
        <f>SUM(OSRRefP22_17x_0)</f>
        <v>-120</v>
      </c>
      <c r="Q77" s="2"/>
      <c r="R77" s="6">
        <f t="shared" si="12"/>
        <v>0</v>
      </c>
      <c r="S77" s="2"/>
      <c r="T77" s="2">
        <f>SUM(OSRRefT22_17x_0)</f>
        <v>0</v>
      </c>
      <c r="U77" s="2"/>
      <c r="V77" s="6">
        <f t="shared" si="13"/>
        <v>0</v>
      </c>
      <c r="W77" s="2"/>
      <c r="X77" s="2">
        <f t="shared" si="14"/>
        <v>-120</v>
      </c>
      <c r="Y77" s="2"/>
      <c r="Z77" s="6">
        <f t="shared" si="15"/>
        <v>0</v>
      </c>
    </row>
    <row r="78" spans="1:26" s="69" customFormat="1" ht="15" hidden="1" customHeight="1" outlineLevel="2" x14ac:dyDescent="0.3">
      <c r="A78" s="25"/>
      <c r="B78" s="12" t="str">
        <f>CONCATENATE("          ","6258"," - ","MEMBERSHIP DUES")</f>
        <v xml:space="preserve">          6258 - MEMBERSHIP DUES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-120</v>
      </c>
      <c r="Q78" s="3"/>
      <c r="R78" s="7">
        <f t="shared" si="12"/>
        <v>0</v>
      </c>
      <c r="S78" s="3"/>
      <c r="T78" s="8"/>
      <c r="U78" s="3"/>
      <c r="V78" s="7">
        <f t="shared" si="13"/>
        <v>0</v>
      </c>
      <c r="W78" s="3"/>
      <c r="X78" s="8">
        <f t="shared" si="14"/>
        <v>-120</v>
      </c>
      <c r="Y78" s="3"/>
      <c r="Z78" s="7">
        <f t="shared" si="15"/>
        <v>0</v>
      </c>
    </row>
    <row r="79" spans="1:26" s="68" customFormat="1" ht="15" customHeight="1" outlineLevel="1" collapsed="1" x14ac:dyDescent="0.3">
      <c r="A79" s="26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SUM(OSRRefD22_18x_0)</f>
        <v>1852.75</v>
      </c>
      <c r="E79" s="2"/>
      <c r="F79" s="6">
        <f t="shared" si="8"/>
        <v>0</v>
      </c>
      <c r="G79" s="2"/>
      <c r="H79" s="2">
        <f>SUM(OSRRefH22_18x_0)</f>
        <v>1071.1300000000001</v>
      </c>
      <c r="I79" s="2"/>
      <c r="J79" s="6">
        <f t="shared" si="9"/>
        <v>0</v>
      </c>
      <c r="K79" s="2"/>
      <c r="L79" s="2">
        <f t="shared" si="10"/>
        <v>781.61999999999989</v>
      </c>
      <c r="M79" s="2"/>
      <c r="N79" s="6">
        <f t="shared" si="11"/>
        <v>0.72971534734345955</v>
      </c>
      <c r="O79" s="14"/>
      <c r="P79" s="2">
        <f>SUM(OSRRefP22_18x_0)</f>
        <v>38069.22</v>
      </c>
      <c r="Q79" s="2"/>
      <c r="R79" s="6">
        <f t="shared" si="12"/>
        <v>0</v>
      </c>
      <c r="S79" s="2"/>
      <c r="T79" s="2">
        <f>SUM(OSRRefT22_18x_0)</f>
        <v>59399.05000000001</v>
      </c>
      <c r="U79" s="2"/>
      <c r="V79" s="6">
        <f t="shared" si="13"/>
        <v>0</v>
      </c>
      <c r="W79" s="2"/>
      <c r="X79" s="2">
        <f t="shared" si="14"/>
        <v>-21329.830000000009</v>
      </c>
      <c r="Y79" s="2"/>
      <c r="Z79" s="6">
        <f t="shared" si="15"/>
        <v>-0.35909379022055077</v>
      </c>
    </row>
    <row r="80" spans="1:26" s="69" customFormat="1" ht="15" hidden="1" customHeight="1" outlineLevel="2" x14ac:dyDescent="0.3">
      <c r="A80" s="25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8"/>
        <v>0</v>
      </c>
      <c r="G80" s="3"/>
      <c r="H80" s="8"/>
      <c r="I80" s="3"/>
      <c r="J80" s="7">
        <f t="shared" si="9"/>
        <v>0</v>
      </c>
      <c r="K80" s="3"/>
      <c r="L80" s="8">
        <f t="shared" si="10"/>
        <v>0</v>
      </c>
      <c r="M80" s="3"/>
      <c r="N80" s="7">
        <f t="shared" si="11"/>
        <v>0</v>
      </c>
      <c r="O80" s="12"/>
      <c r="P80" s="8">
        <v>3896.02</v>
      </c>
      <c r="Q80" s="3"/>
      <c r="R80" s="7">
        <f t="shared" si="12"/>
        <v>0</v>
      </c>
      <c r="S80" s="3"/>
      <c r="T80" s="8">
        <v>-449.34</v>
      </c>
      <c r="U80" s="3"/>
      <c r="V80" s="7">
        <f t="shared" si="13"/>
        <v>0</v>
      </c>
      <c r="W80" s="3"/>
      <c r="X80" s="8">
        <f t="shared" si="14"/>
        <v>4345.3599999999997</v>
      </c>
      <c r="Y80" s="3"/>
      <c r="Z80" s="7">
        <f t="shared" si="15"/>
        <v>-9.6705390127742916</v>
      </c>
    </row>
    <row r="81" spans="1:26" s="69" customFormat="1" ht="15" hidden="1" customHeight="1" outlineLevel="2" x14ac:dyDescent="0.3">
      <c r="A81" s="25"/>
      <c r="B81" s="12" t="str">
        <f>CONCATENATE("          ","6235"," - ","COVID-19 EXPENSES")</f>
        <v xml:space="preserve">          6235 - COVID-19 EXPENSES</v>
      </c>
      <c r="C81" s="12"/>
      <c r="D81" s="8"/>
      <c r="E81" s="3"/>
      <c r="F81" s="7">
        <f t="shared" si="8"/>
        <v>0</v>
      </c>
      <c r="G81" s="3"/>
      <c r="H81" s="8">
        <v>370.83</v>
      </c>
      <c r="I81" s="3"/>
      <c r="J81" s="7">
        <f t="shared" si="9"/>
        <v>0</v>
      </c>
      <c r="K81" s="3"/>
      <c r="L81" s="8">
        <f t="shared" si="10"/>
        <v>-370.83</v>
      </c>
      <c r="M81" s="3"/>
      <c r="N81" s="7">
        <f t="shared" si="11"/>
        <v>-1</v>
      </c>
      <c r="O81" s="12"/>
      <c r="P81" s="8">
        <v>3430.32</v>
      </c>
      <c r="Q81" s="3"/>
      <c r="R81" s="7">
        <f t="shared" si="12"/>
        <v>0</v>
      </c>
      <c r="S81" s="3"/>
      <c r="T81" s="8">
        <v>35614.660000000003</v>
      </c>
      <c r="U81" s="3"/>
      <c r="V81" s="7">
        <f t="shared" si="13"/>
        <v>0</v>
      </c>
      <c r="W81" s="3"/>
      <c r="X81" s="8">
        <f t="shared" si="14"/>
        <v>-32184.340000000004</v>
      </c>
      <c r="Y81" s="3"/>
      <c r="Z81" s="7">
        <f t="shared" si="15"/>
        <v>-0.90368236001691438</v>
      </c>
    </row>
    <row r="82" spans="1:26" s="69" customFormat="1" ht="15" hidden="1" customHeight="1" outlineLevel="2" x14ac:dyDescent="0.3">
      <c r="A82" s="25"/>
      <c r="B82" s="12" t="str">
        <f>CONCATENATE("          ","6237"," - ","JANITORIAL SUPPLIES")</f>
        <v xml:space="preserve">          6237 - JANITORIAL SUPPLIES</v>
      </c>
      <c r="C82" s="12"/>
      <c r="D82" s="8">
        <v>257.99</v>
      </c>
      <c r="E82" s="3"/>
      <c r="F82" s="7">
        <f t="shared" si="8"/>
        <v>0</v>
      </c>
      <c r="G82" s="3"/>
      <c r="H82" s="8">
        <v>637.59</v>
      </c>
      <c r="I82" s="3"/>
      <c r="J82" s="7">
        <f t="shared" si="9"/>
        <v>0</v>
      </c>
      <c r="K82" s="3"/>
      <c r="L82" s="8">
        <f t="shared" si="10"/>
        <v>-379.6</v>
      </c>
      <c r="M82" s="3"/>
      <c r="N82" s="7">
        <f t="shared" si="11"/>
        <v>-0.59536692859047347</v>
      </c>
      <c r="O82" s="12"/>
      <c r="P82" s="8">
        <v>4711.99</v>
      </c>
      <c r="Q82" s="3"/>
      <c r="R82" s="7">
        <f t="shared" si="12"/>
        <v>0</v>
      </c>
      <c r="S82" s="3"/>
      <c r="T82" s="8">
        <v>2709.5</v>
      </c>
      <c r="U82" s="3"/>
      <c r="V82" s="7">
        <f t="shared" si="13"/>
        <v>0</v>
      </c>
      <c r="W82" s="3"/>
      <c r="X82" s="8">
        <f t="shared" si="14"/>
        <v>2002.4899999999998</v>
      </c>
      <c r="Y82" s="3"/>
      <c r="Z82" s="7">
        <f t="shared" si="15"/>
        <v>0.7390625576674662</v>
      </c>
    </row>
    <row r="83" spans="1:26" s="69" customFormat="1" ht="15" hidden="1" customHeight="1" outlineLevel="2" x14ac:dyDescent="0.3">
      <c r="A83" s="25"/>
      <c r="B83" s="12" t="str">
        <f>CONCATENATE("          ","6241"," - ","OFFICE EXPENSE")</f>
        <v xml:space="preserve">          6241 - OFFICE EXPENSE</v>
      </c>
      <c r="C83" s="12"/>
      <c r="D83" s="8">
        <v>429.16</v>
      </c>
      <c r="E83" s="3"/>
      <c r="F83" s="7">
        <f t="shared" ref="F83:F94" si="16">IF(D$12=0,0,D83/D$12)</f>
        <v>0</v>
      </c>
      <c r="G83" s="3"/>
      <c r="H83" s="8">
        <v>22.91</v>
      </c>
      <c r="I83" s="3"/>
      <c r="J83" s="7">
        <f t="shared" ref="J83:J94" si="17">IF(H$12=0,0,H83/H$12)</f>
        <v>0</v>
      </c>
      <c r="K83" s="3"/>
      <c r="L83" s="8">
        <f t="shared" ref="L83:L94" si="18">+D83-H83</f>
        <v>406.25</v>
      </c>
      <c r="M83" s="3"/>
      <c r="N83" s="7">
        <f t="shared" ref="N83:N94" si="19">IF(H83=0,0,L83/H83)</f>
        <v>17.732431252728066</v>
      </c>
      <c r="O83" s="12"/>
      <c r="P83" s="8">
        <v>1918.49</v>
      </c>
      <c r="Q83" s="3"/>
      <c r="R83" s="7">
        <f t="shared" ref="R83:R94" si="20">IF(P$12=0,0,P83/P$12)</f>
        <v>0</v>
      </c>
      <c r="S83" s="3"/>
      <c r="T83" s="8">
        <v>2862.89</v>
      </c>
      <c r="U83" s="3"/>
      <c r="V83" s="7">
        <f t="shared" ref="V83:V94" si="21">IF(T$12=0,0,T83/T$12)</f>
        <v>0</v>
      </c>
      <c r="W83" s="3"/>
      <c r="X83" s="8">
        <f t="shared" ref="X83:X94" si="22">+P83-T83</f>
        <v>-944.39999999999986</v>
      </c>
      <c r="Y83" s="3"/>
      <c r="Z83" s="7">
        <f t="shared" ref="Z83:Z94" si="23">IF(T83=0,0,X83/T83)</f>
        <v>-0.32987645351375705</v>
      </c>
    </row>
    <row r="84" spans="1:26" s="69" customFormat="1" ht="15" hidden="1" customHeight="1" outlineLevel="2" x14ac:dyDescent="0.3">
      <c r="A84" s="25"/>
      <c r="B84" s="12" t="str">
        <f>CONCATENATE("          ","6245"," - ","PRINTING")</f>
        <v xml:space="preserve">          6245 - PRINTING</v>
      </c>
      <c r="C84" s="12"/>
      <c r="D84" s="8"/>
      <c r="E84" s="3"/>
      <c r="F84" s="7">
        <f t="shared" si="16"/>
        <v>0</v>
      </c>
      <c r="G84" s="3"/>
      <c r="H84" s="8"/>
      <c r="I84" s="3"/>
      <c r="J84" s="7">
        <f t="shared" si="17"/>
        <v>0</v>
      </c>
      <c r="K84" s="3"/>
      <c r="L84" s="8">
        <f t="shared" si="18"/>
        <v>0</v>
      </c>
      <c r="M84" s="3"/>
      <c r="N84" s="7">
        <f t="shared" si="19"/>
        <v>0</v>
      </c>
      <c r="O84" s="12"/>
      <c r="P84" s="8">
        <v>1618.44</v>
      </c>
      <c r="Q84" s="3"/>
      <c r="R84" s="7">
        <f t="shared" si="20"/>
        <v>0</v>
      </c>
      <c r="S84" s="3"/>
      <c r="T84" s="8">
        <v>68.66</v>
      </c>
      <c r="U84" s="3"/>
      <c r="V84" s="7">
        <f t="shared" si="21"/>
        <v>0</v>
      </c>
      <c r="W84" s="3"/>
      <c r="X84" s="8">
        <f t="shared" si="22"/>
        <v>1549.78</v>
      </c>
      <c r="Y84" s="3"/>
      <c r="Z84" s="7">
        <f t="shared" si="23"/>
        <v>22.571803087678415</v>
      </c>
    </row>
    <row r="85" spans="1:26" s="69" customFormat="1" ht="15" hidden="1" customHeight="1" outlineLevel="2" x14ac:dyDescent="0.3">
      <c r="A85" s="25"/>
      <c r="B85" s="12" t="str">
        <f>CONCATENATE("          ","6247"," - ","STORE SUPPLIES")</f>
        <v xml:space="preserve">          6247 - STORE SUPPLIES</v>
      </c>
      <c r="C85" s="12"/>
      <c r="D85" s="8">
        <v>1165.5999999999999</v>
      </c>
      <c r="E85" s="3"/>
      <c r="F85" s="7">
        <f t="shared" si="16"/>
        <v>0</v>
      </c>
      <c r="G85" s="3"/>
      <c r="H85" s="8">
        <v>39.799999999999997</v>
      </c>
      <c r="I85" s="3"/>
      <c r="J85" s="7">
        <f t="shared" si="17"/>
        <v>0</v>
      </c>
      <c r="K85" s="3"/>
      <c r="L85" s="8">
        <f t="shared" si="18"/>
        <v>1125.8</v>
      </c>
      <c r="M85" s="3"/>
      <c r="N85" s="7">
        <f t="shared" si="19"/>
        <v>28.286432160804022</v>
      </c>
      <c r="O85" s="12"/>
      <c r="P85" s="8">
        <v>22493.96</v>
      </c>
      <c r="Q85" s="3"/>
      <c r="R85" s="7">
        <f t="shared" si="20"/>
        <v>0</v>
      </c>
      <c r="S85" s="3"/>
      <c r="T85" s="8">
        <v>18592.68</v>
      </c>
      <c r="U85" s="3"/>
      <c r="V85" s="7">
        <f t="shared" si="21"/>
        <v>0</v>
      </c>
      <c r="W85" s="3"/>
      <c r="X85" s="8">
        <f t="shared" si="22"/>
        <v>3901.2799999999988</v>
      </c>
      <c r="Y85" s="3"/>
      <c r="Z85" s="7">
        <f t="shared" si="23"/>
        <v>0.20982881435059383</v>
      </c>
    </row>
    <row r="86" spans="1:26" s="68" customFormat="1" ht="15" customHeight="1" outlineLevel="1" collapsed="1" x14ac:dyDescent="0.3">
      <c r="A86" s="26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SUM(OSRRefD22_19x_0)</f>
        <v>570.5</v>
      </c>
      <c r="E86" s="2"/>
      <c r="F86" s="6">
        <f t="shared" si="16"/>
        <v>0</v>
      </c>
      <c r="G86" s="2"/>
      <c r="H86" s="2">
        <f>SUM(OSRRefH22_19x_0)</f>
        <v>559.66999999999996</v>
      </c>
      <c r="I86" s="2"/>
      <c r="J86" s="6">
        <f t="shared" si="17"/>
        <v>0</v>
      </c>
      <c r="K86" s="2"/>
      <c r="L86" s="2">
        <f t="shared" si="18"/>
        <v>10.830000000000041</v>
      </c>
      <c r="M86" s="2"/>
      <c r="N86" s="6">
        <f t="shared" si="19"/>
        <v>1.9350688798756486E-2</v>
      </c>
      <c r="O86" s="14"/>
      <c r="P86" s="2">
        <f>SUM(OSRRefP22_19x_0)</f>
        <v>5343.22</v>
      </c>
      <c r="Q86" s="2"/>
      <c r="R86" s="6">
        <f t="shared" si="20"/>
        <v>0</v>
      </c>
      <c r="S86" s="2"/>
      <c r="T86" s="2">
        <f>SUM(OSRRefT22_19x_0)</f>
        <v>5229.54</v>
      </c>
      <c r="U86" s="2"/>
      <c r="V86" s="6">
        <f t="shared" si="21"/>
        <v>0</v>
      </c>
      <c r="W86" s="2"/>
      <c r="X86" s="2">
        <f t="shared" si="22"/>
        <v>113.68000000000029</v>
      </c>
      <c r="Y86" s="2"/>
      <c r="Z86" s="6">
        <f t="shared" si="23"/>
        <v>2.1738049618130906E-2</v>
      </c>
    </row>
    <row r="87" spans="1:26" s="69" customFormat="1" ht="15" hidden="1" customHeight="1" outlineLevel="2" x14ac:dyDescent="0.3">
      <c r="A87" s="25"/>
      <c r="B87" s="12" t="str">
        <f>CONCATENATE("          ","6309"," - ","TELEPHONE")</f>
        <v xml:space="preserve">          6309 - TELEPHONE</v>
      </c>
      <c r="C87" s="12"/>
      <c r="D87" s="8">
        <v>570.5</v>
      </c>
      <c r="E87" s="3"/>
      <c r="F87" s="7">
        <f t="shared" si="16"/>
        <v>0</v>
      </c>
      <c r="G87" s="3"/>
      <c r="H87" s="8">
        <v>559.66999999999996</v>
      </c>
      <c r="I87" s="3"/>
      <c r="J87" s="7">
        <f t="shared" si="17"/>
        <v>0</v>
      </c>
      <c r="K87" s="3"/>
      <c r="L87" s="8">
        <f t="shared" si="18"/>
        <v>10.830000000000041</v>
      </c>
      <c r="M87" s="3"/>
      <c r="N87" s="7">
        <f t="shared" si="19"/>
        <v>1.9350688798756486E-2</v>
      </c>
      <c r="O87" s="12"/>
      <c r="P87" s="8">
        <v>5343.22</v>
      </c>
      <c r="Q87" s="3"/>
      <c r="R87" s="7">
        <f t="shared" si="20"/>
        <v>0</v>
      </c>
      <c r="S87" s="3"/>
      <c r="T87" s="8">
        <v>5229.54</v>
      </c>
      <c r="U87" s="3"/>
      <c r="V87" s="7">
        <f t="shared" si="21"/>
        <v>0</v>
      </c>
      <c r="W87" s="3"/>
      <c r="X87" s="8">
        <f t="shared" si="22"/>
        <v>113.68000000000029</v>
      </c>
      <c r="Y87" s="3"/>
      <c r="Z87" s="7">
        <f t="shared" si="23"/>
        <v>2.1738049618130906E-2</v>
      </c>
    </row>
    <row r="88" spans="1:26" s="68" customFormat="1" ht="15" customHeight="1" outlineLevel="1" collapsed="1" x14ac:dyDescent="0.3">
      <c r="A88" s="26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SUM(OSRRefD22_20x_0)</f>
        <v>199</v>
      </c>
      <c r="E88" s="2"/>
      <c r="F88" s="6">
        <f t="shared" si="16"/>
        <v>0</v>
      </c>
      <c r="G88" s="2"/>
      <c r="H88" s="2">
        <f>SUM(OSRRefH22_20x_0)</f>
        <v>0</v>
      </c>
      <c r="I88" s="2"/>
      <c r="J88" s="6">
        <f t="shared" si="17"/>
        <v>0</v>
      </c>
      <c r="K88" s="2"/>
      <c r="L88" s="2">
        <f t="shared" si="18"/>
        <v>199</v>
      </c>
      <c r="M88" s="2"/>
      <c r="N88" s="6">
        <f t="shared" si="19"/>
        <v>0</v>
      </c>
      <c r="O88" s="14"/>
      <c r="P88" s="2">
        <f>SUM(OSRRefP22_20x_0)</f>
        <v>794</v>
      </c>
      <c r="Q88" s="2"/>
      <c r="R88" s="6">
        <f t="shared" si="20"/>
        <v>0</v>
      </c>
      <c r="S88" s="2"/>
      <c r="T88" s="2">
        <f>SUM(OSRRefT22_20x_0)</f>
        <v>881.63</v>
      </c>
      <c r="U88" s="2"/>
      <c r="V88" s="6">
        <f t="shared" si="21"/>
        <v>0</v>
      </c>
      <c r="W88" s="2"/>
      <c r="X88" s="2">
        <f t="shared" si="22"/>
        <v>-87.63</v>
      </c>
      <c r="Y88" s="2"/>
      <c r="Z88" s="6">
        <f t="shared" si="23"/>
        <v>-9.9395437995530994E-2</v>
      </c>
    </row>
    <row r="89" spans="1:26" s="69" customFormat="1" ht="15" hidden="1" customHeight="1" outlineLevel="2" x14ac:dyDescent="0.3">
      <c r="A89" s="25"/>
      <c r="B89" s="12" t="str">
        <f>CONCATENATE("          ","6376"," - ","TRAINING")</f>
        <v xml:space="preserve">          6376 - TRAINING</v>
      </c>
      <c r="C89" s="12"/>
      <c r="D89" s="8">
        <v>199</v>
      </c>
      <c r="E89" s="3"/>
      <c r="F89" s="7">
        <f t="shared" si="16"/>
        <v>0</v>
      </c>
      <c r="G89" s="3"/>
      <c r="H89" s="8"/>
      <c r="I89" s="3"/>
      <c r="J89" s="7">
        <f t="shared" si="17"/>
        <v>0</v>
      </c>
      <c r="K89" s="3"/>
      <c r="L89" s="8">
        <f t="shared" si="18"/>
        <v>199</v>
      </c>
      <c r="M89" s="3"/>
      <c r="N89" s="7">
        <f t="shared" si="19"/>
        <v>0</v>
      </c>
      <c r="O89" s="12"/>
      <c r="P89" s="8">
        <v>794</v>
      </c>
      <c r="Q89" s="3"/>
      <c r="R89" s="7">
        <f t="shared" si="20"/>
        <v>0</v>
      </c>
      <c r="S89" s="3"/>
      <c r="T89" s="8">
        <v>881.63</v>
      </c>
      <c r="U89" s="3"/>
      <c r="V89" s="7">
        <f t="shared" si="21"/>
        <v>0</v>
      </c>
      <c r="W89" s="3"/>
      <c r="X89" s="8">
        <f t="shared" si="22"/>
        <v>-87.63</v>
      </c>
      <c r="Y89" s="3"/>
      <c r="Z89" s="7">
        <f t="shared" si="23"/>
        <v>-9.9395437995530994E-2</v>
      </c>
    </row>
    <row r="90" spans="1:26" s="68" customFormat="1" ht="15" customHeight="1" outlineLevel="1" collapsed="1" x14ac:dyDescent="0.3">
      <c r="A90" s="26"/>
      <c r="B90" s="14" t="str">
        <f>CONCATENATE("     ","Travel                                            ")</f>
        <v xml:space="preserve">     Travel                                            </v>
      </c>
      <c r="C90" s="14"/>
      <c r="D90" s="2">
        <f>SUM(OSRRefD22_21x_0)</f>
        <v>0</v>
      </c>
      <c r="E90" s="2"/>
      <c r="F90" s="6">
        <f t="shared" si="16"/>
        <v>0</v>
      </c>
      <c r="G90" s="2"/>
      <c r="H90" s="2">
        <f>SUM(OSRRefH22_21x_0)</f>
        <v>0</v>
      </c>
      <c r="I90" s="2"/>
      <c r="J90" s="6">
        <f t="shared" si="17"/>
        <v>0</v>
      </c>
      <c r="K90" s="2"/>
      <c r="L90" s="2">
        <f t="shared" si="18"/>
        <v>0</v>
      </c>
      <c r="M90" s="2"/>
      <c r="N90" s="6">
        <f t="shared" si="19"/>
        <v>0</v>
      </c>
      <c r="O90" s="14"/>
      <c r="P90" s="2">
        <f>SUM(OSRRefP22_21x_0)</f>
        <v>732.09</v>
      </c>
      <c r="Q90" s="2"/>
      <c r="R90" s="6">
        <f t="shared" si="20"/>
        <v>0</v>
      </c>
      <c r="S90" s="2"/>
      <c r="T90" s="2">
        <f>SUM(OSRRefT22_21x_0)</f>
        <v>358.89</v>
      </c>
      <c r="U90" s="2"/>
      <c r="V90" s="6">
        <f t="shared" si="21"/>
        <v>0</v>
      </c>
      <c r="W90" s="2"/>
      <c r="X90" s="2">
        <f t="shared" si="22"/>
        <v>373.20000000000005</v>
      </c>
      <c r="Y90" s="2"/>
      <c r="Z90" s="6">
        <f t="shared" si="23"/>
        <v>1.0398729415698404</v>
      </c>
    </row>
    <row r="91" spans="1:26" s="69" customFormat="1" ht="15" hidden="1" customHeight="1" outlineLevel="2" x14ac:dyDescent="0.3">
      <c r="A91" s="25"/>
      <c r="B91" s="12" t="str">
        <f>CONCATENATE("          ","6292"," - ","TRAVEL/CONFERENCE")</f>
        <v xml:space="preserve">          6292 - TRAVEL/CONFERENCE</v>
      </c>
      <c r="C91" s="12"/>
      <c r="D91" s="8"/>
      <c r="E91" s="3"/>
      <c r="F91" s="7">
        <f t="shared" si="16"/>
        <v>0</v>
      </c>
      <c r="G91" s="3"/>
      <c r="H91" s="8"/>
      <c r="I91" s="3"/>
      <c r="J91" s="7">
        <f t="shared" si="17"/>
        <v>0</v>
      </c>
      <c r="K91" s="3"/>
      <c r="L91" s="8">
        <f t="shared" si="18"/>
        <v>0</v>
      </c>
      <c r="M91" s="3"/>
      <c r="N91" s="7">
        <f t="shared" si="19"/>
        <v>0</v>
      </c>
      <c r="O91" s="12"/>
      <c r="P91" s="8">
        <v>495</v>
      </c>
      <c r="Q91" s="3"/>
      <c r="R91" s="7">
        <f t="shared" si="20"/>
        <v>0</v>
      </c>
      <c r="S91" s="3"/>
      <c r="T91" s="8">
        <v>299</v>
      </c>
      <c r="U91" s="3"/>
      <c r="V91" s="7">
        <f t="shared" si="21"/>
        <v>0</v>
      </c>
      <c r="W91" s="3"/>
      <c r="X91" s="8">
        <f t="shared" si="22"/>
        <v>196</v>
      </c>
      <c r="Y91" s="3"/>
      <c r="Z91" s="7">
        <f t="shared" si="23"/>
        <v>0.65551839464882944</v>
      </c>
    </row>
    <row r="92" spans="1:26" s="69" customFormat="1" ht="15" hidden="1" customHeight="1" outlineLevel="2" x14ac:dyDescent="0.3">
      <c r="A92" s="25"/>
      <c r="B92" s="12" t="str">
        <f>CONCATENATE("          ","6298"," - ","VEHICLE MILEAGE")</f>
        <v xml:space="preserve">          6298 - VEHICLE MILEAGE</v>
      </c>
      <c r="C92" s="12"/>
      <c r="D92" s="8"/>
      <c r="E92" s="3"/>
      <c r="F92" s="7">
        <f t="shared" si="16"/>
        <v>0</v>
      </c>
      <c r="G92" s="3"/>
      <c r="H92" s="8"/>
      <c r="I92" s="3"/>
      <c r="J92" s="7">
        <f t="shared" si="17"/>
        <v>0</v>
      </c>
      <c r="K92" s="3"/>
      <c r="L92" s="8">
        <f t="shared" si="18"/>
        <v>0</v>
      </c>
      <c r="M92" s="3"/>
      <c r="N92" s="7">
        <f t="shared" si="19"/>
        <v>0</v>
      </c>
      <c r="O92" s="12"/>
      <c r="P92" s="8">
        <v>237.09</v>
      </c>
      <c r="Q92" s="3"/>
      <c r="R92" s="7">
        <f t="shared" si="20"/>
        <v>0</v>
      </c>
      <c r="S92" s="3"/>
      <c r="T92" s="8">
        <v>59.89</v>
      </c>
      <c r="U92" s="3"/>
      <c r="V92" s="7">
        <f t="shared" si="21"/>
        <v>0</v>
      </c>
      <c r="W92" s="3"/>
      <c r="X92" s="8">
        <f t="shared" si="22"/>
        <v>177.2</v>
      </c>
      <c r="Y92" s="3"/>
      <c r="Z92" s="7">
        <f t="shared" si="23"/>
        <v>2.9587577224912338</v>
      </c>
    </row>
    <row r="93" spans="1:26" s="68" customFormat="1" ht="15" customHeight="1" outlineLevel="1" collapsed="1" x14ac:dyDescent="0.3">
      <c r="A93" s="26"/>
      <c r="B93" s="14" t="str">
        <f>CONCATENATE("     ","Utilities                                         ")</f>
        <v xml:space="preserve">     Utilities                                         </v>
      </c>
      <c r="C93" s="14"/>
      <c r="D93" s="2">
        <f>SUM(OSRRefD22_22x_0)</f>
        <v>6000</v>
      </c>
      <c r="E93" s="2"/>
      <c r="F93" s="6">
        <f t="shared" si="16"/>
        <v>0</v>
      </c>
      <c r="G93" s="2"/>
      <c r="H93" s="2">
        <f>SUM(OSRRefH22_22x_0)</f>
        <v>3399</v>
      </c>
      <c r="I93" s="2"/>
      <c r="J93" s="6">
        <f t="shared" si="17"/>
        <v>0</v>
      </c>
      <c r="K93" s="2"/>
      <c r="L93" s="2">
        <f t="shared" si="18"/>
        <v>2601</v>
      </c>
      <c r="M93" s="2"/>
      <c r="N93" s="6">
        <f t="shared" si="19"/>
        <v>0.76522506619594</v>
      </c>
      <c r="O93" s="14"/>
      <c r="P93" s="2">
        <f>SUM(OSRRefP22_22x_0)</f>
        <v>48000</v>
      </c>
      <c r="Q93" s="2"/>
      <c r="R93" s="6">
        <f t="shared" si="20"/>
        <v>0</v>
      </c>
      <c r="S93" s="2"/>
      <c r="T93" s="2">
        <f>SUM(OSRRefT22_22x_0)</f>
        <v>52267</v>
      </c>
      <c r="U93" s="2"/>
      <c r="V93" s="6">
        <f t="shared" si="21"/>
        <v>0</v>
      </c>
      <c r="W93" s="2"/>
      <c r="X93" s="2">
        <f t="shared" si="22"/>
        <v>-4267</v>
      </c>
      <c r="Y93" s="2"/>
      <c r="Z93" s="6">
        <f t="shared" si="23"/>
        <v>-8.1638509958482403E-2</v>
      </c>
    </row>
    <row r="94" spans="1:26" s="69" customFormat="1" ht="15" hidden="1" customHeight="1" outlineLevel="2" x14ac:dyDescent="0.3">
      <c r="A94" s="25"/>
      <c r="B94" s="12" t="str">
        <f>CONCATENATE("          ","6274"," - ","UTILITIES")</f>
        <v xml:space="preserve">          6274 - UTILITIES</v>
      </c>
      <c r="C94" s="12"/>
      <c r="D94" s="8">
        <v>6000</v>
      </c>
      <c r="E94" s="3"/>
      <c r="F94" s="7">
        <f t="shared" si="16"/>
        <v>0</v>
      </c>
      <c r="G94" s="3"/>
      <c r="H94" s="8">
        <v>3399</v>
      </c>
      <c r="I94" s="3"/>
      <c r="J94" s="7">
        <f t="shared" si="17"/>
        <v>0</v>
      </c>
      <c r="K94" s="3"/>
      <c r="L94" s="8">
        <f t="shared" si="18"/>
        <v>2601</v>
      </c>
      <c r="M94" s="3"/>
      <c r="N94" s="7">
        <f t="shared" si="19"/>
        <v>0.76522506619594</v>
      </c>
      <c r="O94" s="12"/>
      <c r="P94" s="8">
        <v>48000</v>
      </c>
      <c r="Q94" s="3"/>
      <c r="R94" s="7">
        <f t="shared" si="20"/>
        <v>0</v>
      </c>
      <c r="S94" s="3"/>
      <c r="T94" s="8">
        <v>52267</v>
      </c>
      <c r="U94" s="3"/>
      <c r="V94" s="7">
        <f t="shared" si="21"/>
        <v>0</v>
      </c>
      <c r="W94" s="3"/>
      <c r="X94" s="8">
        <f t="shared" si="22"/>
        <v>-4267</v>
      </c>
      <c r="Y94" s="3"/>
      <c r="Z94" s="7">
        <f t="shared" si="23"/>
        <v>-8.1638509958482403E-2</v>
      </c>
    </row>
    <row r="95" spans="1:26" s="64" customFormat="1" ht="15" customHeight="1" x14ac:dyDescent="0.3">
      <c r="A95" s="36"/>
      <c r="B95" s="36"/>
      <c r="C95" s="36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O95" s="3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s="62" customFormat="1" ht="15" customHeight="1" collapsed="1" x14ac:dyDescent="0.3">
      <c r="A96" s="11"/>
      <c r="B96" s="28" t="s">
        <v>290</v>
      </c>
      <c r="C96" s="11"/>
      <c r="D96" s="5">
        <f>SUM(OSRRefD25x_0)</f>
        <v>7296.65</v>
      </c>
      <c r="E96" s="5"/>
      <c r="F96" s="13">
        <f>IF(D$12=0,0,D96/D$12)</f>
        <v>0</v>
      </c>
      <c r="G96" s="5"/>
      <c r="H96" s="5">
        <f>SUM(OSRRefH25x_0)</f>
        <v>2385.89</v>
      </c>
      <c r="I96" s="5"/>
      <c r="J96" s="13">
        <f>IF(H$12=0,0,H96/H$12)</f>
        <v>0</v>
      </c>
      <c r="K96" s="5"/>
      <c r="L96" s="5">
        <f>+D96-H96</f>
        <v>4910.76</v>
      </c>
      <c r="M96" s="5"/>
      <c r="N96" s="13">
        <f>IF(H96=0,0,L96/H96)</f>
        <v>2.0582507994920136</v>
      </c>
      <c r="O96" s="11"/>
      <c r="P96" s="5">
        <f>SUM(OSRRefP25x_0)</f>
        <v>211665.09</v>
      </c>
      <c r="Q96" s="5"/>
      <c r="R96" s="13">
        <f>IF(P$12=0,0,P96/P$12)</f>
        <v>0</v>
      </c>
      <c r="S96" s="5"/>
      <c r="T96" s="5">
        <f>SUM(OSRRefT25x_0)</f>
        <v>177654.33</v>
      </c>
      <c r="U96" s="5"/>
      <c r="V96" s="13">
        <f>IF(T$12=0,0,T96/T$12)</f>
        <v>0</v>
      </c>
      <c r="W96" s="5"/>
      <c r="X96" s="5">
        <f>+P96-T96</f>
        <v>34010.760000000009</v>
      </c>
      <c r="Y96" s="5"/>
      <c r="Z96" s="13">
        <f>IF(T96=0,0,X96/T96)</f>
        <v>0.19144346214359093</v>
      </c>
    </row>
    <row r="97" spans="1:26" s="69" customFormat="1" ht="15" hidden="1" customHeight="1" outlineLevel="1" x14ac:dyDescent="0.3">
      <c r="A97" s="42"/>
      <c r="B97" s="12" t="str">
        <f>CONCATENATE("          ","9150"," - ","MISC. INCOME")</f>
        <v xml:space="preserve">          9150 - MISC. INCOME</v>
      </c>
      <c r="C97" s="12"/>
      <c r="D97" s="3">
        <f>--7296.65</f>
        <v>7296.65</v>
      </c>
      <c r="E97" s="3"/>
      <c r="F97" s="20">
        <f>IF(D$12=0,0,D97/D$12)</f>
        <v>0</v>
      </c>
      <c r="G97" s="3"/>
      <c r="H97" s="3">
        <f>--2385.89</f>
        <v>2385.89</v>
      </c>
      <c r="I97" s="3"/>
      <c r="J97" s="20">
        <f>IF(H$12=0,0,H97/H$12)</f>
        <v>0</v>
      </c>
      <c r="K97" s="3"/>
      <c r="L97" s="3">
        <f>+D97-H97</f>
        <v>4910.76</v>
      </c>
      <c r="M97" s="3"/>
      <c r="N97" s="20">
        <f>IF(H97=0,0,L97/H97)</f>
        <v>2.0582507994920136</v>
      </c>
      <c r="O97" s="12"/>
      <c r="P97" s="3">
        <f>--211665.09</f>
        <v>211665.09</v>
      </c>
      <c r="Q97" s="3"/>
      <c r="R97" s="20">
        <f>IF(P$12=0,0,P97/P$12)</f>
        <v>0</v>
      </c>
      <c r="S97" s="3"/>
      <c r="T97" s="3">
        <f>--177654.33</f>
        <v>177654.33</v>
      </c>
      <c r="U97" s="3"/>
      <c r="V97" s="20">
        <f>IF(T$12=0,0,T97/T$12)</f>
        <v>0</v>
      </c>
      <c r="W97" s="3"/>
      <c r="X97" s="3">
        <f>+P97-T97</f>
        <v>34010.760000000009</v>
      </c>
      <c r="Y97" s="3"/>
      <c r="Z97" s="20">
        <f>IF(T97=0,0,X97/T97)</f>
        <v>0.19144346214359093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7" t="s">
        <v>291</v>
      </c>
      <c r="C99" s="27"/>
      <c r="D99" s="22">
        <f>+D17-D19+D96</f>
        <v>-127695.68000000002</v>
      </c>
      <c r="E99" s="15"/>
      <c r="F99" s="21">
        <f>IF(D$12=0,0,D99/D$12)</f>
        <v>0</v>
      </c>
      <c r="G99" s="15"/>
      <c r="H99" s="22">
        <f>+H17-H19+H96</f>
        <v>-93484.13</v>
      </c>
      <c r="I99" s="15"/>
      <c r="J99" s="21">
        <f>IF(H$12=0,0,H99/H$12)</f>
        <v>0</v>
      </c>
      <c r="K99" s="17"/>
      <c r="L99" s="22">
        <f>+D99-H99</f>
        <v>-34211.550000000017</v>
      </c>
      <c r="M99" s="17"/>
      <c r="N99" s="21">
        <f>IF(H99=0,0,L99/H99)</f>
        <v>0.365961046008558</v>
      </c>
      <c r="O99" s="28"/>
      <c r="P99" s="22">
        <f>+P17-P19+P96</f>
        <v>-1081280.0799999998</v>
      </c>
      <c r="Q99" s="15"/>
      <c r="R99" s="21">
        <f>IF(P$12=0,0,P99/P$12)</f>
        <v>0</v>
      </c>
      <c r="S99" s="15"/>
      <c r="T99" s="22">
        <f>+T17-T19+T96</f>
        <v>-917761.59000000043</v>
      </c>
      <c r="U99" s="15"/>
      <c r="V99" s="21">
        <f>IF(T$12=0,0,T99/T$12)</f>
        <v>0</v>
      </c>
      <c r="W99" s="17"/>
      <c r="X99" s="22">
        <f>+P99-T99</f>
        <v>-163518.48999999941</v>
      </c>
      <c r="Y99" s="17"/>
      <c r="Z99" s="21">
        <f>IF(T99=0,0,X99/T99)</f>
        <v>0.17817098882946206</v>
      </c>
    </row>
    <row r="100" spans="1:26" ht="15" customHeight="1" x14ac:dyDescent="0.3">
      <c r="A100" s="10"/>
      <c r="B100" s="11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2" customFormat="1" ht="15" customHeight="1" x14ac:dyDescent="0.3">
      <c r="A101" s="48"/>
      <c r="B101" s="11" t="s">
        <v>292</v>
      </c>
      <c r="C101" s="11"/>
      <c r="D101" s="5"/>
      <c r="E101" s="5"/>
      <c r="F101" s="13">
        <f>IF(D$12=0,0,D101/D$12)</f>
        <v>0</v>
      </c>
      <c r="G101" s="5"/>
      <c r="H101" s="5"/>
      <c r="I101" s="5"/>
      <c r="J101" s="13">
        <f>IF(H$12=0,0,H101/H$12)</f>
        <v>0</v>
      </c>
      <c r="K101" s="5"/>
      <c r="L101" s="5">
        <f>+D101-H101</f>
        <v>0</v>
      </c>
      <c r="M101" s="5"/>
      <c r="N101" s="13">
        <f>IF(H101=0,0,L101/H101)</f>
        <v>0</v>
      </c>
      <c r="O101" s="11"/>
      <c r="P101" s="5"/>
      <c r="Q101" s="5"/>
      <c r="R101" s="13">
        <f>IF(P$12=0,0,P101/P$12)</f>
        <v>0</v>
      </c>
      <c r="S101" s="5"/>
      <c r="T101" s="5"/>
      <c r="U101" s="5"/>
      <c r="V101" s="13">
        <f>IF(T$12=0,0,T101/T$12)</f>
        <v>0</v>
      </c>
      <c r="W101" s="5"/>
      <c r="X101" s="5">
        <f>+P101-T101</f>
        <v>0</v>
      </c>
      <c r="Y101" s="5"/>
      <c r="Z101" s="13">
        <f>IF(T101=0,0,X101/T101)</f>
        <v>0</v>
      </c>
    </row>
    <row r="102" spans="1:26" ht="15" customHeight="1" x14ac:dyDescent="0.3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7" t="s">
        <v>293</v>
      </c>
      <c r="C103" s="27"/>
      <c r="D103" s="34">
        <f>+D99-D101</f>
        <v>-127695.68000000002</v>
      </c>
      <c r="E103" s="15"/>
      <c r="F103" s="33">
        <f>IF(D$12=0,0,D103/D$12)</f>
        <v>0</v>
      </c>
      <c r="G103" s="15"/>
      <c r="H103" s="34">
        <f>+H99-H101</f>
        <v>-93484.13</v>
      </c>
      <c r="I103" s="15"/>
      <c r="J103" s="33">
        <f>IF(H$12=0,0,H103/H$12)</f>
        <v>0</v>
      </c>
      <c r="K103" s="17"/>
      <c r="L103" s="34">
        <f>D103-H103</f>
        <v>-34211.550000000017</v>
      </c>
      <c r="M103" s="17"/>
      <c r="N103" s="33">
        <f>IF(H103=0,0,L103/H103)</f>
        <v>0.365961046008558</v>
      </c>
      <c r="O103" s="28"/>
      <c r="P103" s="34">
        <f>+P99-P101</f>
        <v>-1081280.0799999998</v>
      </c>
      <c r="Q103" s="15"/>
      <c r="R103" s="33">
        <f>IF(P$12=0,0,P103/P$12)</f>
        <v>0</v>
      </c>
      <c r="S103" s="15"/>
      <c r="T103" s="34">
        <f>+T99-T101</f>
        <v>-917761.59000000043</v>
      </c>
      <c r="U103" s="15"/>
      <c r="V103" s="33">
        <f>IF(T$12=0,0,T103/T$12)</f>
        <v>0</v>
      </c>
      <c r="W103" s="17"/>
      <c r="X103" s="34">
        <f>P103-T103</f>
        <v>-163518.48999999941</v>
      </c>
      <c r="Y103" s="17"/>
      <c r="Z103" s="33">
        <f>IF(T103=0,0,X103/T103)</f>
        <v>0.17817098882946206</v>
      </c>
    </row>
    <row r="104" spans="1:26" ht="15" customHeight="1" x14ac:dyDescent="0.3">
      <c r="A104" s="10"/>
      <c r="B104" s="10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ht="15" customHeight="1" x14ac:dyDescent="0.3">
      <c r="A105" s="10"/>
      <c r="B105" s="10"/>
      <c r="C105" s="10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2" customFormat="1" ht="15" customHeight="1" x14ac:dyDescent="0.3">
      <c r="A106" s="11"/>
      <c r="B106" s="27" t="s">
        <v>296</v>
      </c>
      <c r="C106" s="27"/>
      <c r="D106" s="31">
        <f>SUM(D103:D105)</f>
        <v>-127695.68000000002</v>
      </c>
      <c r="E106" s="15"/>
      <c r="F106" s="32">
        <f>IF(D$12=0,0,D106/D$12)</f>
        <v>0</v>
      </c>
      <c r="G106" s="15"/>
      <c r="H106" s="31">
        <f>SUM(H103:H105)</f>
        <v>-93484.13</v>
      </c>
      <c r="I106" s="15"/>
      <c r="J106" s="32">
        <f>IF(H$12=0,0,H106/H$12)</f>
        <v>0</v>
      </c>
      <c r="K106" s="17"/>
      <c r="L106" s="31">
        <f>+D106-H106</f>
        <v>-34211.550000000017</v>
      </c>
      <c r="M106" s="17"/>
      <c r="N106" s="32">
        <f>IF(H106=0,0,L106/H106)</f>
        <v>0.365961046008558</v>
      </c>
      <c r="O106" s="28"/>
      <c r="P106" s="31">
        <f>SUM(P103:P105)</f>
        <v>-1081280.0799999998</v>
      </c>
      <c r="Q106" s="15"/>
      <c r="R106" s="32">
        <f>IF(P$12=0,0,P106/P$12)</f>
        <v>0</v>
      </c>
      <c r="S106" s="15"/>
      <c r="T106" s="31">
        <f>SUM(T103:T105)</f>
        <v>-917761.59000000043</v>
      </c>
      <c r="U106" s="15"/>
      <c r="V106" s="32">
        <f>IF(T$12=0,0,T106/T$12)</f>
        <v>0</v>
      </c>
      <c r="W106" s="17"/>
      <c r="X106" s="31">
        <f>+P106-T106</f>
        <v>-163518.48999999941</v>
      </c>
      <c r="Y106" s="17"/>
      <c r="Z106" s="32">
        <f>IF(T106=0,0,X106/T106)</f>
        <v>0.17817098882946206</v>
      </c>
    </row>
    <row r="107" spans="1:26" ht="15" customHeight="1" x14ac:dyDescent="0.3">
      <c r="A107" s="10"/>
      <c r="C107" s="10"/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A108" s="10"/>
      <c r="B108" s="56">
        <v>44663.03859679398</v>
      </c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A109" s="10"/>
      <c r="B109" s="57" t="s">
        <v>297</v>
      </c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  <row r="110" spans="1:26" ht="15" customHeight="1" x14ac:dyDescent="0.3">
      <c r="A110" s="10"/>
      <c r="B110" s="58"/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C6B4-1C05-4F7C-84C5-F7277D83C3A1}">
  <sheetPr>
    <tabColor rgb="FFFFFF00"/>
    <outlinePr summaryBelow="0" summaryRight="0"/>
  </sheetPr>
  <dimension ref="A2:Z12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305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22895.32</v>
      </c>
      <c r="E12" s="5"/>
      <c r="F12" s="13"/>
      <c r="G12" s="5"/>
      <c r="H12" s="5">
        <f>SUM(OSRRefH13x_0)</f>
        <v>14994.939999999999</v>
      </c>
      <c r="I12" s="5"/>
      <c r="J12" s="13"/>
      <c r="K12" s="5"/>
      <c r="L12" s="5">
        <f t="shared" ref="L12:L38" si="0">+D12-H12</f>
        <v>7900.380000000001</v>
      </c>
      <c r="M12" s="5"/>
      <c r="N12" s="13">
        <f t="shared" ref="N12:N38" si="1">IF(H12=0,0,L12/H12)</f>
        <v>0.52686973072249721</v>
      </c>
      <c r="O12" s="11"/>
      <c r="P12" s="5">
        <f>SUM(OSRRefP13x_0)</f>
        <v>2151365.1500000004</v>
      </c>
      <c r="Q12" s="5"/>
      <c r="R12" s="13"/>
      <c r="S12" s="5"/>
      <c r="T12" s="5">
        <f>SUM(OSRRefT13x_0)</f>
        <v>2653985.3899999997</v>
      </c>
      <c r="U12" s="5"/>
      <c r="V12" s="13"/>
      <c r="W12" s="5"/>
      <c r="X12" s="5">
        <f t="shared" ref="X12:X38" si="2">+P12-T12</f>
        <v>-502620.23999999929</v>
      </c>
      <c r="Y12" s="5"/>
      <c r="Z12" s="13">
        <f t="shared" ref="Z12:Z38" si="3">IF(T12=0,0,X12/T12)</f>
        <v>-0.18938319777261448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--26193.43</f>
        <v>26193.43</v>
      </c>
      <c r="E13" s="3"/>
      <c r="F13" s="20"/>
      <c r="G13" s="3"/>
      <c r="H13" s="3">
        <f>-301.5</f>
        <v>-301.5</v>
      </c>
      <c r="I13" s="3"/>
      <c r="J13" s="20"/>
      <c r="K13" s="3"/>
      <c r="L13" s="3">
        <f t="shared" si="0"/>
        <v>26494.93</v>
      </c>
      <c r="M13" s="3"/>
      <c r="N13" s="20">
        <f t="shared" si="1"/>
        <v>-87.877048092868989</v>
      </c>
      <c r="O13" s="12"/>
      <c r="P13" s="3">
        <f>--1626712.26</f>
        <v>1626712.26</v>
      </c>
      <c r="Q13" s="3"/>
      <c r="R13" s="20"/>
      <c r="S13" s="3"/>
      <c r="T13" s="3">
        <f>-8358.81</f>
        <v>-8358.81</v>
      </c>
      <c r="U13" s="3"/>
      <c r="V13" s="20"/>
      <c r="W13" s="3"/>
      <c r="X13" s="3">
        <f t="shared" si="2"/>
        <v>1635071.07</v>
      </c>
      <c r="Y13" s="3"/>
      <c r="Z13" s="20">
        <f t="shared" si="3"/>
        <v>-195.61050795507975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--7739.23</f>
        <v>7739.23</v>
      </c>
      <c r="I14" s="3"/>
      <c r="J14" s="20"/>
      <c r="K14" s="3"/>
      <c r="L14" s="3">
        <f t="shared" si="0"/>
        <v>-7739.23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--1232463.24</f>
        <v>1232463.24</v>
      </c>
      <c r="U14" s="3"/>
      <c r="V14" s="20"/>
      <c r="W14" s="3"/>
      <c r="X14" s="3">
        <f t="shared" si="2"/>
        <v>-1232463.24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--1662.85</f>
        <v>1662.85</v>
      </c>
      <c r="I15" s="3"/>
      <c r="J15" s="20"/>
      <c r="K15" s="3"/>
      <c r="L15" s="3">
        <f t="shared" si="0"/>
        <v>-1662.85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--576797.33</f>
        <v>576797.32999999996</v>
      </c>
      <c r="U15" s="3"/>
      <c r="V15" s="20"/>
      <c r="W15" s="3"/>
      <c r="X15" s="3">
        <f t="shared" si="2"/>
        <v>-576797.32999999996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--49.99</f>
        <v>49.99</v>
      </c>
      <c r="I16" s="3"/>
      <c r="J16" s="20"/>
      <c r="K16" s="3"/>
      <c r="L16" s="3">
        <f t="shared" si="0"/>
        <v>-49.99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--17977.88</f>
        <v>17977.88</v>
      </c>
      <c r="U16" s="3"/>
      <c r="V16" s="20"/>
      <c r="W16" s="3"/>
      <c r="X16" s="3">
        <f t="shared" si="2"/>
        <v>-17977.88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--29.21</f>
        <v>29.21</v>
      </c>
      <c r="I18" s="3"/>
      <c r="J18" s="20"/>
      <c r="K18" s="3"/>
      <c r="L18" s="3">
        <f t="shared" si="0"/>
        <v>-29.21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--1202.02</f>
        <v>1202.02</v>
      </c>
      <c r="U18" s="3"/>
      <c r="V18" s="20"/>
      <c r="W18" s="3"/>
      <c r="X18" s="3">
        <f t="shared" si="2"/>
        <v>-1202.02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--35.82</f>
        <v>35.82</v>
      </c>
      <c r="I19" s="3"/>
      <c r="J19" s="20"/>
      <c r="K19" s="3"/>
      <c r="L19" s="3">
        <f t="shared" si="0"/>
        <v>-35.82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--447.7</f>
        <v>447.7</v>
      </c>
      <c r="U19" s="3"/>
      <c r="V19" s="20"/>
      <c r="W19" s="3"/>
      <c r="X19" s="3">
        <f t="shared" si="2"/>
        <v>-447.7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--67.3</f>
        <v>67.3</v>
      </c>
      <c r="I20" s="3"/>
      <c r="J20" s="20"/>
      <c r="K20" s="3"/>
      <c r="L20" s="3">
        <f t="shared" si="0"/>
        <v>-67.3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--400.14</f>
        <v>400.14</v>
      </c>
      <c r="U20" s="3"/>
      <c r="V20" s="20"/>
      <c r="W20" s="3"/>
      <c r="X20" s="3">
        <f t="shared" si="2"/>
        <v>-400.14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--1597.61</f>
        <v>1597.61</v>
      </c>
      <c r="E21" s="3"/>
      <c r="F21" s="20"/>
      <c r="G21" s="3"/>
      <c r="H21" s="3">
        <f>--2050.54</f>
        <v>2050.54</v>
      </c>
      <c r="I21" s="3"/>
      <c r="J21" s="20"/>
      <c r="K21" s="3"/>
      <c r="L21" s="3">
        <f t="shared" si="0"/>
        <v>-452.93000000000006</v>
      </c>
      <c r="M21" s="3"/>
      <c r="N21" s="20">
        <f t="shared" si="1"/>
        <v>-0.22088327952636869</v>
      </c>
      <c r="O21" s="12"/>
      <c r="P21" s="3">
        <f>--616942.81</f>
        <v>616942.81000000006</v>
      </c>
      <c r="Q21" s="3"/>
      <c r="R21" s="20"/>
      <c r="S21" s="3"/>
      <c r="T21" s="3">
        <f>--286224.1</f>
        <v>286224.09999999998</v>
      </c>
      <c r="U21" s="3"/>
      <c r="V21" s="20"/>
      <c r="W21" s="3"/>
      <c r="X21" s="3">
        <f t="shared" si="2"/>
        <v>330718.71000000008</v>
      </c>
      <c r="Y21" s="3"/>
      <c r="Z21" s="20">
        <f t="shared" si="3"/>
        <v>1.1554537510992264</v>
      </c>
    </row>
    <row r="22" spans="1:26" s="69" customFormat="1" ht="15" hidden="1" customHeight="1" outlineLevel="1" x14ac:dyDescent="0.3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--1044.17</f>
        <v>1044.17</v>
      </c>
      <c r="I22" s="3"/>
      <c r="J22" s="20"/>
      <c r="K22" s="3"/>
      <c r="L22" s="3">
        <f t="shared" si="0"/>
        <v>-1044.17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--112055.71</f>
        <v>112055.71</v>
      </c>
      <c r="U22" s="3"/>
      <c r="V22" s="20"/>
      <c r="W22" s="3"/>
      <c r="X22" s="3">
        <f t="shared" si="2"/>
        <v>-112055.71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--1572.06</f>
        <v>1572.06</v>
      </c>
      <c r="I23" s="3"/>
      <c r="J23" s="20"/>
      <c r="K23" s="3"/>
      <c r="L23" s="3">
        <f t="shared" si="0"/>
        <v>-1572.06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--47959.43</f>
        <v>47959.43</v>
      </c>
      <c r="U23" s="3"/>
      <c r="V23" s="20"/>
      <c r="W23" s="3"/>
      <c r="X23" s="3">
        <f t="shared" si="2"/>
        <v>-47959.43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--1097.13</f>
        <v>1097.1300000000001</v>
      </c>
      <c r="I25" s="3"/>
      <c r="J25" s="20"/>
      <c r="K25" s="3"/>
      <c r="L25" s="3">
        <f t="shared" si="0"/>
        <v>-1097.1300000000001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--476971.18</f>
        <v>476971.18</v>
      </c>
      <c r="U25" s="3"/>
      <c r="V25" s="20"/>
      <c r="W25" s="3"/>
      <c r="X25" s="3">
        <f t="shared" si="2"/>
        <v>-476971.18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--1250</f>
        <v>1250</v>
      </c>
      <c r="I26" s="3"/>
      <c r="J26" s="20"/>
      <c r="K26" s="3"/>
      <c r="L26" s="3">
        <f t="shared" si="0"/>
        <v>-1250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--11389.25</f>
        <v>11389.25</v>
      </c>
      <c r="U26" s="3"/>
      <c r="V26" s="20"/>
      <c r="W26" s="3"/>
      <c r="X26" s="3">
        <f t="shared" si="2"/>
        <v>-11389.25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-4679.48</f>
        <v>-4679.4799999999996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-4679.4799999999996</v>
      </c>
      <c r="M28" s="3"/>
      <c r="N28" s="20">
        <f t="shared" si="1"/>
        <v>0</v>
      </c>
      <c r="O28" s="12"/>
      <c r="P28" s="3">
        <f>-55512.29</f>
        <v>-55512.29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-55512.29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-596.94</f>
        <v>-596.94000000000005</v>
      </c>
      <c r="I29" s="3"/>
      <c r="J29" s="20"/>
      <c r="K29" s="3"/>
      <c r="L29" s="3">
        <f t="shared" si="0"/>
        <v>596.94000000000005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-51261.17</f>
        <v>-51261.17</v>
      </c>
      <c r="U29" s="3"/>
      <c r="V29" s="20"/>
      <c r="W29" s="3"/>
      <c r="X29" s="3">
        <f t="shared" si="2"/>
        <v>51261.17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-153.8</f>
        <v>-153.80000000000001</v>
      </c>
      <c r="I30" s="3"/>
      <c r="J30" s="20"/>
      <c r="K30" s="3"/>
      <c r="L30" s="3">
        <f t="shared" si="0"/>
        <v>153.80000000000001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-19889.31</f>
        <v>-19889.310000000001</v>
      </c>
      <c r="U30" s="3"/>
      <c r="V30" s="20"/>
      <c r="W30" s="3"/>
      <c r="X30" s="3">
        <f t="shared" si="2"/>
        <v>19889.310000000001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-69.93</f>
        <v>-69.930000000000007</v>
      </c>
      <c r="U32" s="3"/>
      <c r="V32" s="20"/>
      <c r="W32" s="3"/>
      <c r="X32" s="3">
        <f t="shared" si="2"/>
        <v>69.930000000000007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","4218"," - ","SALES RETURN TAXABLE-STUDY GUI")</f>
        <v xml:space="preserve">          4218 - SALES RETURN TAXABLE-STUDY GUI</v>
      </c>
      <c r="C33" s="12"/>
      <c r="D33" s="3">
        <f>0</f>
        <v>0</v>
      </c>
      <c r="E33" s="3"/>
      <c r="F33" s="20"/>
      <c r="G33" s="3"/>
      <c r="H33" s="3">
        <f>-5.21</f>
        <v>-5.21</v>
      </c>
      <c r="I33" s="3"/>
      <c r="J33" s="20"/>
      <c r="K33" s="3"/>
      <c r="L33" s="3">
        <f t="shared" si="0"/>
        <v>5.21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-5.21</f>
        <v>-5.21</v>
      </c>
      <c r="U33" s="3"/>
      <c r="V33" s="20"/>
      <c r="W33" s="3"/>
      <c r="X33" s="3">
        <f t="shared" si="2"/>
        <v>5.21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","4300"," - ","NON-TAX RETURNS")</f>
        <v xml:space="preserve">          4300 - NON-TAX RETURNS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-29348.67</f>
        <v>-29348.67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-29348.67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","4301"," - ","SALES RETURN NON TAXABLE-NEW T")</f>
        <v xml:space="preserve">          4301 - SALES RETURN NON TAXABLE-NEW T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-3237.29</f>
        <v>-3237.29</v>
      </c>
      <c r="U35" s="3"/>
      <c r="V35" s="20"/>
      <c r="W35" s="3"/>
      <c r="X35" s="3">
        <f t="shared" si="2"/>
        <v>3237.29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","4302"," - ","SALES RETURN NON TAXABLE-TEXT")</f>
        <v xml:space="preserve">          4302 - SALES RETURN NON TAXABLE-TEXT</v>
      </c>
      <c r="C36" s="12"/>
      <c r="D36" s="3">
        <f>0</f>
        <v>0</v>
      </c>
      <c r="E36" s="3"/>
      <c r="F36" s="20"/>
      <c r="G36" s="3"/>
      <c r="H36" s="3">
        <f>-270.87</f>
        <v>-270.87</v>
      </c>
      <c r="I36" s="3"/>
      <c r="J36" s="20"/>
      <c r="K36" s="3"/>
      <c r="L36" s="3">
        <f t="shared" si="0"/>
        <v>270.87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-2344.35</f>
        <v>-2344.35</v>
      </c>
      <c r="U36" s="3"/>
      <c r="V36" s="20"/>
      <c r="W36" s="3"/>
      <c r="X36" s="3">
        <f t="shared" si="2"/>
        <v>2344.35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","4304"," - ","SALES RETURN NON TAXABLE-DIGIT")</f>
        <v xml:space="preserve">          4304 - SALES RETURN NON TAXABLE-DIGIT</v>
      </c>
      <c r="C37" s="12"/>
      <c r="D37" s="3">
        <f>0</f>
        <v>0</v>
      </c>
      <c r="E37" s="3"/>
      <c r="F37" s="20"/>
      <c r="G37" s="3"/>
      <c r="H37" s="3">
        <f>-275.04</f>
        <v>-275.04000000000002</v>
      </c>
      <c r="I37" s="3"/>
      <c r="J37" s="20"/>
      <c r="K37" s="3"/>
      <c r="L37" s="3">
        <f t="shared" si="0"/>
        <v>275.04000000000002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-27543.76</f>
        <v>-27543.759999999998</v>
      </c>
      <c r="U37" s="3"/>
      <c r="V37" s="20"/>
      <c r="W37" s="3"/>
      <c r="X37" s="3">
        <f t="shared" si="2"/>
        <v>27543.759999999998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","4500"," - ","SALES DISCOUNT")</f>
        <v xml:space="preserve">          4500 - SALES DISCOUNT</v>
      </c>
      <c r="C38" s="12"/>
      <c r="D38" s="3">
        <f>-216.24</f>
        <v>-216.24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-216.24</v>
      </c>
      <c r="M38" s="3"/>
      <c r="N38" s="20">
        <f t="shared" si="1"/>
        <v>0</v>
      </c>
      <c r="O38" s="12"/>
      <c r="P38" s="3">
        <f>-7428.96</f>
        <v>-7428.96</v>
      </c>
      <c r="Q38" s="3"/>
      <c r="R38" s="20"/>
      <c r="S38" s="3"/>
      <c r="T38" s="3">
        <f>0</f>
        <v>0</v>
      </c>
      <c r="U38" s="3"/>
      <c r="V38" s="20"/>
      <c r="W38" s="3"/>
      <c r="X38" s="3">
        <f t="shared" si="2"/>
        <v>-7428.96</v>
      </c>
      <c r="Y38" s="3"/>
      <c r="Z38" s="20">
        <f t="shared" si="3"/>
        <v>0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collapsed="1" x14ac:dyDescent="0.3">
      <c r="A40" s="11"/>
      <c r="B40" s="28" t="s">
        <v>287</v>
      </c>
      <c r="C40" s="11"/>
      <c r="D40" s="5">
        <f>SUM(OSRRefD16x_0)</f>
        <v>16422.619999999984</v>
      </c>
      <c r="E40" s="5"/>
      <c r="F40" s="13">
        <f t="shared" ref="F40:F57" si="4">IF(D$12=0,0,D40/D$12)</f>
        <v>0.7172915687572825</v>
      </c>
      <c r="G40" s="5"/>
      <c r="H40" s="5">
        <f>SUM(OSRRefH16x_0)</f>
        <v>9743.3700000000135</v>
      </c>
      <c r="I40" s="5"/>
      <c r="J40" s="13">
        <f t="shared" ref="J40:J57" si="5">IF(H$12=0,0,H40/H$12)</f>
        <v>0.6497771915059356</v>
      </c>
      <c r="K40" s="5"/>
      <c r="L40" s="5">
        <f t="shared" ref="L40:L57" si="6">+D40-H40</f>
        <v>6679.2499999999709</v>
      </c>
      <c r="M40" s="5"/>
      <c r="N40" s="13">
        <f t="shared" ref="N40:N57" si="7">IF(H40=0,0,L40/H40)</f>
        <v>0.68551743390633446</v>
      </c>
      <c r="O40" s="11"/>
      <c r="P40" s="5">
        <f>SUM(OSRRefP16x_0)</f>
        <v>1654399.02</v>
      </c>
      <c r="Q40" s="5"/>
      <c r="R40" s="13">
        <f t="shared" ref="R40:R57" si="8">IF(P$12=0,0,P40/P$12)</f>
        <v>0.76899963727682386</v>
      </c>
      <c r="S40" s="5"/>
      <c r="T40" s="5">
        <f>SUM(OSRRefT16x_0)</f>
        <v>1873250.72</v>
      </c>
      <c r="U40" s="5"/>
      <c r="V40" s="13">
        <f t="shared" ref="V40:V57" si="9">IF(T$12=0,0,T40/T$12)</f>
        <v>0.70582555844438921</v>
      </c>
      <c r="W40" s="5"/>
      <c r="X40" s="5">
        <f t="shared" ref="X40:X57" si="10">+P40-T40</f>
        <v>-218851.69999999995</v>
      </c>
      <c r="Y40" s="5"/>
      <c r="Z40" s="13">
        <f t="shared" ref="Z40:Z57" si="11">IF(T40=0,0,X40/T40)</f>
        <v>-0.11682990304682758</v>
      </c>
    </row>
    <row r="41" spans="1:26" s="69" customFormat="1" ht="15" hidden="1" customHeight="1" outlineLevel="1" x14ac:dyDescent="0.3">
      <c r="A41" s="42"/>
      <c r="B41" s="12" t="str">
        <f>CONCATENATE("          ","5000"," - ","PURCHASES @ COST")</f>
        <v xml:space="preserve">          5000 - PURCHASES @ COST</v>
      </c>
      <c r="C41" s="12"/>
      <c r="D41" s="3">
        <v>-271424.32</v>
      </c>
      <c r="E41" s="3"/>
      <c r="F41" s="20">
        <f t="shared" si="4"/>
        <v>-11.855013164262392</v>
      </c>
      <c r="G41" s="3"/>
      <c r="H41" s="3">
        <v>0</v>
      </c>
      <c r="I41" s="3"/>
      <c r="J41" s="20">
        <f t="shared" si="5"/>
        <v>0</v>
      </c>
      <c r="K41" s="3"/>
      <c r="L41" s="3">
        <f t="shared" si="6"/>
        <v>-271424.32</v>
      </c>
      <c r="M41" s="3"/>
      <c r="N41" s="20">
        <f t="shared" si="7"/>
        <v>0</v>
      </c>
      <c r="O41" s="12"/>
      <c r="P41" s="3">
        <v>1610524.72</v>
      </c>
      <c r="Q41" s="3"/>
      <c r="R41" s="20">
        <f t="shared" si="8"/>
        <v>0.74860593516632901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1610524.72</v>
      </c>
      <c r="Y41" s="3"/>
      <c r="Z41" s="20">
        <f t="shared" si="11"/>
        <v>0</v>
      </c>
    </row>
    <row r="42" spans="1:26" s="69" customFormat="1" ht="15" hidden="1" customHeight="1" outlineLevel="1" x14ac:dyDescent="0.3">
      <c r="A42" s="42"/>
      <c r="B42" s="12" t="str">
        <f>CONCATENATE("          ","5001"," - ","PURCHASES @ COST-NEW TEXT")</f>
        <v xml:space="preserve">          5001 - PURCHASES @ COST-NEW TEXT</v>
      </c>
      <c r="C42" s="12"/>
      <c r="D42" s="3"/>
      <c r="E42" s="3"/>
      <c r="F42" s="20">
        <f t="shared" si="4"/>
        <v>0</v>
      </c>
      <c r="G42" s="3"/>
      <c r="H42" s="3">
        <v>-290899.24</v>
      </c>
      <c r="I42" s="3"/>
      <c r="J42" s="20">
        <f t="shared" si="5"/>
        <v>-19.399826874932479</v>
      </c>
      <c r="K42" s="3"/>
      <c r="L42" s="3">
        <f t="shared" si="6"/>
        <v>290899.24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1035516.4</v>
      </c>
      <c r="U42" s="3"/>
      <c r="V42" s="20">
        <f t="shared" si="9"/>
        <v>0.39017411471130975</v>
      </c>
      <c r="W42" s="3"/>
      <c r="X42" s="3">
        <f t="shared" si="10"/>
        <v>-1035516.4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","5002"," - ","PURCHASES @ COST-USED TEXT")</f>
        <v xml:space="preserve">          5002 - PURCHASES @ COST-USED TEXT</v>
      </c>
      <c r="C43" s="12"/>
      <c r="D43" s="3"/>
      <c r="E43" s="3"/>
      <c r="F43" s="20">
        <f t="shared" si="4"/>
        <v>0</v>
      </c>
      <c r="G43" s="3"/>
      <c r="H43" s="3">
        <v>14728.45</v>
      </c>
      <c r="I43" s="3"/>
      <c r="J43" s="20">
        <f t="shared" si="5"/>
        <v>0.98222800491365769</v>
      </c>
      <c r="K43" s="3"/>
      <c r="L43" s="3">
        <f t="shared" si="6"/>
        <v>-14728.45</v>
      </c>
      <c r="M43" s="3"/>
      <c r="N43" s="20">
        <f t="shared" si="7"/>
        <v>-1</v>
      </c>
      <c r="O43" s="12"/>
      <c r="P43" s="3">
        <v>0</v>
      </c>
      <c r="Q43" s="3"/>
      <c r="R43" s="20">
        <f t="shared" si="8"/>
        <v>0</v>
      </c>
      <c r="S43" s="3"/>
      <c r="T43" s="3">
        <v>397052.67</v>
      </c>
      <c r="U43" s="3"/>
      <c r="V43" s="20">
        <f t="shared" si="9"/>
        <v>0.14960620035666436</v>
      </c>
      <c r="W43" s="3"/>
      <c r="X43" s="3">
        <f t="shared" si="10"/>
        <v>-397052.67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","5003"," - ","PURCHASES @ COST-RENTAL TEXT")</f>
        <v xml:space="preserve">          5003 - PURCHASES @ COST-RENTAL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/>
      <c r="Q44" s="3"/>
      <c r="R44" s="20">
        <f t="shared" si="8"/>
        <v>0</v>
      </c>
      <c r="S44" s="3"/>
      <c r="T44" s="3">
        <v>32.520000000000003</v>
      </c>
      <c r="U44" s="3"/>
      <c r="V44" s="20">
        <f t="shared" si="9"/>
        <v>1.2253270165891911E-5</v>
      </c>
      <c r="W44" s="3"/>
      <c r="X44" s="3">
        <f t="shared" si="10"/>
        <v>-32.520000000000003</v>
      </c>
      <c r="Y44" s="3"/>
      <c r="Z44" s="20">
        <f t="shared" si="11"/>
        <v>-1</v>
      </c>
    </row>
    <row r="45" spans="1:26" s="69" customFormat="1" ht="15" hidden="1" customHeight="1" outlineLevel="1" x14ac:dyDescent="0.3">
      <c r="A45" s="42"/>
      <c r="B45" s="12" t="str">
        <f>CONCATENATE("          ","5004"," - ","PURCHASES @ COST-DIGITAL TEXT")</f>
        <v xml:space="preserve">          5004 - PURCHASES @ COST-DIGITAL TEXT</v>
      </c>
      <c r="C45" s="12"/>
      <c r="D45" s="3"/>
      <c r="E45" s="3"/>
      <c r="F45" s="20">
        <f t="shared" si="4"/>
        <v>0</v>
      </c>
      <c r="G45" s="3"/>
      <c r="H45" s="3">
        <v>-13446.08</v>
      </c>
      <c r="I45" s="3"/>
      <c r="J45" s="20">
        <f t="shared" si="5"/>
        <v>-0.89670782277221528</v>
      </c>
      <c r="K45" s="3"/>
      <c r="L45" s="3">
        <f t="shared" si="6"/>
        <v>13446.08</v>
      </c>
      <c r="M45" s="3"/>
      <c r="N45" s="20">
        <f t="shared" si="7"/>
        <v>-1</v>
      </c>
      <c r="O45" s="12"/>
      <c r="P45" s="3">
        <v>0</v>
      </c>
      <c r="Q45" s="3"/>
      <c r="R45" s="20">
        <f t="shared" si="8"/>
        <v>0</v>
      </c>
      <c r="S45" s="3"/>
      <c r="T45" s="3">
        <v>206562.5</v>
      </c>
      <c r="U45" s="3"/>
      <c r="V45" s="20">
        <f t="shared" si="9"/>
        <v>7.7831061458857556E-2</v>
      </c>
      <c r="W45" s="3"/>
      <c r="X45" s="3">
        <f t="shared" si="10"/>
        <v>-206562.5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","5011"," - ","PURCHASES @ COST-NO VALUE TEXT")</f>
        <v xml:space="preserve">          5011 - PURCHASES @ COST-NO VALUE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67.17</v>
      </c>
      <c r="U46" s="3"/>
      <c r="V46" s="20">
        <f t="shared" si="9"/>
        <v>2.530910692014021E-5</v>
      </c>
      <c r="W46" s="3"/>
      <c r="X46" s="3">
        <f t="shared" si="10"/>
        <v>-67.17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","5013"," - ","PURCHASES @ COST-TRADE BOOKS")</f>
        <v xml:space="preserve">          5013 - PURCHASES @ COST-TRADE BOOKS</v>
      </c>
      <c r="C47" s="12"/>
      <c r="D47" s="3"/>
      <c r="E47" s="3"/>
      <c r="F47" s="20">
        <f t="shared" si="4"/>
        <v>0</v>
      </c>
      <c r="G47" s="3"/>
      <c r="H47" s="3">
        <v>2907.93</v>
      </c>
      <c r="I47" s="3"/>
      <c r="J47" s="20">
        <f t="shared" si="5"/>
        <v>0.1939274181824002</v>
      </c>
      <c r="K47" s="3"/>
      <c r="L47" s="3">
        <f t="shared" si="6"/>
        <v>-2907.93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8870.02</v>
      </c>
      <c r="U47" s="3"/>
      <c r="V47" s="20">
        <f t="shared" si="9"/>
        <v>3.3421510281938672E-3</v>
      </c>
      <c r="W47" s="3"/>
      <c r="X47" s="3">
        <f t="shared" si="10"/>
        <v>-8870.02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","5014"," - ","PURCHASES @ COST-REMAINDERS")</f>
        <v xml:space="preserve">          5014 - PURCHASES @ COST-REMAINDERS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111.57</v>
      </c>
      <c r="U48" s="3"/>
      <c r="V48" s="20">
        <f t="shared" si="9"/>
        <v>4.2038663973202957E-5</v>
      </c>
      <c r="W48" s="3"/>
      <c r="X48" s="3">
        <f t="shared" si="10"/>
        <v>-111.57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","5018"," - ","PURCHASES @ COST-STUDY GUIDES")</f>
        <v xml:space="preserve">          5018 - PURCHASES @ COST-STUDY GUIDES</v>
      </c>
      <c r="C49" s="12"/>
      <c r="D49" s="3"/>
      <c r="E49" s="3"/>
      <c r="F49" s="20">
        <f t="shared" si="4"/>
        <v>0</v>
      </c>
      <c r="G49" s="3"/>
      <c r="H49" s="3">
        <v>444.87</v>
      </c>
      <c r="I49" s="3"/>
      <c r="J49" s="20">
        <f t="shared" si="5"/>
        <v>2.9668008008034714E-2</v>
      </c>
      <c r="K49" s="3"/>
      <c r="L49" s="3">
        <f t="shared" si="6"/>
        <v>-444.87</v>
      </c>
      <c r="M49" s="3"/>
      <c r="N49" s="20">
        <f t="shared" si="7"/>
        <v>-1</v>
      </c>
      <c r="O49" s="12"/>
      <c r="P49" s="3"/>
      <c r="Q49" s="3"/>
      <c r="R49" s="20">
        <f t="shared" si="8"/>
        <v>0</v>
      </c>
      <c r="S49" s="3"/>
      <c r="T49" s="3">
        <v>967.21</v>
      </c>
      <c r="U49" s="3"/>
      <c r="V49" s="20">
        <f t="shared" si="9"/>
        <v>3.6443682156064926E-4</v>
      </c>
      <c r="W49" s="3"/>
      <c r="X49" s="3">
        <f t="shared" si="10"/>
        <v>-967.21</v>
      </c>
      <c r="Y49" s="3"/>
      <c r="Z49" s="20">
        <f t="shared" si="11"/>
        <v>-1</v>
      </c>
    </row>
    <row r="50" spans="1:26" s="69" customFormat="1" ht="15" hidden="1" customHeight="1" outlineLevel="1" x14ac:dyDescent="0.3">
      <c r="A50" s="42"/>
      <c r="B50" s="12" t="str">
        <f>CONCATENATE("          ","5200"," - ","PURCHASES OFFSET")</f>
        <v xml:space="preserve">          5200 - PURCHASES OFFSET</v>
      </c>
      <c r="C50" s="12"/>
      <c r="D50" s="3">
        <v>267392.68</v>
      </c>
      <c r="E50" s="3"/>
      <c r="F50" s="20">
        <f t="shared" si="4"/>
        <v>11.678923028811129</v>
      </c>
      <c r="G50" s="3"/>
      <c r="H50" s="3">
        <v>285586.77</v>
      </c>
      <c r="I50" s="3"/>
      <c r="J50" s="20">
        <f t="shared" si="5"/>
        <v>19.045542696402922</v>
      </c>
      <c r="K50" s="3"/>
      <c r="L50" s="3">
        <f t="shared" si="6"/>
        <v>-18194.090000000026</v>
      </c>
      <c r="M50" s="3"/>
      <c r="N50" s="20">
        <f t="shared" si="7"/>
        <v>-6.3707748086509836E-2</v>
      </c>
      <c r="O50" s="12"/>
      <c r="P50" s="3">
        <v>-1361905.52</v>
      </c>
      <c r="Q50" s="3"/>
      <c r="R50" s="20">
        <f t="shared" si="8"/>
        <v>-0.63304247537894709</v>
      </c>
      <c r="S50" s="3"/>
      <c r="T50" s="3">
        <v>-1174214.1299999999</v>
      </c>
      <c r="U50" s="3"/>
      <c r="V50" s="20">
        <f t="shared" si="9"/>
        <v>-0.44243428559341091</v>
      </c>
      <c r="W50" s="3"/>
      <c r="X50" s="3">
        <f t="shared" si="10"/>
        <v>-187691.39000000013</v>
      </c>
      <c r="Y50" s="3"/>
      <c r="Z50" s="20">
        <f t="shared" si="11"/>
        <v>0.15984426111445291</v>
      </c>
    </row>
    <row r="51" spans="1:26" s="69" customFormat="1" ht="15" hidden="1" customHeight="1" outlineLevel="1" x14ac:dyDescent="0.3">
      <c r="A51" s="42"/>
      <c r="B51" s="12" t="str">
        <f>CONCATENATE("          ","5300"," - ","COG$ OFFSET")</f>
        <v xml:space="preserve">          5300 - COG$ OFFSET</v>
      </c>
      <c r="C51" s="12"/>
      <c r="D51" s="3">
        <v>14415.48</v>
      </c>
      <c r="E51" s="3"/>
      <c r="F51" s="20">
        <f t="shared" si="4"/>
        <v>0.62962561781184978</v>
      </c>
      <c r="G51" s="3"/>
      <c r="H51" s="3">
        <v>8920</v>
      </c>
      <c r="I51" s="3"/>
      <c r="J51" s="20">
        <f t="shared" si="5"/>
        <v>0.59486733524775692</v>
      </c>
      <c r="K51" s="3"/>
      <c r="L51" s="3">
        <f t="shared" si="6"/>
        <v>5495.48</v>
      </c>
      <c r="M51" s="3"/>
      <c r="N51" s="20">
        <f t="shared" si="7"/>
        <v>0.61608520179372195</v>
      </c>
      <c r="O51" s="12"/>
      <c r="P51" s="3">
        <v>1329286.03</v>
      </c>
      <c r="Q51" s="3"/>
      <c r="R51" s="20">
        <f t="shared" si="8"/>
        <v>0.61788024687487375</v>
      </c>
      <c r="S51" s="3"/>
      <c r="T51" s="3">
        <v>1330328</v>
      </c>
      <c r="U51" s="3"/>
      <c r="V51" s="20">
        <f t="shared" si="9"/>
        <v>0.50125671565961416</v>
      </c>
      <c r="W51" s="3"/>
      <c r="X51" s="3">
        <f t="shared" si="10"/>
        <v>-1041.9699999999721</v>
      </c>
      <c r="Y51" s="3"/>
      <c r="Z51" s="20">
        <f t="shared" si="11"/>
        <v>-7.8324292956321456E-4</v>
      </c>
    </row>
    <row r="52" spans="1:26" s="69" customFormat="1" ht="15" hidden="1" customHeight="1" outlineLevel="1" x14ac:dyDescent="0.3">
      <c r="A52" s="42"/>
      <c r="B52" s="12" t="str">
        <f>CONCATENATE("          ","5500"," - ","FREIGHT-IN")</f>
        <v xml:space="preserve">          5500 - FREIGHT-IN</v>
      </c>
      <c r="C52" s="12"/>
      <c r="D52" s="3">
        <v>6038.78</v>
      </c>
      <c r="E52" s="3"/>
      <c r="F52" s="20">
        <f t="shared" si="4"/>
        <v>0.2637560863966959</v>
      </c>
      <c r="G52" s="3"/>
      <c r="H52" s="3"/>
      <c r="I52" s="3"/>
      <c r="J52" s="20">
        <f t="shared" si="5"/>
        <v>0</v>
      </c>
      <c r="K52" s="3"/>
      <c r="L52" s="3">
        <f t="shared" si="6"/>
        <v>6038.78</v>
      </c>
      <c r="M52" s="3"/>
      <c r="N52" s="20">
        <f t="shared" si="7"/>
        <v>0</v>
      </c>
      <c r="O52" s="12"/>
      <c r="P52" s="3">
        <v>76493.789999999994</v>
      </c>
      <c r="Q52" s="3"/>
      <c r="R52" s="20">
        <f t="shared" si="8"/>
        <v>3.5555930614568139E-2</v>
      </c>
      <c r="S52" s="3"/>
      <c r="T52" s="3">
        <v>0</v>
      </c>
      <c r="U52" s="3"/>
      <c r="V52" s="20">
        <f t="shared" si="9"/>
        <v>0</v>
      </c>
      <c r="W52" s="3"/>
      <c r="X52" s="3">
        <f t="shared" si="10"/>
        <v>76493.789999999994</v>
      </c>
      <c r="Y52" s="3"/>
      <c r="Z52" s="20">
        <f t="shared" si="11"/>
        <v>0</v>
      </c>
    </row>
    <row r="53" spans="1:26" s="69" customFormat="1" ht="15" hidden="1" customHeight="1" outlineLevel="1" x14ac:dyDescent="0.3">
      <c r="A53" s="42"/>
      <c r="B53" s="12" t="str">
        <f>CONCATENATE("          ","5501"," - ","FREIGHT-IN-NEW TEXT")</f>
        <v xml:space="preserve">          5501 - FREIGHT-IN-NEW TEXT</v>
      </c>
      <c r="C53" s="12"/>
      <c r="D53" s="3"/>
      <c r="E53" s="3"/>
      <c r="F53" s="20">
        <f t="shared" si="4"/>
        <v>0</v>
      </c>
      <c r="G53" s="3"/>
      <c r="H53" s="3">
        <v>785.54</v>
      </c>
      <c r="I53" s="3"/>
      <c r="J53" s="20">
        <f t="shared" si="5"/>
        <v>5.2387005216426343E-2</v>
      </c>
      <c r="K53" s="3"/>
      <c r="L53" s="3">
        <f t="shared" si="6"/>
        <v>-785.54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50042.46</v>
      </c>
      <c r="U53" s="3"/>
      <c r="V53" s="20">
        <f t="shared" si="9"/>
        <v>1.8855589856883126E-2</v>
      </c>
      <c r="W53" s="3"/>
      <c r="X53" s="3">
        <f t="shared" si="10"/>
        <v>-50042.46</v>
      </c>
      <c r="Y53" s="3"/>
      <c r="Z53" s="20">
        <f t="shared" si="11"/>
        <v>-1</v>
      </c>
    </row>
    <row r="54" spans="1:26" s="69" customFormat="1" ht="15" hidden="1" customHeight="1" outlineLevel="1" x14ac:dyDescent="0.3">
      <c r="A54" s="42"/>
      <c r="B54" s="12" t="str">
        <f>CONCATENATE("          ","5502"," - ","FREIGHT-IN-USED TEXT")</f>
        <v xml:space="preserve">          5502 - FREIGHT-IN-USED TEXT</v>
      </c>
      <c r="C54" s="12"/>
      <c r="D54" s="3"/>
      <c r="E54" s="3"/>
      <c r="F54" s="20">
        <f t="shared" si="4"/>
        <v>0</v>
      </c>
      <c r="G54" s="3"/>
      <c r="H54" s="3">
        <v>663.37</v>
      </c>
      <c r="I54" s="3"/>
      <c r="J54" s="20">
        <f t="shared" si="5"/>
        <v>4.4239590155078987E-2</v>
      </c>
      <c r="K54" s="3"/>
      <c r="L54" s="3">
        <f t="shared" si="6"/>
        <v>-663.37</v>
      </c>
      <c r="M54" s="3"/>
      <c r="N54" s="20">
        <f t="shared" si="7"/>
        <v>-1</v>
      </c>
      <c r="O54" s="12"/>
      <c r="P54" s="3">
        <v>0</v>
      </c>
      <c r="Q54" s="3"/>
      <c r="R54" s="20">
        <f t="shared" si="8"/>
        <v>0</v>
      </c>
      <c r="S54" s="3"/>
      <c r="T54" s="3">
        <v>17800.13</v>
      </c>
      <c r="U54" s="3"/>
      <c r="V54" s="20">
        <f t="shared" si="9"/>
        <v>6.7069434771831974E-3</v>
      </c>
      <c r="W54" s="3"/>
      <c r="X54" s="3">
        <f t="shared" si="10"/>
        <v>-17800.13</v>
      </c>
      <c r="Y54" s="3"/>
      <c r="Z54" s="20">
        <f t="shared" si="11"/>
        <v>-1</v>
      </c>
    </row>
    <row r="55" spans="1:26" s="69" customFormat="1" ht="15" hidden="1" customHeight="1" outlineLevel="1" x14ac:dyDescent="0.3">
      <c r="A55" s="42"/>
      <c r="B55" s="12" t="str">
        <f>CONCATENATE("          ","5504"," - ","FREIGHT-IN-DIGITAL TEXT")</f>
        <v xml:space="preserve">          5504 - FREIGHT-IN-DIGITAL TEXT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28.92</v>
      </c>
      <c r="U55" s="3"/>
      <c r="V55" s="20">
        <f t="shared" si="9"/>
        <v>1.0896819594021957E-5</v>
      </c>
      <c r="W55" s="3"/>
      <c r="X55" s="3">
        <f t="shared" si="10"/>
        <v>-28.92</v>
      </c>
      <c r="Y55" s="3"/>
      <c r="Z55" s="20">
        <f t="shared" si="11"/>
        <v>-1</v>
      </c>
    </row>
    <row r="56" spans="1:26" s="69" customFormat="1" ht="15" hidden="1" customHeight="1" outlineLevel="1" x14ac:dyDescent="0.3">
      <c r="A56" s="42"/>
      <c r="B56" s="12" t="str">
        <f>CONCATENATE("          ","5513"," - ","FREIGHT-IN-TRADE BOOKS")</f>
        <v xml:space="preserve">          5513 - FREIGHT-IN-TRADE BOOKS</v>
      </c>
      <c r="C56" s="12"/>
      <c r="D56" s="3"/>
      <c r="E56" s="3"/>
      <c r="F56" s="20">
        <f t="shared" si="4"/>
        <v>0</v>
      </c>
      <c r="G56" s="3"/>
      <c r="H56" s="3">
        <v>51.76</v>
      </c>
      <c r="I56" s="3"/>
      <c r="J56" s="20">
        <f t="shared" si="5"/>
        <v>3.451831084352455E-3</v>
      </c>
      <c r="K56" s="3"/>
      <c r="L56" s="3">
        <f t="shared" si="6"/>
        <v>-51.76</v>
      </c>
      <c r="M56" s="3"/>
      <c r="N56" s="20">
        <f t="shared" si="7"/>
        <v>-1</v>
      </c>
      <c r="O56" s="12"/>
      <c r="P56" s="3"/>
      <c r="Q56" s="3"/>
      <c r="R56" s="20">
        <f t="shared" si="8"/>
        <v>0</v>
      </c>
      <c r="S56" s="3"/>
      <c r="T56" s="3">
        <v>85.28</v>
      </c>
      <c r="U56" s="3"/>
      <c r="V56" s="20">
        <f t="shared" si="9"/>
        <v>3.2132806880297112E-5</v>
      </c>
      <c r="W56" s="3"/>
      <c r="X56" s="3">
        <f t="shared" si="10"/>
        <v>-85.28</v>
      </c>
      <c r="Y56" s="3"/>
      <c r="Z56" s="20">
        <f t="shared" si="11"/>
        <v>-1</v>
      </c>
    </row>
    <row r="57" spans="1:26" s="69" customFormat="1" ht="15" hidden="1" customHeight="1" outlineLevel="1" x14ac:dyDescent="0.3">
      <c r="A57" s="42"/>
      <c r="B57" s="12" t="str">
        <f>CONCATENATE("          ","5518"," - ","FREIGHT-IN-STUDY GUIDES")</f>
        <v xml:space="preserve">          5518 - FREIGHT-IN-STUDY GUIDES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7" t="s">
        <v>288</v>
      </c>
      <c r="C59" s="27"/>
      <c r="D59" s="22">
        <f>D12-D40</f>
        <v>6472.7000000000153</v>
      </c>
      <c r="E59" s="15"/>
      <c r="F59" s="21">
        <f>IF(D$12=0,0,D59/D$12)</f>
        <v>0.28270843124271755</v>
      </c>
      <c r="G59" s="15"/>
      <c r="H59" s="22">
        <f>H12-H40</f>
        <v>5251.5699999999852</v>
      </c>
      <c r="I59" s="15"/>
      <c r="J59" s="21">
        <f>IF(H$12=0,0,H59/H$12)</f>
        <v>0.3502228084940644</v>
      </c>
      <c r="K59" s="17"/>
      <c r="L59" s="22">
        <f>+D59-H59</f>
        <v>1221.1300000000301</v>
      </c>
      <c r="M59" s="17"/>
      <c r="N59" s="21">
        <f>IF(H59=0,0,L59/H59)</f>
        <v>0.23252665393397282</v>
      </c>
      <c r="O59" s="28"/>
      <c r="P59" s="22">
        <f>P12-P40</f>
        <v>496966.13000000035</v>
      </c>
      <c r="Q59" s="15"/>
      <c r="R59" s="21">
        <f>IF(P$12=0,0,P59/P$12)</f>
        <v>0.23100036272317614</v>
      </c>
      <c r="S59" s="15"/>
      <c r="T59" s="22">
        <f>T12-T40</f>
        <v>780734.66999999969</v>
      </c>
      <c r="U59" s="15"/>
      <c r="V59" s="21">
        <f>IF(T$12=0,0,T59/T$12)</f>
        <v>0.29417444155561073</v>
      </c>
      <c r="W59" s="17"/>
      <c r="X59" s="22">
        <f>+P59-T59</f>
        <v>-283768.53999999934</v>
      </c>
      <c r="Y59" s="17"/>
      <c r="Z59" s="21">
        <f>IF(T59=0,0,X59/T59)</f>
        <v>-0.36346347985289224</v>
      </c>
    </row>
    <row r="60" spans="1:26" ht="15" customHeight="1" x14ac:dyDescent="0.3">
      <c r="A60" s="10"/>
      <c r="B60" s="11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x14ac:dyDescent="0.3">
      <c r="A61" s="11"/>
      <c r="B61" s="28" t="s">
        <v>289</v>
      </c>
      <c r="C61" s="11"/>
      <c r="D61" s="23" cm="1">
        <f t="array" ref="D61">SUM(OSRRefD22x_0)</f>
        <v>36411.789999999994</v>
      </c>
      <c r="E61" s="23"/>
      <c r="F61" s="35">
        <f t="shared" ref="F61:F92" si="12">IF(D$12=0,0,D61/D$12)</f>
        <v>1.5903595145208713</v>
      </c>
      <c r="G61" s="23"/>
      <c r="H61" s="23" cm="1">
        <f t="array" ref="H61">SUM(OSRRefH22x_0)</f>
        <v>47009.95</v>
      </c>
      <c r="I61" s="23"/>
      <c r="J61" s="35">
        <f t="shared" ref="J61:J92" si="13">IF(H$12=0,0,H61/H$12)</f>
        <v>3.1350542249585529</v>
      </c>
      <c r="K61" s="5"/>
      <c r="L61" s="23">
        <f t="shared" ref="L61:L92" si="14">+D61-H61</f>
        <v>-10598.160000000003</v>
      </c>
      <c r="M61" s="5"/>
      <c r="N61" s="35">
        <f t="shared" ref="N61:N92" si="15">IF(H61=0,0,L61/H61)</f>
        <v>-0.22544503876307045</v>
      </c>
      <c r="O61" s="11"/>
      <c r="P61" s="23" cm="1">
        <f t="array" ref="P61">SUM(OSRRefP22x_0)</f>
        <v>397843.93</v>
      </c>
      <c r="Q61" s="23"/>
      <c r="R61" s="35">
        <f t="shared" ref="R61:R92" si="16">IF(P$12=0,0,P61/P$12)</f>
        <v>0.18492626879263147</v>
      </c>
      <c r="S61" s="23"/>
      <c r="T61" s="23" cm="1">
        <f t="array" ref="T61">SUM(OSRRefT22x_0)</f>
        <v>409270.19</v>
      </c>
      <c r="U61" s="23"/>
      <c r="V61" s="35">
        <f t="shared" ref="V61:V92" si="17">IF(T$12=0,0,T61/T$12)</f>
        <v>0.15420966202078454</v>
      </c>
      <c r="W61" s="5"/>
      <c r="X61" s="23">
        <f t="shared" ref="X61:X92" si="18">+P61-T61</f>
        <v>-11426.260000000009</v>
      </c>
      <c r="Y61" s="5"/>
      <c r="Z61" s="35">
        <f t="shared" ref="Z61:Z92" si="19">IF(T61=0,0,X61/T61)</f>
        <v>-2.7918622658542537E-2</v>
      </c>
    </row>
    <row r="62" spans="1:26" s="68" customFormat="1" ht="15" customHeight="1" outlineLevel="1" collapsed="1" x14ac:dyDescent="0.3">
      <c r="A62" s="26"/>
      <c r="B62" s="14" t="str">
        <f>CONCATENATE("     ","*Benefits                                         ")</f>
        <v xml:space="preserve">     *Benefits                                         </v>
      </c>
      <c r="C62" s="14"/>
      <c r="D62" s="2">
        <f>SUM(OSRRefD22_0x_0)</f>
        <v>12084.51</v>
      </c>
      <c r="E62" s="2"/>
      <c r="F62" s="6">
        <f t="shared" si="12"/>
        <v>0.52781572827984058</v>
      </c>
      <c r="G62" s="2"/>
      <c r="H62" s="2">
        <f>SUM(OSRRefH22_0x_0)</f>
        <v>12084.359999999999</v>
      </c>
      <c r="I62" s="2"/>
      <c r="J62" s="6">
        <f t="shared" si="13"/>
        <v>0.80589585553526721</v>
      </c>
      <c r="K62" s="2"/>
      <c r="L62" s="2">
        <f t="shared" si="14"/>
        <v>0.15000000000145519</v>
      </c>
      <c r="M62" s="2"/>
      <c r="N62" s="6">
        <f t="shared" si="15"/>
        <v>1.2412738448826021E-5</v>
      </c>
      <c r="O62" s="14"/>
      <c r="P62" s="2">
        <f>SUM(OSRRefP22_0x_0)</f>
        <v>92778.760000000024</v>
      </c>
      <c r="Q62" s="2"/>
      <c r="R62" s="6">
        <f t="shared" si="16"/>
        <v>4.3125528922879505E-2</v>
      </c>
      <c r="S62" s="2"/>
      <c r="T62" s="2">
        <f>SUM(OSRRefT22_0x_0)</f>
        <v>105810.70000000001</v>
      </c>
      <c r="U62" s="2"/>
      <c r="V62" s="6">
        <f t="shared" si="17"/>
        <v>3.9868606812488903E-2</v>
      </c>
      <c r="W62" s="2"/>
      <c r="X62" s="2">
        <f t="shared" si="18"/>
        <v>-13031.939999999988</v>
      </c>
      <c r="Y62" s="2"/>
      <c r="Z62" s="6">
        <f t="shared" si="19"/>
        <v>-0.12316278032372895</v>
      </c>
    </row>
    <row r="63" spans="1:26" s="69" customFormat="1" ht="15" hidden="1" customHeight="1" outlineLevel="2" x14ac:dyDescent="0.3">
      <c r="A63" s="25"/>
      <c r="B63" s="12" t="str">
        <f>CONCATENATE("          ","6111"," - ","F.I.C.A.")</f>
        <v xml:space="preserve">          6111 - F.I.C.A.</v>
      </c>
      <c r="C63" s="12"/>
      <c r="D63" s="8">
        <v>1676.61</v>
      </c>
      <c r="E63" s="3"/>
      <c r="F63" s="7">
        <f t="shared" si="12"/>
        <v>7.3229376134511331E-2</v>
      </c>
      <c r="G63" s="3"/>
      <c r="H63" s="8">
        <v>1910.57</v>
      </c>
      <c r="I63" s="3"/>
      <c r="J63" s="7">
        <f t="shared" si="13"/>
        <v>0.12741431442873397</v>
      </c>
      <c r="K63" s="3"/>
      <c r="L63" s="8">
        <f t="shared" si="14"/>
        <v>-233.96000000000004</v>
      </c>
      <c r="M63" s="3"/>
      <c r="N63" s="7">
        <f t="shared" si="15"/>
        <v>-0.12245560225482451</v>
      </c>
      <c r="O63" s="12"/>
      <c r="P63" s="8">
        <v>19481.27</v>
      </c>
      <c r="Q63" s="3"/>
      <c r="R63" s="7">
        <f t="shared" si="16"/>
        <v>9.055306115747017E-3</v>
      </c>
      <c r="S63" s="3"/>
      <c r="T63" s="8">
        <v>18911.77</v>
      </c>
      <c r="U63" s="3"/>
      <c r="V63" s="7">
        <f t="shared" si="17"/>
        <v>7.1258003421036178E-3</v>
      </c>
      <c r="W63" s="3"/>
      <c r="X63" s="8">
        <f t="shared" si="18"/>
        <v>569.5</v>
      </c>
      <c r="Y63" s="3"/>
      <c r="Z63" s="7">
        <f t="shared" si="19"/>
        <v>3.0113521896681272E-2</v>
      </c>
    </row>
    <row r="64" spans="1:26" s="69" customFormat="1" ht="15" hidden="1" customHeight="1" outlineLevel="2" x14ac:dyDescent="0.3">
      <c r="A64" s="25"/>
      <c r="B64" s="12" t="str">
        <f>CONCATENATE("          ","6112"," - ","COMPENSATION INSURANCE")</f>
        <v xml:space="preserve">          6112 - COMPENSATION INSURANCE</v>
      </c>
      <c r="C64" s="12"/>
      <c r="D64" s="8">
        <v>320.72000000000003</v>
      </c>
      <c r="E64" s="3"/>
      <c r="F64" s="7">
        <f t="shared" si="12"/>
        <v>1.4008102966021004E-2</v>
      </c>
      <c r="G64" s="3"/>
      <c r="H64" s="8">
        <v>103.76</v>
      </c>
      <c r="I64" s="3"/>
      <c r="J64" s="7">
        <f t="shared" si="13"/>
        <v>6.9196675678595589E-3</v>
      </c>
      <c r="K64" s="3"/>
      <c r="L64" s="8">
        <f t="shared" si="14"/>
        <v>216.96000000000004</v>
      </c>
      <c r="M64" s="3"/>
      <c r="N64" s="7">
        <f t="shared" si="15"/>
        <v>2.0909791827293756</v>
      </c>
      <c r="O64" s="12"/>
      <c r="P64" s="8">
        <v>3765.97</v>
      </c>
      <c r="Q64" s="3"/>
      <c r="R64" s="7">
        <f t="shared" si="16"/>
        <v>1.7505024658412819E-3</v>
      </c>
      <c r="S64" s="3"/>
      <c r="T64" s="8">
        <v>1047.72</v>
      </c>
      <c r="U64" s="3"/>
      <c r="V64" s="7">
        <f t="shared" si="17"/>
        <v>3.947723314332187E-4</v>
      </c>
      <c r="W64" s="3"/>
      <c r="X64" s="8">
        <f t="shared" si="18"/>
        <v>2718.25</v>
      </c>
      <c r="Y64" s="3"/>
      <c r="Z64" s="7">
        <f t="shared" si="19"/>
        <v>2.5944431718398047</v>
      </c>
    </row>
    <row r="65" spans="1:26" s="69" customFormat="1" ht="15" hidden="1" customHeight="1" outlineLevel="2" x14ac:dyDescent="0.3">
      <c r="A65" s="25"/>
      <c r="B65" s="12" t="str">
        <f>CONCATENATE("          ","6113"," - ","GROUP INSURANCE")</f>
        <v xml:space="preserve">          6113 - GROUP INSURANCE</v>
      </c>
      <c r="C65" s="12"/>
      <c r="D65" s="8">
        <v>4253.97</v>
      </c>
      <c r="E65" s="3"/>
      <c r="F65" s="7">
        <f t="shared" si="12"/>
        <v>0.18580085362423412</v>
      </c>
      <c r="G65" s="3"/>
      <c r="H65" s="8">
        <v>4943.91</v>
      </c>
      <c r="I65" s="3"/>
      <c r="J65" s="7">
        <f t="shared" si="13"/>
        <v>0.32970522056106927</v>
      </c>
      <c r="K65" s="3"/>
      <c r="L65" s="8">
        <f t="shared" si="14"/>
        <v>-689.9399999999996</v>
      </c>
      <c r="M65" s="3"/>
      <c r="N65" s="7">
        <f t="shared" si="15"/>
        <v>-0.13955351128964719</v>
      </c>
      <c r="O65" s="12"/>
      <c r="P65" s="8">
        <v>39343.72</v>
      </c>
      <c r="Q65" s="3"/>
      <c r="R65" s="7">
        <f t="shared" si="16"/>
        <v>1.8287792753359417E-2</v>
      </c>
      <c r="S65" s="3"/>
      <c r="T65" s="8">
        <v>40219.949999999997</v>
      </c>
      <c r="U65" s="3"/>
      <c r="V65" s="7">
        <f t="shared" si="17"/>
        <v>1.5154548382800254E-2</v>
      </c>
      <c r="W65" s="3"/>
      <c r="X65" s="8">
        <f t="shared" si="18"/>
        <v>-876.22999999999593</v>
      </c>
      <c r="Y65" s="3"/>
      <c r="Z65" s="7">
        <f t="shared" si="19"/>
        <v>-2.1785954482787671E-2</v>
      </c>
    </row>
    <row r="66" spans="1:26" s="69" customFormat="1" ht="15" hidden="1" customHeight="1" outlineLevel="2" x14ac:dyDescent="0.3">
      <c r="A66" s="25"/>
      <c r="B66" s="12" t="str">
        <f>CONCATENATE("          ","6114"," - ","STATE UNEMPLOYMENT INSURANCE")</f>
        <v xml:space="preserve">          6114 - STATE UNEMPLOYMENT INSURANCE</v>
      </c>
      <c r="C66" s="12"/>
      <c r="D66" s="8">
        <v>63.38</v>
      </c>
      <c r="E66" s="3"/>
      <c r="F66" s="7">
        <f t="shared" si="12"/>
        <v>2.7682513282190424E-3</v>
      </c>
      <c r="G66" s="3"/>
      <c r="H66" s="8">
        <v>70.17</v>
      </c>
      <c r="I66" s="3"/>
      <c r="J66" s="7">
        <f t="shared" si="13"/>
        <v>4.6795785778402585E-3</v>
      </c>
      <c r="K66" s="3"/>
      <c r="L66" s="8">
        <f t="shared" si="14"/>
        <v>-6.7899999999999991</v>
      </c>
      <c r="M66" s="3"/>
      <c r="N66" s="7">
        <f t="shared" si="15"/>
        <v>-9.6764999287444767E-2</v>
      </c>
      <c r="O66" s="12"/>
      <c r="P66" s="8">
        <v>747.3</v>
      </c>
      <c r="Q66" s="3"/>
      <c r="R66" s="7">
        <f t="shared" si="16"/>
        <v>3.47360837373423E-4</v>
      </c>
      <c r="S66" s="3"/>
      <c r="T66" s="8">
        <v>670.86</v>
      </c>
      <c r="U66" s="3"/>
      <c r="V66" s="7">
        <f t="shared" si="17"/>
        <v>2.5277456406796577E-4</v>
      </c>
      <c r="W66" s="3"/>
      <c r="X66" s="8">
        <f t="shared" si="18"/>
        <v>76.439999999999941</v>
      </c>
      <c r="Y66" s="3"/>
      <c r="Z66" s="7">
        <f t="shared" si="19"/>
        <v>0.11394329666398345</v>
      </c>
    </row>
    <row r="67" spans="1:26" s="69" customFormat="1" ht="15" hidden="1" customHeight="1" outlineLevel="2" x14ac:dyDescent="0.3">
      <c r="A67" s="25"/>
      <c r="B67" s="12" t="str">
        <f>CONCATENATE("          ","6115"," - ","P.E.R.S.")</f>
        <v xml:space="preserve">          6115 - P.E.R.S.</v>
      </c>
      <c r="C67" s="12"/>
      <c r="D67" s="8">
        <v>1474.56</v>
      </c>
      <c r="E67" s="3"/>
      <c r="F67" s="7">
        <f t="shared" si="12"/>
        <v>6.440442850329238E-2</v>
      </c>
      <c r="G67" s="3"/>
      <c r="H67" s="8">
        <v>1783.22</v>
      </c>
      <c r="I67" s="3"/>
      <c r="J67" s="7">
        <f t="shared" si="13"/>
        <v>0.11892144950229878</v>
      </c>
      <c r="K67" s="3"/>
      <c r="L67" s="8">
        <f t="shared" si="14"/>
        <v>-308.66000000000008</v>
      </c>
      <c r="M67" s="3"/>
      <c r="N67" s="7">
        <f t="shared" si="15"/>
        <v>-0.17309137403124689</v>
      </c>
      <c r="O67" s="12"/>
      <c r="P67" s="8">
        <v>16846.04</v>
      </c>
      <c r="Q67" s="3"/>
      <c r="R67" s="7">
        <f t="shared" si="16"/>
        <v>7.8303955049192821E-3</v>
      </c>
      <c r="S67" s="3"/>
      <c r="T67" s="8">
        <v>16741.73</v>
      </c>
      <c r="U67" s="3"/>
      <c r="V67" s="7">
        <f t="shared" si="17"/>
        <v>6.3081470090534299E-3</v>
      </c>
      <c r="W67" s="3"/>
      <c r="X67" s="8">
        <f t="shared" si="18"/>
        <v>104.31000000000131</v>
      </c>
      <c r="Y67" s="3"/>
      <c r="Z67" s="7">
        <f t="shared" si="19"/>
        <v>6.2305388989071803E-3</v>
      </c>
    </row>
    <row r="68" spans="1:26" s="69" customFormat="1" ht="15" hidden="1" customHeight="1" outlineLevel="2" x14ac:dyDescent="0.3">
      <c r="A68" s="25"/>
      <c r="B68" s="12" t="str">
        <f>CONCATENATE("          ","6117"," - ","RETIREMENT STAFF HOURLY")</f>
        <v xml:space="preserve">          6117 - RETIREMENT STAFF HOURLY</v>
      </c>
      <c r="C68" s="12"/>
      <c r="D68" s="8">
        <v>362.45</v>
      </c>
      <c r="E68" s="3"/>
      <c r="F68" s="7">
        <f t="shared" si="12"/>
        <v>1.5830746196165854E-2</v>
      </c>
      <c r="G68" s="3"/>
      <c r="H68" s="8">
        <v>368.6</v>
      </c>
      <c r="I68" s="3"/>
      <c r="J68" s="7">
        <f t="shared" si="13"/>
        <v>2.4581625535013814E-2</v>
      </c>
      <c r="K68" s="3"/>
      <c r="L68" s="8">
        <f t="shared" si="14"/>
        <v>-6.1500000000000341</v>
      </c>
      <c r="M68" s="3"/>
      <c r="N68" s="7">
        <f t="shared" si="15"/>
        <v>-1.6684753119913277E-2</v>
      </c>
      <c r="O68" s="12"/>
      <c r="P68" s="8">
        <v>2956.71</v>
      </c>
      <c r="Q68" s="3"/>
      <c r="R68" s="7">
        <f t="shared" si="16"/>
        <v>1.3743413106789425E-3</v>
      </c>
      <c r="S68" s="3"/>
      <c r="T68" s="8">
        <v>2509.58</v>
      </c>
      <c r="U68" s="3"/>
      <c r="V68" s="7">
        <f t="shared" si="17"/>
        <v>9.4558922948705462E-4</v>
      </c>
      <c r="W68" s="3"/>
      <c r="X68" s="8">
        <f t="shared" si="18"/>
        <v>447.13000000000011</v>
      </c>
      <c r="Y68" s="3"/>
      <c r="Z68" s="7">
        <f t="shared" si="19"/>
        <v>0.17816925541325646</v>
      </c>
    </row>
    <row r="69" spans="1:26" s="69" customFormat="1" ht="15" hidden="1" customHeight="1" outlineLevel="2" x14ac:dyDescent="0.3">
      <c r="A69" s="25"/>
      <c r="B69" s="12" t="str">
        <f>CONCATENATE("          ","6118"," - ","VACATION")</f>
        <v xml:space="preserve">          6118 - VACATION</v>
      </c>
      <c r="C69" s="12"/>
      <c r="D69" s="8">
        <v>1691.08</v>
      </c>
      <c r="E69" s="3"/>
      <c r="F69" s="7">
        <f t="shared" si="12"/>
        <v>7.3861383025002489E-2</v>
      </c>
      <c r="G69" s="3"/>
      <c r="H69" s="8">
        <v>1345.02</v>
      </c>
      <c r="I69" s="3"/>
      <c r="J69" s="7">
        <f t="shared" si="13"/>
        <v>8.9698258212437001E-2</v>
      </c>
      <c r="K69" s="3"/>
      <c r="L69" s="8">
        <f t="shared" si="14"/>
        <v>346.05999999999995</v>
      </c>
      <c r="M69" s="3"/>
      <c r="N69" s="7">
        <f t="shared" si="15"/>
        <v>0.25728985442595648</v>
      </c>
      <c r="O69" s="12"/>
      <c r="P69" s="8">
        <v>17006.080000000002</v>
      </c>
      <c r="Q69" s="3"/>
      <c r="R69" s="7">
        <f t="shared" si="16"/>
        <v>7.9047854800474004E-3</v>
      </c>
      <c r="S69" s="3"/>
      <c r="T69" s="8">
        <v>12034.68</v>
      </c>
      <c r="U69" s="3"/>
      <c r="V69" s="7">
        <f t="shared" si="17"/>
        <v>4.5345690467421913E-3</v>
      </c>
      <c r="W69" s="3"/>
      <c r="X69" s="8">
        <f t="shared" si="18"/>
        <v>4971.4000000000015</v>
      </c>
      <c r="Y69" s="3"/>
      <c r="Z69" s="7">
        <f t="shared" si="19"/>
        <v>0.413089504664852</v>
      </c>
    </row>
    <row r="70" spans="1:26" s="69" customFormat="1" ht="15" hidden="1" customHeight="1" outlineLevel="2" x14ac:dyDescent="0.3">
      <c r="A70" s="25"/>
      <c r="B70" s="12" t="str">
        <f>CONCATENATE("          ","6119"," - ","SICK LEAVE")</f>
        <v xml:space="preserve">          6119 - SICK LEAVE</v>
      </c>
      <c r="C70" s="12"/>
      <c r="D70" s="8">
        <v>1158.1500000000001</v>
      </c>
      <c r="E70" s="3"/>
      <c r="F70" s="7">
        <f t="shared" si="12"/>
        <v>5.0584573615918019E-2</v>
      </c>
      <c r="G70" s="3"/>
      <c r="H70" s="8">
        <v>1147.56</v>
      </c>
      <c r="I70" s="3"/>
      <c r="J70" s="7">
        <f t="shared" si="13"/>
        <v>7.6529816057950215E-2</v>
      </c>
      <c r="K70" s="3"/>
      <c r="L70" s="8">
        <f t="shared" si="14"/>
        <v>10.590000000000146</v>
      </c>
      <c r="M70" s="3"/>
      <c r="N70" s="7">
        <f t="shared" si="15"/>
        <v>9.2282756457179975E-3</v>
      </c>
      <c r="O70" s="12"/>
      <c r="P70" s="8">
        <v>-15330.09</v>
      </c>
      <c r="Q70" s="3"/>
      <c r="R70" s="7">
        <f t="shared" si="16"/>
        <v>-7.1257498988491087E-3</v>
      </c>
      <c r="S70" s="3"/>
      <c r="T70" s="8">
        <v>9887.02</v>
      </c>
      <c r="U70" s="3"/>
      <c r="V70" s="7">
        <f t="shared" si="17"/>
        <v>3.7253483147471288E-3</v>
      </c>
      <c r="W70" s="3"/>
      <c r="X70" s="8">
        <f t="shared" si="18"/>
        <v>-25217.11</v>
      </c>
      <c r="Y70" s="3"/>
      <c r="Z70" s="7">
        <f t="shared" si="19"/>
        <v>-2.5505268523781686</v>
      </c>
    </row>
    <row r="71" spans="1:26" s="69" customFormat="1" ht="15" hidden="1" customHeight="1" outlineLevel="2" x14ac:dyDescent="0.3">
      <c r="A71" s="25"/>
      <c r="B71" s="12" t="str">
        <f>CONCATENATE("          ","6156"," - ","EMPLOYEE MEALS")</f>
        <v xml:space="preserve">          6156 - EMPLOYEE MEALS</v>
      </c>
      <c r="C71" s="12"/>
      <c r="D71" s="8">
        <v>1083.5899999999999</v>
      </c>
      <c r="E71" s="3"/>
      <c r="F71" s="7">
        <f t="shared" si="12"/>
        <v>4.732801288647636E-2</v>
      </c>
      <c r="G71" s="3"/>
      <c r="H71" s="8">
        <v>411.55</v>
      </c>
      <c r="I71" s="3"/>
      <c r="J71" s="7">
        <f t="shared" si="13"/>
        <v>2.7445925092064394E-2</v>
      </c>
      <c r="K71" s="3"/>
      <c r="L71" s="8">
        <f t="shared" si="14"/>
        <v>672.04</v>
      </c>
      <c r="M71" s="3"/>
      <c r="N71" s="7">
        <f t="shared" si="15"/>
        <v>1.6329486089175069</v>
      </c>
      <c r="O71" s="12"/>
      <c r="P71" s="8">
        <v>7961.76</v>
      </c>
      <c r="Q71" s="3"/>
      <c r="R71" s="7">
        <f t="shared" si="16"/>
        <v>3.7007943537618422E-3</v>
      </c>
      <c r="S71" s="3"/>
      <c r="T71" s="8">
        <v>3787.39</v>
      </c>
      <c r="U71" s="3"/>
      <c r="V71" s="7">
        <f t="shared" si="17"/>
        <v>1.4270575920540393E-3</v>
      </c>
      <c r="W71" s="3"/>
      <c r="X71" s="8">
        <f t="shared" si="18"/>
        <v>4174.3700000000008</v>
      </c>
      <c r="Y71" s="3"/>
      <c r="Z71" s="7">
        <f t="shared" si="19"/>
        <v>1.1021759047787529</v>
      </c>
    </row>
    <row r="72" spans="1:26" s="68" customFormat="1" ht="15" customHeight="1" outlineLevel="1" collapsed="1" x14ac:dyDescent="0.3">
      <c r="A72" s="26"/>
      <c r="B72" s="14" t="str">
        <f>CONCATENATE("     ","*Payroll                                          ")</f>
        <v xml:space="preserve">     *Payroll                                          </v>
      </c>
      <c r="C72" s="14"/>
      <c r="D72" s="2">
        <f>SUM(OSRRefD22_1x_0)</f>
        <v>21854.46</v>
      </c>
      <c r="E72" s="2"/>
      <c r="F72" s="6">
        <f t="shared" si="12"/>
        <v>0.95453830739207834</v>
      </c>
      <c r="G72" s="2"/>
      <c r="H72" s="2">
        <f>SUM(OSRRefH22_1x_0)</f>
        <v>25735.149999999998</v>
      </c>
      <c r="I72" s="2"/>
      <c r="J72" s="6">
        <f t="shared" si="13"/>
        <v>1.7162556168947658</v>
      </c>
      <c r="K72" s="2"/>
      <c r="L72" s="2">
        <f t="shared" si="14"/>
        <v>-3880.6899999999987</v>
      </c>
      <c r="M72" s="2"/>
      <c r="N72" s="6">
        <f t="shared" si="15"/>
        <v>-0.15079337015715855</v>
      </c>
      <c r="O72" s="14"/>
      <c r="P72" s="2">
        <f>SUM(OSRRefP22_1x_0)</f>
        <v>269883.86</v>
      </c>
      <c r="Q72" s="2"/>
      <c r="R72" s="6">
        <f t="shared" si="16"/>
        <v>0.12544772327468443</v>
      </c>
      <c r="S72" s="2"/>
      <c r="T72" s="2">
        <f>SUM(OSRRefT22_1x_0)</f>
        <v>253133.52000000002</v>
      </c>
      <c r="U72" s="2"/>
      <c r="V72" s="6">
        <f t="shared" si="17"/>
        <v>9.5378641100959505E-2</v>
      </c>
      <c r="W72" s="2"/>
      <c r="X72" s="2">
        <f t="shared" si="18"/>
        <v>16750.339999999967</v>
      </c>
      <c r="Y72" s="2"/>
      <c r="Z72" s="6">
        <f t="shared" si="19"/>
        <v>6.617195541704618E-2</v>
      </c>
    </row>
    <row r="73" spans="1:26" s="69" customFormat="1" ht="15" hidden="1" customHeight="1" outlineLevel="2" x14ac:dyDescent="0.3">
      <c r="A73" s="25"/>
      <c r="B73" s="12" t="str">
        <f>CONCATENATE("          ","6001"," - ","ADMINISTRATIVE SALARIES")</f>
        <v xml:space="preserve">          6001 - ADMINISTRATIVE SALARIES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-311.32</v>
      </c>
      <c r="U73" s="3"/>
      <c r="V73" s="7">
        <f t="shared" si="17"/>
        <v>-1.1730283112070939E-4</v>
      </c>
      <c r="W73" s="3"/>
      <c r="X73" s="8">
        <f t="shared" si="18"/>
        <v>311.32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5"/>
      <c r="B74" s="12" t="str">
        <f>CONCATENATE("          ","6002"," - ","STAFF SALARIES")</f>
        <v xml:space="preserve">          6002 - STAFF SALARIES</v>
      </c>
      <c r="C74" s="12"/>
      <c r="D74" s="8">
        <v>14828.41</v>
      </c>
      <c r="E74" s="3"/>
      <c r="F74" s="7">
        <f t="shared" si="12"/>
        <v>0.647661181411747</v>
      </c>
      <c r="G74" s="3"/>
      <c r="H74" s="8">
        <v>16589.439999999999</v>
      </c>
      <c r="I74" s="3"/>
      <c r="J74" s="7">
        <f t="shared" si="13"/>
        <v>1.1063358706336939</v>
      </c>
      <c r="K74" s="3"/>
      <c r="L74" s="8">
        <f t="shared" si="14"/>
        <v>-1761.0299999999988</v>
      </c>
      <c r="M74" s="3"/>
      <c r="N74" s="7">
        <f t="shared" si="15"/>
        <v>-0.10615367366228148</v>
      </c>
      <c r="O74" s="12"/>
      <c r="P74" s="8">
        <v>169997.34</v>
      </c>
      <c r="Q74" s="3"/>
      <c r="R74" s="7">
        <f t="shared" si="16"/>
        <v>7.9018357250976182E-2</v>
      </c>
      <c r="S74" s="3"/>
      <c r="T74" s="8">
        <v>154715.68</v>
      </c>
      <c r="U74" s="3"/>
      <c r="V74" s="7">
        <f t="shared" si="17"/>
        <v>5.8295603503680182E-2</v>
      </c>
      <c r="W74" s="3"/>
      <c r="X74" s="8">
        <f t="shared" si="18"/>
        <v>15281.660000000003</v>
      </c>
      <c r="Y74" s="3"/>
      <c r="Z74" s="7">
        <f t="shared" si="19"/>
        <v>9.8772535530981767E-2</v>
      </c>
    </row>
    <row r="75" spans="1:26" s="69" customFormat="1" ht="15" hidden="1" customHeight="1" outlineLevel="2" x14ac:dyDescent="0.3">
      <c r="A75" s="25"/>
      <c r="B75" s="12" t="str">
        <f>CONCATENATE("          ","6004"," - ","STAFF HOURLY")</f>
        <v xml:space="preserve">          6004 - STAFF HOURLY</v>
      </c>
      <c r="C75" s="12"/>
      <c r="D75" s="8">
        <v>4726.37</v>
      </c>
      <c r="E75" s="3"/>
      <c r="F75" s="7">
        <f t="shared" si="12"/>
        <v>0.20643389129306774</v>
      </c>
      <c r="G75" s="3"/>
      <c r="H75" s="8">
        <v>5806.54</v>
      </c>
      <c r="I75" s="3"/>
      <c r="J75" s="7">
        <f t="shared" si="13"/>
        <v>0.38723329336429491</v>
      </c>
      <c r="K75" s="3"/>
      <c r="L75" s="8">
        <f t="shared" si="14"/>
        <v>-1080.17</v>
      </c>
      <c r="M75" s="3"/>
      <c r="N75" s="7">
        <f t="shared" si="15"/>
        <v>-0.18602644604187693</v>
      </c>
      <c r="O75" s="12"/>
      <c r="P75" s="8">
        <v>55351.68</v>
      </c>
      <c r="Q75" s="3"/>
      <c r="R75" s="7">
        <f t="shared" si="16"/>
        <v>2.5728630957882716E-2</v>
      </c>
      <c r="S75" s="3"/>
      <c r="T75" s="8">
        <v>59739.26</v>
      </c>
      <c r="U75" s="3"/>
      <c r="V75" s="7">
        <f t="shared" si="17"/>
        <v>2.250926483057995E-2</v>
      </c>
      <c r="W75" s="3"/>
      <c r="X75" s="8">
        <f t="shared" si="18"/>
        <v>-4387.5800000000017</v>
      </c>
      <c r="Y75" s="3"/>
      <c r="Z75" s="7">
        <f t="shared" si="19"/>
        <v>-7.3445503007569926E-2</v>
      </c>
    </row>
    <row r="76" spans="1:26" s="69" customFormat="1" ht="15" hidden="1" customHeight="1" outlineLevel="2" x14ac:dyDescent="0.3">
      <c r="A76" s="25"/>
      <c r="B76" s="12" t="str">
        <f>CONCATENATE("          ","6005"," - ","TEMPORARY WAGES-HOURLY")</f>
        <v xml:space="preserve">          6005 - TEMPORARY WAGES-HOURLY</v>
      </c>
      <c r="C76" s="12"/>
      <c r="D76" s="8"/>
      <c r="E76" s="3"/>
      <c r="F76" s="7">
        <f t="shared" si="12"/>
        <v>0</v>
      </c>
      <c r="G76" s="3"/>
      <c r="H76" s="8">
        <v>478.89</v>
      </c>
      <c r="I76" s="3"/>
      <c r="J76" s="7">
        <f t="shared" si="13"/>
        <v>3.193677333820609E-2</v>
      </c>
      <c r="K76" s="3"/>
      <c r="L76" s="8">
        <f t="shared" si="14"/>
        <v>-478.89</v>
      </c>
      <c r="M76" s="3"/>
      <c r="N76" s="7">
        <f t="shared" si="15"/>
        <v>-1</v>
      </c>
      <c r="O76" s="12"/>
      <c r="P76" s="8">
        <v>14698.31</v>
      </c>
      <c r="Q76" s="3"/>
      <c r="R76" s="7">
        <f t="shared" si="16"/>
        <v>6.8320851994836847E-3</v>
      </c>
      <c r="S76" s="3"/>
      <c r="T76" s="8">
        <v>13316.89</v>
      </c>
      <c r="U76" s="3"/>
      <c r="V76" s="7">
        <f t="shared" si="17"/>
        <v>5.0176952933414605E-3</v>
      </c>
      <c r="W76" s="3"/>
      <c r="X76" s="8">
        <f t="shared" si="18"/>
        <v>1381.42</v>
      </c>
      <c r="Y76" s="3"/>
      <c r="Z76" s="7">
        <f t="shared" si="19"/>
        <v>0.10373443048639736</v>
      </c>
    </row>
    <row r="77" spans="1:26" s="69" customFormat="1" ht="15" hidden="1" customHeight="1" outlineLevel="2" x14ac:dyDescent="0.3">
      <c r="A77" s="25"/>
      <c r="B77" s="12" t="str">
        <f>CONCATENATE("          ","6006"," - ","TEMPORARY PART TIME")</f>
        <v xml:space="preserve">          6006 - TEMPORARY PART TIME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502.29</v>
      </c>
      <c r="U77" s="3"/>
      <c r="V77" s="7">
        <f t="shared" si="17"/>
        <v>1.892587660401552E-4</v>
      </c>
      <c r="W77" s="3"/>
      <c r="X77" s="8">
        <f t="shared" si="18"/>
        <v>-502.29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5"/>
      <c r="B78" s="12" t="str">
        <f>CONCATENATE("          ","6007"," - ","STUDENT HOURLY")</f>
        <v xml:space="preserve">          6007 - STUDENT HOURLY</v>
      </c>
      <c r="C78" s="12"/>
      <c r="D78" s="8">
        <v>2299.6799999999998</v>
      </c>
      <c r="E78" s="3"/>
      <c r="F78" s="7">
        <f t="shared" si="12"/>
        <v>0.10044323468726359</v>
      </c>
      <c r="G78" s="3"/>
      <c r="H78" s="8">
        <v>2860.28</v>
      </c>
      <c r="I78" s="3"/>
      <c r="J78" s="7">
        <f t="shared" si="13"/>
        <v>0.19074967955857111</v>
      </c>
      <c r="K78" s="3"/>
      <c r="L78" s="8">
        <f t="shared" si="14"/>
        <v>-560.60000000000036</v>
      </c>
      <c r="M78" s="3"/>
      <c r="N78" s="7">
        <f t="shared" si="15"/>
        <v>-0.1959947977121122</v>
      </c>
      <c r="O78" s="12"/>
      <c r="P78" s="8">
        <v>25870.05</v>
      </c>
      <c r="Q78" s="3"/>
      <c r="R78" s="7">
        <f t="shared" si="16"/>
        <v>1.2024946113866349E-2</v>
      </c>
      <c r="S78" s="3"/>
      <c r="T78" s="8">
        <v>24203.46</v>
      </c>
      <c r="U78" s="3"/>
      <c r="V78" s="7">
        <f t="shared" si="17"/>
        <v>9.1196658772865376E-3</v>
      </c>
      <c r="W78" s="3"/>
      <c r="X78" s="8">
        <f t="shared" si="18"/>
        <v>1666.5900000000001</v>
      </c>
      <c r="Y78" s="3"/>
      <c r="Z78" s="7">
        <f t="shared" si="19"/>
        <v>6.885751045511676E-2</v>
      </c>
    </row>
    <row r="79" spans="1:26" s="69" customFormat="1" ht="15" hidden="1" customHeight="1" outlineLevel="2" x14ac:dyDescent="0.3">
      <c r="A79" s="25"/>
      <c r="B79" s="12" t="str">
        <f>CONCATENATE("          ","6008"," - ","STUDENT HOURLY-FICA EXEMPT")</f>
        <v xml:space="preserve">          6008 - STUDENT HOURLY-FICA EXEMPT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>
        <v>3966.48</v>
      </c>
      <c r="Q79" s="3"/>
      <c r="R79" s="7">
        <f t="shared" si="16"/>
        <v>1.8437037524754918E-3</v>
      </c>
      <c r="S79" s="3"/>
      <c r="T79" s="8">
        <v>967.26</v>
      </c>
      <c r="U79" s="3"/>
      <c r="V79" s="7">
        <f t="shared" si="17"/>
        <v>3.6445566115192522E-4</v>
      </c>
      <c r="W79" s="3"/>
      <c r="X79" s="8">
        <f t="shared" si="18"/>
        <v>2999.2200000000003</v>
      </c>
      <c r="Y79" s="3"/>
      <c r="Z79" s="7">
        <f t="shared" si="19"/>
        <v>3.100738167607469</v>
      </c>
    </row>
    <row r="80" spans="1:26" s="68" customFormat="1" ht="15" customHeight="1" outlineLevel="1" collapsed="1" x14ac:dyDescent="0.3">
      <c r="A80" s="26"/>
      <c r="B80" s="14" t="str">
        <f>CONCATENATE("     ","Advertising/Promo                                 ")</f>
        <v xml:space="preserve">     Advertising/Promo                                 </v>
      </c>
      <c r="C80" s="14"/>
      <c r="D80" s="2">
        <f>SUM(OSRRefD22_2x_0)</f>
        <v>0</v>
      </c>
      <c r="E80" s="2"/>
      <c r="F80" s="6">
        <f t="shared" si="12"/>
        <v>0</v>
      </c>
      <c r="G80" s="2"/>
      <c r="H80" s="2">
        <f>SUM(OSRRefH22_2x_0)</f>
        <v>30.83</v>
      </c>
      <c r="I80" s="2"/>
      <c r="J80" s="6">
        <f t="shared" si="13"/>
        <v>2.0560268997408459E-3</v>
      </c>
      <c r="K80" s="2"/>
      <c r="L80" s="2">
        <f t="shared" si="14"/>
        <v>-30.83</v>
      </c>
      <c r="M80" s="2"/>
      <c r="N80" s="6">
        <f t="shared" si="15"/>
        <v>-1</v>
      </c>
      <c r="O80" s="14"/>
      <c r="P80" s="2">
        <f>SUM(OSRRefP22_2x_0)</f>
        <v>837.79</v>
      </c>
      <c r="Q80" s="2"/>
      <c r="R80" s="6">
        <f t="shared" si="16"/>
        <v>3.8942250226559625E-4</v>
      </c>
      <c r="S80" s="2"/>
      <c r="T80" s="2">
        <f>SUM(OSRRefT22_2x_0)</f>
        <v>2030.38</v>
      </c>
      <c r="U80" s="2"/>
      <c r="V80" s="6">
        <f t="shared" si="17"/>
        <v>7.6503058669814318E-4</v>
      </c>
      <c r="W80" s="2"/>
      <c r="X80" s="2">
        <f t="shared" si="18"/>
        <v>-1192.5900000000001</v>
      </c>
      <c r="Y80" s="2"/>
      <c r="Z80" s="6">
        <f t="shared" si="19"/>
        <v>-0.58737280706074724</v>
      </c>
    </row>
    <row r="81" spans="1:26" s="69" customFormat="1" ht="15" hidden="1" customHeight="1" outlineLevel="2" x14ac:dyDescent="0.3">
      <c r="A81" s="25"/>
      <c r="B81" s="12" t="str">
        <f>CONCATENATE("          ","6362"," - ","ADVERTISING EXPENSE")</f>
        <v xml:space="preserve">          6362 - ADVERTISING EXPENSE</v>
      </c>
      <c r="C81" s="12"/>
      <c r="D81" s="8"/>
      <c r="E81" s="3"/>
      <c r="F81" s="7">
        <f t="shared" si="12"/>
        <v>0</v>
      </c>
      <c r="G81" s="3"/>
      <c r="H81" s="8">
        <v>30.83</v>
      </c>
      <c r="I81" s="3"/>
      <c r="J81" s="7">
        <f t="shared" si="13"/>
        <v>2.0560268997408459E-3</v>
      </c>
      <c r="K81" s="3"/>
      <c r="L81" s="8">
        <f t="shared" si="14"/>
        <v>-30.83</v>
      </c>
      <c r="M81" s="3"/>
      <c r="N81" s="7">
        <f t="shared" si="15"/>
        <v>-1</v>
      </c>
      <c r="O81" s="12"/>
      <c r="P81" s="8">
        <v>837.79</v>
      </c>
      <c r="Q81" s="3"/>
      <c r="R81" s="7">
        <f t="shared" si="16"/>
        <v>3.8942250226559625E-4</v>
      </c>
      <c r="S81" s="3"/>
      <c r="T81" s="8">
        <v>2030.38</v>
      </c>
      <c r="U81" s="3"/>
      <c r="V81" s="7">
        <f t="shared" si="17"/>
        <v>7.6503058669814318E-4</v>
      </c>
      <c r="W81" s="3"/>
      <c r="X81" s="8">
        <f t="shared" si="18"/>
        <v>-1192.5900000000001</v>
      </c>
      <c r="Y81" s="3"/>
      <c r="Z81" s="7">
        <f t="shared" si="19"/>
        <v>-0.58737280706074724</v>
      </c>
    </row>
    <row r="82" spans="1:26" s="68" customFormat="1" ht="15" customHeight="1" outlineLevel="1" collapsed="1" x14ac:dyDescent="0.3">
      <c r="A82" s="26"/>
      <c r="B82" s="14" t="str">
        <f>CONCATENATE("     ","Discounts and Markdowns                           ")</f>
        <v xml:space="preserve">     Discounts and Markdowns                           </v>
      </c>
      <c r="C82" s="14"/>
      <c r="D82" s="2">
        <f>SUM(OSRRefD22_3x_0)</f>
        <v>0</v>
      </c>
      <c r="E82" s="2"/>
      <c r="F82" s="6">
        <f t="shared" si="12"/>
        <v>0</v>
      </c>
      <c r="G82" s="2"/>
      <c r="H82" s="2">
        <f>SUM(OSRRefH22_3x_0)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SUM(OSRRefP22_3x_0)</f>
        <v>1.35</v>
      </c>
      <c r="Q82" s="2"/>
      <c r="R82" s="6">
        <f t="shared" si="16"/>
        <v>6.2750853800899388E-7</v>
      </c>
      <c r="S82" s="2"/>
      <c r="T82" s="2">
        <f>SUM(OSRRefT22_3x_0)</f>
        <v>0</v>
      </c>
      <c r="U82" s="2"/>
      <c r="V82" s="6">
        <f t="shared" si="17"/>
        <v>0</v>
      </c>
      <c r="W82" s="2"/>
      <c r="X82" s="2">
        <f t="shared" si="18"/>
        <v>1.35</v>
      </c>
      <c r="Y82" s="2"/>
      <c r="Z82" s="6">
        <f t="shared" si="19"/>
        <v>0</v>
      </c>
    </row>
    <row r="83" spans="1:26" s="69" customFormat="1" ht="15" hidden="1" customHeight="1" outlineLevel="2" x14ac:dyDescent="0.3">
      <c r="A83" s="25"/>
      <c r="B83" s="12" t="str">
        <f>CONCATENATE("          ","6382"," - ","DISCOUNTS/MARK DOWNS")</f>
        <v xml:space="preserve">          6382 - DISCOUNTS/MARK DOWNS</v>
      </c>
      <c r="C83" s="12"/>
      <c r="D83" s="8"/>
      <c r="E83" s="3"/>
      <c r="F83" s="7">
        <f t="shared" si="12"/>
        <v>0</v>
      </c>
      <c r="G83" s="3"/>
      <c r="H83" s="8">
        <v>0</v>
      </c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1.35</v>
      </c>
      <c r="Q83" s="3"/>
      <c r="R83" s="7">
        <f t="shared" si="16"/>
        <v>6.2750853800899388E-7</v>
      </c>
      <c r="S83" s="3"/>
      <c r="T83" s="8">
        <v>0</v>
      </c>
      <c r="U83" s="3"/>
      <c r="V83" s="7">
        <f t="shared" si="17"/>
        <v>0</v>
      </c>
      <c r="W83" s="3"/>
      <c r="X83" s="8">
        <f t="shared" si="18"/>
        <v>1.35</v>
      </c>
      <c r="Y83" s="3"/>
      <c r="Z83" s="7">
        <f t="shared" si="19"/>
        <v>0</v>
      </c>
    </row>
    <row r="84" spans="1:26" s="69" customFormat="1" ht="15" hidden="1" customHeight="1" outlineLevel="2" x14ac:dyDescent="0.3">
      <c r="A84" s="25"/>
      <c r="B84" s="12" t="str">
        <f>CONCATENATE("          ","9175"," - ","EARNED DISCOUNTS")</f>
        <v xml:space="preserve">          9175 - EARNED DISCOUNTS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/>
      <c r="Q84" s="3"/>
      <c r="R84" s="7">
        <f t="shared" si="16"/>
        <v>0</v>
      </c>
      <c r="S84" s="3"/>
      <c r="T84" s="8">
        <v>0</v>
      </c>
      <c r="U84" s="3"/>
      <c r="V84" s="7">
        <f t="shared" si="17"/>
        <v>0</v>
      </c>
      <c r="W84" s="3"/>
      <c r="X84" s="8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6"/>
      <c r="B85" s="14" t="str">
        <f>CONCATENATE("     ","Employees' Appreciation                           ")</f>
        <v xml:space="preserve">     Employees' Appreciation                           </v>
      </c>
      <c r="C85" s="14"/>
      <c r="D85" s="2">
        <f>SUM(OSRRefD22_4x_0)</f>
        <v>0</v>
      </c>
      <c r="E85" s="2"/>
      <c r="F85" s="6">
        <f t="shared" si="12"/>
        <v>0</v>
      </c>
      <c r="G85" s="2"/>
      <c r="H85" s="2">
        <f>SUM(OSRRefH22_4x_0)</f>
        <v>0</v>
      </c>
      <c r="I85" s="2"/>
      <c r="J85" s="6">
        <f t="shared" si="13"/>
        <v>0</v>
      </c>
      <c r="K85" s="2"/>
      <c r="L85" s="2">
        <f t="shared" si="14"/>
        <v>0</v>
      </c>
      <c r="M85" s="2"/>
      <c r="N85" s="6">
        <f t="shared" si="15"/>
        <v>0</v>
      </c>
      <c r="O85" s="14"/>
      <c r="P85" s="2">
        <f>SUM(OSRRefP22_4x_0)</f>
        <v>0</v>
      </c>
      <c r="Q85" s="2"/>
      <c r="R85" s="6">
        <f t="shared" si="16"/>
        <v>0</v>
      </c>
      <c r="S85" s="2"/>
      <c r="T85" s="2">
        <f>SUM(OSRRefT22_4x_0)</f>
        <v>107.7</v>
      </c>
      <c r="U85" s="2"/>
      <c r="V85" s="6">
        <f t="shared" si="17"/>
        <v>4.0580479608442765E-5</v>
      </c>
      <c r="W85" s="2"/>
      <c r="X85" s="2">
        <f t="shared" si="18"/>
        <v>-107.7</v>
      </c>
      <c r="Y85" s="2"/>
      <c r="Z85" s="6">
        <f t="shared" si="19"/>
        <v>-1</v>
      </c>
    </row>
    <row r="86" spans="1:26" s="69" customFormat="1" ht="15" hidden="1" customHeight="1" outlineLevel="2" x14ac:dyDescent="0.3">
      <c r="A86" s="25"/>
      <c r="B86" s="12" t="str">
        <f>CONCATENATE("          ","6277"," - ","EMPLOYEE APPRECIATION")</f>
        <v xml:space="preserve">          6277 - EMPLOYEE APPRECIATION</v>
      </c>
      <c r="C86" s="12"/>
      <c r="D86" s="8"/>
      <c r="E86" s="3"/>
      <c r="F86" s="7">
        <f t="shared" si="12"/>
        <v>0</v>
      </c>
      <c r="G86" s="3"/>
      <c r="H86" s="8"/>
      <c r="I86" s="3"/>
      <c r="J86" s="7">
        <f t="shared" si="13"/>
        <v>0</v>
      </c>
      <c r="K86" s="3"/>
      <c r="L86" s="8">
        <f t="shared" si="14"/>
        <v>0</v>
      </c>
      <c r="M86" s="3"/>
      <c r="N86" s="7">
        <f t="shared" si="15"/>
        <v>0</v>
      </c>
      <c r="O86" s="12"/>
      <c r="P86" s="8"/>
      <c r="Q86" s="3"/>
      <c r="R86" s="7">
        <f t="shared" si="16"/>
        <v>0</v>
      </c>
      <c r="S86" s="3"/>
      <c r="T86" s="8">
        <v>107.7</v>
      </c>
      <c r="U86" s="3"/>
      <c r="V86" s="7">
        <f t="shared" si="17"/>
        <v>4.0580479608442765E-5</v>
      </c>
      <c r="W86" s="3"/>
      <c r="X86" s="8">
        <f t="shared" si="18"/>
        <v>-107.7</v>
      </c>
      <c r="Y86" s="3"/>
      <c r="Z86" s="7">
        <f t="shared" si="19"/>
        <v>-1</v>
      </c>
    </row>
    <row r="87" spans="1:26" s="68" customFormat="1" ht="15" customHeight="1" outlineLevel="1" collapsed="1" x14ac:dyDescent="0.3">
      <c r="A87" s="26"/>
      <c r="B87" s="14" t="str">
        <f>CONCATENATE("     ","Equipment Rental                                  ")</f>
        <v xml:space="preserve">     Equipment Rental                                  </v>
      </c>
      <c r="C87" s="14"/>
      <c r="D87" s="2">
        <f>SUM(OSRRefD22_5x_0)</f>
        <v>91.26</v>
      </c>
      <c r="E87" s="2"/>
      <c r="F87" s="6">
        <f t="shared" si="12"/>
        <v>3.98596743788687E-3</v>
      </c>
      <c r="G87" s="2"/>
      <c r="H87" s="2">
        <f>SUM(OSRRefH22_5x_0)</f>
        <v>91.26</v>
      </c>
      <c r="I87" s="2"/>
      <c r="J87" s="6">
        <f t="shared" si="13"/>
        <v>6.0860530285549667E-3</v>
      </c>
      <c r="K87" s="2"/>
      <c r="L87" s="2">
        <f t="shared" si="14"/>
        <v>0</v>
      </c>
      <c r="M87" s="2"/>
      <c r="N87" s="6">
        <f t="shared" si="15"/>
        <v>0</v>
      </c>
      <c r="O87" s="14"/>
      <c r="P87" s="2">
        <f>SUM(OSRRefP22_5x_0)</f>
        <v>821.34</v>
      </c>
      <c r="Q87" s="2"/>
      <c r="R87" s="6">
        <f t="shared" si="16"/>
        <v>3.8177619452467188E-4</v>
      </c>
      <c r="S87" s="2"/>
      <c r="T87" s="2">
        <f>SUM(OSRRefT22_5x_0)</f>
        <v>821.34</v>
      </c>
      <c r="U87" s="2"/>
      <c r="V87" s="6">
        <f t="shared" si="17"/>
        <v>3.094741979721298E-4</v>
      </c>
      <c r="W87" s="2"/>
      <c r="X87" s="2">
        <f t="shared" si="18"/>
        <v>0</v>
      </c>
      <c r="Y87" s="2"/>
      <c r="Z87" s="6">
        <f t="shared" si="19"/>
        <v>0</v>
      </c>
    </row>
    <row r="88" spans="1:26" s="69" customFormat="1" ht="15" hidden="1" customHeight="1" outlineLevel="2" x14ac:dyDescent="0.3">
      <c r="A88" s="25"/>
      <c r="B88" s="12" t="str">
        <f>CONCATENATE("          ","6351"," - ","EQUIPMENT RENTAL")</f>
        <v xml:space="preserve">          6351 - EQUIPMENT RENTAL</v>
      </c>
      <c r="C88" s="12"/>
      <c r="D88" s="8">
        <v>91.26</v>
      </c>
      <c r="E88" s="3"/>
      <c r="F88" s="7">
        <f t="shared" si="12"/>
        <v>3.98596743788687E-3</v>
      </c>
      <c r="G88" s="3"/>
      <c r="H88" s="8">
        <v>91.26</v>
      </c>
      <c r="I88" s="3"/>
      <c r="J88" s="7">
        <f t="shared" si="13"/>
        <v>6.0860530285549667E-3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821.34</v>
      </c>
      <c r="Q88" s="3"/>
      <c r="R88" s="7">
        <f t="shared" si="16"/>
        <v>3.8177619452467188E-4</v>
      </c>
      <c r="S88" s="3"/>
      <c r="T88" s="8">
        <v>821.34</v>
      </c>
      <c r="U88" s="3"/>
      <c r="V88" s="7">
        <f t="shared" si="17"/>
        <v>3.094741979721298E-4</v>
      </c>
      <c r="W88" s="3"/>
      <c r="X88" s="8">
        <f t="shared" si="18"/>
        <v>0</v>
      </c>
      <c r="Y88" s="3"/>
      <c r="Z88" s="7">
        <f t="shared" si="19"/>
        <v>0</v>
      </c>
    </row>
    <row r="89" spans="1:26" s="68" customFormat="1" ht="15" customHeight="1" outlineLevel="1" collapsed="1" x14ac:dyDescent="0.3">
      <c r="A89" s="26"/>
      <c r="B89" s="14" t="str">
        <f>CONCATENATE("     ","Freight out/Postage                               ")</f>
        <v xml:space="preserve">     Freight out/Postage                               </v>
      </c>
      <c r="C89" s="14"/>
      <c r="D89" s="2">
        <f>SUM(OSRRefD22_6x_0)</f>
        <v>0</v>
      </c>
      <c r="E89" s="2"/>
      <c r="F89" s="6">
        <f t="shared" si="12"/>
        <v>0</v>
      </c>
      <c r="G89" s="2"/>
      <c r="H89" s="2">
        <f>SUM(OSRRefH22_6x_0)</f>
        <v>7217.53</v>
      </c>
      <c r="I89" s="2"/>
      <c r="J89" s="6">
        <f t="shared" si="13"/>
        <v>0.4813310356693658</v>
      </c>
      <c r="K89" s="2"/>
      <c r="L89" s="2">
        <f t="shared" si="14"/>
        <v>-7217.53</v>
      </c>
      <c r="M89" s="2"/>
      <c r="N89" s="6">
        <f t="shared" si="15"/>
        <v>-1</v>
      </c>
      <c r="O89" s="14"/>
      <c r="P89" s="2">
        <f>SUM(OSRRefP22_6x_0)</f>
        <v>5623.17</v>
      </c>
      <c r="Q89" s="2"/>
      <c r="R89" s="6">
        <f t="shared" si="16"/>
        <v>2.6137682856859513E-3</v>
      </c>
      <c r="S89" s="2"/>
      <c r="T89" s="2">
        <f>SUM(OSRRefT22_6x_0)</f>
        <v>17681.86</v>
      </c>
      <c r="U89" s="2"/>
      <c r="V89" s="6">
        <f t="shared" si="17"/>
        <v>6.6623803079790137E-3</v>
      </c>
      <c r="W89" s="2"/>
      <c r="X89" s="2">
        <f t="shared" si="18"/>
        <v>-12058.69</v>
      </c>
      <c r="Y89" s="2"/>
      <c r="Z89" s="6">
        <f t="shared" si="19"/>
        <v>-0.68198085495530447</v>
      </c>
    </row>
    <row r="90" spans="1:26" s="69" customFormat="1" ht="15" hidden="1" customHeight="1" outlineLevel="2" x14ac:dyDescent="0.3">
      <c r="A90" s="25"/>
      <c r="B90" s="12" t="str">
        <f>CONCATENATE("          ","6305"," - ","FREIGHT OUT")</f>
        <v xml:space="preserve">          6305 - FREIGHT OUT</v>
      </c>
      <c r="C90" s="12"/>
      <c r="D90" s="8">
        <v>0</v>
      </c>
      <c r="E90" s="3"/>
      <c r="F90" s="7">
        <f t="shared" si="12"/>
        <v>0</v>
      </c>
      <c r="G90" s="3"/>
      <c r="H90" s="8">
        <v>7217.53</v>
      </c>
      <c r="I90" s="3"/>
      <c r="J90" s="7">
        <f t="shared" si="13"/>
        <v>0.4813310356693658</v>
      </c>
      <c r="K90" s="3"/>
      <c r="L90" s="8">
        <f t="shared" si="14"/>
        <v>-7217.53</v>
      </c>
      <c r="M90" s="3"/>
      <c r="N90" s="7">
        <f t="shared" si="15"/>
        <v>-1</v>
      </c>
      <c r="O90" s="12"/>
      <c r="P90" s="8">
        <v>5621.58</v>
      </c>
      <c r="Q90" s="3"/>
      <c r="R90" s="7">
        <f t="shared" si="16"/>
        <v>2.6130292200745183E-3</v>
      </c>
      <c r="S90" s="3"/>
      <c r="T90" s="8">
        <v>17681.36</v>
      </c>
      <c r="U90" s="3"/>
      <c r="V90" s="7">
        <f t="shared" si="17"/>
        <v>6.6621919120662537E-3</v>
      </c>
      <c r="W90" s="3"/>
      <c r="X90" s="8">
        <f t="shared" si="18"/>
        <v>-12059.78</v>
      </c>
      <c r="Y90" s="3"/>
      <c r="Z90" s="7">
        <f t="shared" si="19"/>
        <v>-0.68206178710234966</v>
      </c>
    </row>
    <row r="91" spans="1:26" s="69" customFormat="1" ht="15" hidden="1" customHeight="1" outlineLevel="2" x14ac:dyDescent="0.3">
      <c r="A91" s="25"/>
      <c r="B91" s="12" t="str">
        <f>CONCATENATE("          ","6307"," - ","POSTAGE")</f>
        <v xml:space="preserve">          6307 - POSTAGE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1.59</v>
      </c>
      <c r="Q91" s="3"/>
      <c r="R91" s="7">
        <f t="shared" si="16"/>
        <v>7.3906561143281502E-7</v>
      </c>
      <c r="S91" s="3"/>
      <c r="T91" s="8">
        <v>0.5</v>
      </c>
      <c r="U91" s="3"/>
      <c r="V91" s="7">
        <f t="shared" si="17"/>
        <v>1.883959127597157E-7</v>
      </c>
      <c r="W91" s="3"/>
      <c r="X91" s="8">
        <f t="shared" si="18"/>
        <v>1.0900000000000001</v>
      </c>
      <c r="Y91" s="3"/>
      <c r="Z91" s="7">
        <f t="shared" si="19"/>
        <v>2.1800000000000002</v>
      </c>
    </row>
    <row r="92" spans="1:26" s="68" customFormat="1" ht="15" customHeight="1" outlineLevel="1" collapsed="1" x14ac:dyDescent="0.3">
      <c r="A92" s="26"/>
      <c r="B92" s="14" t="str">
        <f>CONCATENATE("     ","General                                           ")</f>
        <v xml:space="preserve">     General                                           </v>
      </c>
      <c r="C92" s="14"/>
      <c r="D92" s="2">
        <f>SUM(OSRRefD22_7x_0)</f>
        <v>0</v>
      </c>
      <c r="E92" s="2"/>
      <c r="F92" s="6">
        <f t="shared" si="12"/>
        <v>0</v>
      </c>
      <c r="G92" s="2"/>
      <c r="H92" s="2">
        <f>SUM(OSRRefH22_7x_0)</f>
        <v>0</v>
      </c>
      <c r="I92" s="2"/>
      <c r="J92" s="6">
        <f t="shared" si="13"/>
        <v>0</v>
      </c>
      <c r="K92" s="2"/>
      <c r="L92" s="2">
        <f t="shared" si="14"/>
        <v>0</v>
      </c>
      <c r="M92" s="2"/>
      <c r="N92" s="6">
        <f t="shared" si="15"/>
        <v>0</v>
      </c>
      <c r="O92" s="14"/>
      <c r="P92" s="2">
        <f>SUM(OSRRefP22_7x_0)</f>
        <v>0</v>
      </c>
      <c r="Q92" s="2"/>
      <c r="R92" s="6">
        <f t="shared" si="16"/>
        <v>0</v>
      </c>
      <c r="S92" s="2"/>
      <c r="T92" s="2">
        <f>SUM(OSRRefT22_7x_0)</f>
        <v>-1042.03</v>
      </c>
      <c r="U92" s="2"/>
      <c r="V92" s="6">
        <f t="shared" si="17"/>
        <v>-3.9262838594601311E-4</v>
      </c>
      <c r="W92" s="2"/>
      <c r="X92" s="2">
        <f t="shared" si="18"/>
        <v>1042.03</v>
      </c>
      <c r="Y92" s="2"/>
      <c r="Z92" s="6">
        <f t="shared" si="19"/>
        <v>-1</v>
      </c>
    </row>
    <row r="93" spans="1:26" s="69" customFormat="1" ht="15" hidden="1" customHeight="1" outlineLevel="2" x14ac:dyDescent="0.3">
      <c r="A93" s="25"/>
      <c r="B93" s="12" t="str">
        <f>CONCATENATE("          ","6279"," - ","GENERAL EXPENSE")</f>
        <v xml:space="preserve">          6279 - GENERAL EXPENSE</v>
      </c>
      <c r="C93" s="12"/>
      <c r="D93" s="8"/>
      <c r="E93" s="3"/>
      <c r="F93" s="7">
        <f t="shared" ref="F93:F110" si="20">IF(D$12=0,0,D93/D$12)</f>
        <v>0</v>
      </c>
      <c r="G93" s="3"/>
      <c r="H93" s="8">
        <v>0</v>
      </c>
      <c r="I93" s="3"/>
      <c r="J93" s="7">
        <f t="shared" ref="J93:J110" si="21">IF(H$12=0,0,H93/H$12)</f>
        <v>0</v>
      </c>
      <c r="K93" s="3"/>
      <c r="L93" s="8">
        <f t="shared" ref="L93:L110" si="22">+D93-H93</f>
        <v>0</v>
      </c>
      <c r="M93" s="3"/>
      <c r="N93" s="7">
        <f t="shared" ref="N93:N110" si="23">IF(H93=0,0,L93/H93)</f>
        <v>0</v>
      </c>
      <c r="O93" s="12"/>
      <c r="P93" s="8"/>
      <c r="Q93" s="3"/>
      <c r="R93" s="7">
        <f t="shared" ref="R93:R110" si="24">IF(P$12=0,0,P93/P$12)</f>
        <v>0</v>
      </c>
      <c r="S93" s="3"/>
      <c r="T93" s="8">
        <v>-1042.03</v>
      </c>
      <c r="U93" s="3"/>
      <c r="V93" s="7">
        <f t="shared" ref="V93:V110" si="25">IF(T$12=0,0,T93/T$12)</f>
        <v>-3.9262838594601311E-4</v>
      </c>
      <c r="W93" s="3"/>
      <c r="X93" s="8">
        <f t="shared" ref="X93:X110" si="26">+P93-T93</f>
        <v>1042.03</v>
      </c>
      <c r="Y93" s="3"/>
      <c r="Z93" s="7">
        <f t="shared" ref="Z93:Z110" si="27">IF(T93=0,0,X93/T93)</f>
        <v>-1</v>
      </c>
    </row>
    <row r="94" spans="1:26" s="68" customFormat="1" ht="15" customHeight="1" outlineLevel="1" collapsed="1" x14ac:dyDescent="0.3">
      <c r="A94" s="26"/>
      <c r="B94" s="14" t="str">
        <f>CONCATENATE("     ","Inventory Adjustment                              ")</f>
        <v xml:space="preserve">     Inventory Adjustment                              </v>
      </c>
      <c r="C94" s="14"/>
      <c r="D94" s="2">
        <f>SUM(OSRRefD22_8x_0)</f>
        <v>1000</v>
      </c>
      <c r="E94" s="2"/>
      <c r="F94" s="6">
        <f t="shared" si="20"/>
        <v>4.3677048409893379E-2</v>
      </c>
      <c r="G94" s="2"/>
      <c r="H94" s="2">
        <f>SUM(OSRRefH22_8x_0)</f>
        <v>1000</v>
      </c>
      <c r="I94" s="2"/>
      <c r="J94" s="6">
        <f t="shared" si="21"/>
        <v>6.6689163144367375E-2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SUM(OSRRefP22_8x_0)</f>
        <v>13000</v>
      </c>
      <c r="Q94" s="2"/>
      <c r="R94" s="6">
        <f t="shared" si="24"/>
        <v>6.0426748104569781E-3</v>
      </c>
      <c r="S94" s="2"/>
      <c r="T94" s="2">
        <f>SUM(OSRRefT22_8x_0)</f>
        <v>14000</v>
      </c>
      <c r="U94" s="2"/>
      <c r="V94" s="6">
        <f t="shared" si="25"/>
        <v>5.2750855572720398E-3</v>
      </c>
      <c r="W94" s="2"/>
      <c r="X94" s="2">
        <f t="shared" si="26"/>
        <v>-1000</v>
      </c>
      <c r="Y94" s="2"/>
      <c r="Z94" s="6">
        <f t="shared" si="27"/>
        <v>-7.1428571428571425E-2</v>
      </c>
    </row>
    <row r="95" spans="1:26" s="69" customFormat="1" ht="15" hidden="1" customHeight="1" outlineLevel="2" x14ac:dyDescent="0.3">
      <c r="A95" s="25"/>
      <c r="B95" s="12" t="str">
        <f>CONCATENATE("          ","6408"," - ","INVENTORY ADJUSTMENT")</f>
        <v xml:space="preserve">          6408 - INVENTORY ADJUSTMENT</v>
      </c>
      <c r="C95" s="12"/>
      <c r="D95" s="8">
        <v>1000</v>
      </c>
      <c r="E95" s="3"/>
      <c r="F95" s="7">
        <f t="shared" si="20"/>
        <v>4.3677048409893379E-2</v>
      </c>
      <c r="G95" s="3"/>
      <c r="H95" s="8">
        <v>1000</v>
      </c>
      <c r="I95" s="3"/>
      <c r="J95" s="7">
        <f t="shared" si="21"/>
        <v>6.6689163144367375E-2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13000</v>
      </c>
      <c r="Q95" s="3"/>
      <c r="R95" s="7">
        <f t="shared" si="24"/>
        <v>6.0426748104569781E-3</v>
      </c>
      <c r="S95" s="3"/>
      <c r="T95" s="8">
        <v>14000</v>
      </c>
      <c r="U95" s="3"/>
      <c r="V95" s="7">
        <f t="shared" si="25"/>
        <v>5.2750855572720398E-3</v>
      </c>
      <c r="W95" s="3"/>
      <c r="X95" s="8">
        <f t="shared" si="26"/>
        <v>-1000</v>
      </c>
      <c r="Y95" s="3"/>
      <c r="Z95" s="7">
        <f t="shared" si="27"/>
        <v>-7.1428571428571425E-2</v>
      </c>
    </row>
    <row r="96" spans="1:26" s="68" customFormat="1" ht="15" customHeight="1" outlineLevel="1" collapsed="1" x14ac:dyDescent="0.3">
      <c r="A96" s="26"/>
      <c r="B96" s="14" t="str">
        <f>CONCATENATE("     ","Repair and Maintenance                            ")</f>
        <v xml:space="preserve">     Repair and Maintenance                            </v>
      </c>
      <c r="C96" s="14"/>
      <c r="D96" s="2">
        <f>SUM(OSRRefD22_9x_0)</f>
        <v>149.29999999999998</v>
      </c>
      <c r="E96" s="2"/>
      <c r="F96" s="6">
        <f t="shared" si="20"/>
        <v>6.5209833275970807E-3</v>
      </c>
      <c r="G96" s="2"/>
      <c r="H96" s="2">
        <f>SUM(OSRRefH22_9x_0)</f>
        <v>24.47</v>
      </c>
      <c r="I96" s="2"/>
      <c r="J96" s="6">
        <f t="shared" si="21"/>
        <v>1.6318838221426695E-3</v>
      </c>
      <c r="K96" s="2"/>
      <c r="L96" s="2">
        <f t="shared" si="22"/>
        <v>124.82999999999998</v>
      </c>
      <c r="M96" s="2"/>
      <c r="N96" s="6">
        <f t="shared" si="23"/>
        <v>5.101348590110339</v>
      </c>
      <c r="O96" s="14"/>
      <c r="P96" s="2">
        <f>SUM(OSRRefP22_9x_0)</f>
        <v>6045.15</v>
      </c>
      <c r="Q96" s="2"/>
      <c r="R96" s="6">
        <f t="shared" si="24"/>
        <v>2.8099135100333843E-3</v>
      </c>
      <c r="S96" s="2"/>
      <c r="T96" s="2">
        <f>SUM(OSRRefT22_9x_0)</f>
        <v>207.32</v>
      </c>
      <c r="U96" s="2"/>
      <c r="V96" s="6">
        <f t="shared" si="25"/>
        <v>7.8116481266688511E-5</v>
      </c>
      <c r="W96" s="2"/>
      <c r="X96" s="2">
        <f t="shared" si="26"/>
        <v>5837.83</v>
      </c>
      <c r="Y96" s="2"/>
      <c r="Z96" s="6">
        <f t="shared" si="27"/>
        <v>28.158547173451669</v>
      </c>
    </row>
    <row r="97" spans="1:26" s="69" customFormat="1" ht="15" hidden="1" customHeight="1" outlineLevel="2" x14ac:dyDescent="0.3">
      <c r="A97" s="25"/>
      <c r="B97" s="12" t="str">
        <f>CONCATENATE("          ","6371"," - ","COMPUTER SOFTWARE MAINTENANCE")</f>
        <v xml:space="preserve">          6371 - COMPUTER SOFTWARE MAINTENANCE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5775</v>
      </c>
      <c r="Q97" s="3"/>
      <c r="R97" s="7">
        <f t="shared" si="24"/>
        <v>2.6843420792606958E-3</v>
      </c>
      <c r="S97" s="3"/>
      <c r="T97" s="8"/>
      <c r="U97" s="3"/>
      <c r="V97" s="7">
        <f t="shared" si="25"/>
        <v>0</v>
      </c>
      <c r="W97" s="3"/>
      <c r="X97" s="8">
        <f t="shared" si="26"/>
        <v>5775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5"/>
      <c r="B98" s="12" t="str">
        <f>CONCATENATE("          ","6373"," - ","MAINTENANCE CONTRACTS")</f>
        <v xml:space="preserve">          6373 - MAINTENANCE CONTRACTS</v>
      </c>
      <c r="C98" s="12"/>
      <c r="D98" s="8">
        <v>11.88</v>
      </c>
      <c r="E98" s="3"/>
      <c r="F98" s="7">
        <f t="shared" si="20"/>
        <v>5.1888333510953337E-4</v>
      </c>
      <c r="G98" s="3"/>
      <c r="H98" s="8">
        <v>24.47</v>
      </c>
      <c r="I98" s="3"/>
      <c r="J98" s="7">
        <f t="shared" si="21"/>
        <v>1.6318838221426695E-3</v>
      </c>
      <c r="K98" s="3"/>
      <c r="L98" s="8">
        <f t="shared" si="22"/>
        <v>-12.589999999999998</v>
      </c>
      <c r="M98" s="3"/>
      <c r="N98" s="7">
        <f t="shared" si="23"/>
        <v>-0.51450756027789124</v>
      </c>
      <c r="O98" s="12"/>
      <c r="P98" s="8">
        <v>132.72999999999999</v>
      </c>
      <c r="Q98" s="3"/>
      <c r="R98" s="7">
        <f t="shared" si="24"/>
        <v>6.1695709814765733E-5</v>
      </c>
      <c r="S98" s="3"/>
      <c r="T98" s="8">
        <v>182.21</v>
      </c>
      <c r="U98" s="3"/>
      <c r="V98" s="7">
        <f t="shared" si="25"/>
        <v>6.8655238527895595E-5</v>
      </c>
      <c r="W98" s="3"/>
      <c r="X98" s="8">
        <f t="shared" si="26"/>
        <v>-49.480000000000018</v>
      </c>
      <c r="Y98" s="3"/>
      <c r="Z98" s="7">
        <f t="shared" si="27"/>
        <v>-0.27155479940727739</v>
      </c>
    </row>
    <row r="99" spans="1:26" s="69" customFormat="1" ht="15" hidden="1" customHeight="1" outlineLevel="2" x14ac:dyDescent="0.3">
      <c r="A99" s="25"/>
      <c r="B99" s="12" t="str">
        <f>CONCATENATE("          ","6375"," - ","OUTSIDE REPAIRS &amp; MAINTENANCE")</f>
        <v xml:space="preserve">          6375 - OUTSIDE REPAIRS &amp; MAINTENANCE</v>
      </c>
      <c r="C99" s="12"/>
      <c r="D99" s="8">
        <v>137.41999999999999</v>
      </c>
      <c r="E99" s="3"/>
      <c r="F99" s="7">
        <f t="shared" si="20"/>
        <v>6.0020999924875473E-3</v>
      </c>
      <c r="G99" s="3"/>
      <c r="H99" s="8"/>
      <c r="I99" s="3"/>
      <c r="J99" s="7">
        <f t="shared" si="21"/>
        <v>0</v>
      </c>
      <c r="K99" s="3"/>
      <c r="L99" s="8">
        <f t="shared" si="22"/>
        <v>137.41999999999999</v>
      </c>
      <c r="M99" s="3"/>
      <c r="N99" s="7">
        <f t="shared" si="23"/>
        <v>0</v>
      </c>
      <c r="O99" s="12"/>
      <c r="P99" s="8">
        <v>137.41999999999999</v>
      </c>
      <c r="Q99" s="3"/>
      <c r="R99" s="7">
        <f t="shared" si="24"/>
        <v>6.3875720957922913E-5</v>
      </c>
      <c r="S99" s="3"/>
      <c r="T99" s="8">
        <v>25.11</v>
      </c>
      <c r="U99" s="3"/>
      <c r="V99" s="7">
        <f t="shared" si="25"/>
        <v>9.4612427387929228E-6</v>
      </c>
      <c r="W99" s="3"/>
      <c r="X99" s="8">
        <f t="shared" si="26"/>
        <v>112.30999999999999</v>
      </c>
      <c r="Y99" s="3"/>
      <c r="Z99" s="7">
        <f t="shared" si="27"/>
        <v>4.4727200318598168</v>
      </c>
    </row>
    <row r="100" spans="1:26" s="68" customFormat="1" ht="15" customHeight="1" outlineLevel="1" collapsed="1" x14ac:dyDescent="0.3">
      <c r="A100" s="26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SUM(OSRRefD22_10x_0)</f>
        <v>476.65</v>
      </c>
      <c r="E100" s="2"/>
      <c r="F100" s="6">
        <f t="shared" si="20"/>
        <v>2.0818665124575676E-2</v>
      </c>
      <c r="G100" s="2"/>
      <c r="H100" s="2">
        <f>SUM(OSRRefH22_10x_0)</f>
        <v>232.79</v>
      </c>
      <c r="I100" s="2"/>
      <c r="J100" s="6">
        <f t="shared" si="21"/>
        <v>1.552457028837728E-2</v>
      </c>
      <c r="K100" s="2"/>
      <c r="L100" s="2">
        <f t="shared" si="22"/>
        <v>243.85999999999999</v>
      </c>
      <c r="M100" s="2"/>
      <c r="N100" s="6">
        <f t="shared" si="23"/>
        <v>1.0475535890716956</v>
      </c>
      <c r="O100" s="14"/>
      <c r="P100" s="2">
        <f>SUM(OSRRefP22_10x_0)</f>
        <v>2422.1</v>
      </c>
      <c r="Q100" s="2"/>
      <c r="R100" s="6">
        <f t="shared" si="24"/>
        <v>1.125843281415988E-3</v>
      </c>
      <c r="S100" s="2"/>
      <c r="T100" s="2">
        <f>SUM(OSRRefT22_10x_0)</f>
        <v>4326.63</v>
      </c>
      <c r="U100" s="2"/>
      <c r="V100" s="6">
        <f t="shared" si="25"/>
        <v>1.6302388160471376E-3</v>
      </c>
      <c r="W100" s="2"/>
      <c r="X100" s="2">
        <f t="shared" si="26"/>
        <v>-1904.5300000000002</v>
      </c>
      <c r="Y100" s="2"/>
      <c r="Z100" s="6">
        <f t="shared" si="27"/>
        <v>-0.44018785983548403</v>
      </c>
    </row>
    <row r="101" spans="1:26" s="69" customFormat="1" ht="15" hidden="1" customHeight="1" outlineLevel="2" x14ac:dyDescent="0.3">
      <c r="A101" s="25"/>
      <c r="B101" s="12" t="str">
        <f>CONCATENATE("          ","6258"," - ","MEMBERSHIP DUES")</f>
        <v xml:space="preserve">          6258 - MEMBERSHIP DUES</v>
      </c>
      <c r="C101" s="12"/>
      <c r="D101" s="8">
        <v>476.65</v>
      </c>
      <c r="E101" s="3"/>
      <c r="F101" s="7">
        <f t="shared" si="20"/>
        <v>2.0818665124575676E-2</v>
      </c>
      <c r="G101" s="3"/>
      <c r="H101" s="8">
        <v>232.79</v>
      </c>
      <c r="I101" s="3"/>
      <c r="J101" s="7">
        <f t="shared" si="21"/>
        <v>1.552457028837728E-2</v>
      </c>
      <c r="K101" s="3"/>
      <c r="L101" s="8">
        <f t="shared" si="22"/>
        <v>243.85999999999999</v>
      </c>
      <c r="M101" s="3"/>
      <c r="N101" s="7">
        <f t="shared" si="23"/>
        <v>1.0475535890716956</v>
      </c>
      <c r="O101" s="12"/>
      <c r="P101" s="8">
        <v>2422.1</v>
      </c>
      <c r="Q101" s="3"/>
      <c r="R101" s="7">
        <f t="shared" si="24"/>
        <v>1.125843281415988E-3</v>
      </c>
      <c r="S101" s="3"/>
      <c r="T101" s="8">
        <v>2474.5500000000002</v>
      </c>
      <c r="U101" s="3"/>
      <c r="V101" s="7">
        <f t="shared" si="25"/>
        <v>9.3239021183910903E-4</v>
      </c>
      <c r="W101" s="3"/>
      <c r="X101" s="8">
        <f t="shared" si="26"/>
        <v>-52.450000000000273</v>
      </c>
      <c r="Y101" s="3"/>
      <c r="Z101" s="7">
        <f t="shared" si="27"/>
        <v>-2.1195772968822722E-2</v>
      </c>
    </row>
    <row r="102" spans="1:26" s="69" customFormat="1" ht="15" hidden="1" customHeight="1" outlineLevel="2" x14ac:dyDescent="0.3">
      <c r="A102" s="25"/>
      <c r="B102" s="12" t="str">
        <f>CONCATENATE("          ","6275"," - ","SUBSCRIPTIONS")</f>
        <v xml:space="preserve">          6275 - SUBSCRIPTIONS</v>
      </c>
      <c r="C102" s="12"/>
      <c r="D102" s="8"/>
      <c r="E102" s="3"/>
      <c r="F102" s="7">
        <f t="shared" si="20"/>
        <v>0</v>
      </c>
      <c r="G102" s="3"/>
      <c r="H102" s="8"/>
      <c r="I102" s="3"/>
      <c r="J102" s="7">
        <f t="shared" si="21"/>
        <v>0</v>
      </c>
      <c r="K102" s="3"/>
      <c r="L102" s="8">
        <f t="shared" si="22"/>
        <v>0</v>
      </c>
      <c r="M102" s="3"/>
      <c r="N102" s="7">
        <f t="shared" si="23"/>
        <v>0</v>
      </c>
      <c r="O102" s="12"/>
      <c r="P102" s="8"/>
      <c r="Q102" s="3"/>
      <c r="R102" s="7">
        <f t="shared" si="24"/>
        <v>0</v>
      </c>
      <c r="S102" s="3"/>
      <c r="T102" s="8">
        <v>1852.08</v>
      </c>
      <c r="U102" s="3"/>
      <c r="V102" s="7">
        <f t="shared" si="25"/>
        <v>6.9784860420802849E-4</v>
      </c>
      <c r="W102" s="3"/>
      <c r="X102" s="8">
        <f t="shared" si="26"/>
        <v>-1852.08</v>
      </c>
      <c r="Y102" s="3"/>
      <c r="Z102" s="7">
        <f t="shared" si="27"/>
        <v>-1</v>
      </c>
    </row>
    <row r="103" spans="1:26" s="68" customFormat="1" ht="15" customHeight="1" outlineLevel="1" collapsed="1" x14ac:dyDescent="0.3">
      <c r="A103" s="26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SUM(OSRRefD22_11x_0)</f>
        <v>282.11</v>
      </c>
      <c r="E103" s="2"/>
      <c r="F103" s="6">
        <f t="shared" si="20"/>
        <v>1.232173212691502E-2</v>
      </c>
      <c r="G103" s="2"/>
      <c r="H103" s="2">
        <f>SUM(OSRRefH22_11x_0)</f>
        <v>175.16</v>
      </c>
      <c r="I103" s="2"/>
      <c r="J103" s="6">
        <f t="shared" si="21"/>
        <v>1.1681273816367389E-2</v>
      </c>
      <c r="K103" s="2"/>
      <c r="L103" s="2">
        <f t="shared" si="22"/>
        <v>106.95000000000002</v>
      </c>
      <c r="M103" s="2"/>
      <c r="N103" s="6">
        <f t="shared" si="23"/>
        <v>0.61058460835807271</v>
      </c>
      <c r="O103" s="14"/>
      <c r="P103" s="2">
        <f>SUM(OSRRefP22_11x_0)</f>
        <v>1480.36</v>
      </c>
      <c r="Q103" s="2"/>
      <c r="R103" s="6">
        <f t="shared" si="24"/>
        <v>6.8810262172369933E-4</v>
      </c>
      <c r="S103" s="2"/>
      <c r="T103" s="2">
        <f>SUM(OSRRefT22_11x_0)</f>
        <v>5010.66</v>
      </c>
      <c r="U103" s="2"/>
      <c r="V103" s="6">
        <f t="shared" si="25"/>
        <v>1.8879757284571942E-3</v>
      </c>
      <c r="W103" s="2"/>
      <c r="X103" s="2">
        <f t="shared" si="26"/>
        <v>-3530.3</v>
      </c>
      <c r="Y103" s="2"/>
      <c r="Z103" s="6">
        <f t="shared" si="27"/>
        <v>-0.70455788259430896</v>
      </c>
    </row>
    <row r="104" spans="1:26" s="69" customFormat="1" ht="15" hidden="1" customHeight="1" outlineLevel="2" x14ac:dyDescent="0.3">
      <c r="A104" s="25"/>
      <c r="B104" s="12" t="str">
        <f>CONCATENATE("          ","6241"," - ","OFFICE EXPENSE")</f>
        <v xml:space="preserve">          6241 - OFFICE EXPENSE</v>
      </c>
      <c r="C104" s="12"/>
      <c r="D104" s="8">
        <v>93.57</v>
      </c>
      <c r="E104" s="3"/>
      <c r="F104" s="7">
        <f t="shared" si="20"/>
        <v>4.0868614197137228E-3</v>
      </c>
      <c r="G104" s="3"/>
      <c r="H104" s="8">
        <v>160.69999999999999</v>
      </c>
      <c r="I104" s="3"/>
      <c r="J104" s="7">
        <f t="shared" si="21"/>
        <v>1.0716948517299835E-2</v>
      </c>
      <c r="K104" s="3"/>
      <c r="L104" s="8">
        <f t="shared" si="22"/>
        <v>-67.13</v>
      </c>
      <c r="M104" s="3"/>
      <c r="N104" s="7">
        <f t="shared" si="23"/>
        <v>-0.4177349097697573</v>
      </c>
      <c r="O104" s="12"/>
      <c r="P104" s="8">
        <v>1285.33</v>
      </c>
      <c r="Q104" s="3"/>
      <c r="R104" s="7">
        <f t="shared" si="24"/>
        <v>5.9744855493266665E-4</v>
      </c>
      <c r="S104" s="3"/>
      <c r="T104" s="8">
        <v>1415.3</v>
      </c>
      <c r="U104" s="3"/>
      <c r="V104" s="7">
        <f t="shared" si="25"/>
        <v>5.3327347065765121E-4</v>
      </c>
      <c r="W104" s="3"/>
      <c r="X104" s="8">
        <f t="shared" si="26"/>
        <v>-129.97000000000003</v>
      </c>
      <c r="Y104" s="3"/>
      <c r="Z104" s="7">
        <f t="shared" si="27"/>
        <v>-9.183212039850211E-2</v>
      </c>
    </row>
    <row r="105" spans="1:26" s="69" customFormat="1" ht="15" hidden="1" customHeight="1" outlineLevel="2" x14ac:dyDescent="0.3">
      <c r="A105" s="25"/>
      <c r="B105" s="12" t="str">
        <f>CONCATENATE("          ","6247"," - ","STORE SUPPLIES")</f>
        <v xml:space="preserve">          6247 - STORE SUPPLIES</v>
      </c>
      <c r="C105" s="12"/>
      <c r="D105" s="8">
        <v>188.54</v>
      </c>
      <c r="E105" s="3"/>
      <c r="F105" s="7">
        <f t="shared" si="20"/>
        <v>8.2348707072012976E-3</v>
      </c>
      <c r="G105" s="3"/>
      <c r="H105" s="8">
        <v>14.46</v>
      </c>
      <c r="I105" s="3"/>
      <c r="J105" s="7">
        <f t="shared" si="21"/>
        <v>9.6432529906755222E-4</v>
      </c>
      <c r="K105" s="3"/>
      <c r="L105" s="8">
        <f t="shared" si="22"/>
        <v>174.07999999999998</v>
      </c>
      <c r="M105" s="3"/>
      <c r="N105" s="7">
        <f t="shared" si="23"/>
        <v>12.038727524204701</v>
      </c>
      <c r="O105" s="12"/>
      <c r="P105" s="8">
        <v>195.03</v>
      </c>
      <c r="Q105" s="3"/>
      <c r="R105" s="7">
        <f t="shared" si="24"/>
        <v>9.0654066791032642E-5</v>
      </c>
      <c r="S105" s="3"/>
      <c r="T105" s="8">
        <v>3595.36</v>
      </c>
      <c r="U105" s="3"/>
      <c r="V105" s="7">
        <f t="shared" si="25"/>
        <v>1.3547022577995429E-3</v>
      </c>
      <c r="W105" s="3"/>
      <c r="X105" s="8">
        <f t="shared" si="26"/>
        <v>-3400.33</v>
      </c>
      <c r="Y105" s="3"/>
      <c r="Z105" s="7">
        <f t="shared" si="27"/>
        <v>-0.94575508433091537</v>
      </c>
    </row>
    <row r="106" spans="1:26" s="68" customFormat="1" ht="15" customHeight="1" outlineLevel="1" collapsed="1" x14ac:dyDescent="0.3">
      <c r="A106" s="26"/>
      <c r="B106" s="14" t="str">
        <f>CONCATENATE("     ","Telephone/Data Lines                              ")</f>
        <v xml:space="preserve">     Telephone/Data Lines                              </v>
      </c>
      <c r="C106" s="14"/>
      <c r="D106" s="2">
        <f>SUM(OSRRefD22_12x_0)</f>
        <v>473.5</v>
      </c>
      <c r="E106" s="2"/>
      <c r="F106" s="6">
        <f t="shared" si="20"/>
        <v>2.0681082422084513E-2</v>
      </c>
      <c r="G106" s="2"/>
      <c r="H106" s="2">
        <f>SUM(OSRRefH22_12x_0)</f>
        <v>418.4</v>
      </c>
      <c r="I106" s="2"/>
      <c r="J106" s="6">
        <f t="shared" si="21"/>
        <v>2.7902745859603308E-2</v>
      </c>
      <c r="K106" s="2"/>
      <c r="L106" s="2">
        <f t="shared" si="22"/>
        <v>55.100000000000023</v>
      </c>
      <c r="M106" s="2"/>
      <c r="N106" s="6">
        <f t="shared" si="23"/>
        <v>0.13169216061185474</v>
      </c>
      <c r="O106" s="14"/>
      <c r="P106" s="2">
        <f>SUM(OSRRefP22_12x_0)</f>
        <v>4950.05</v>
      </c>
      <c r="Q106" s="2"/>
      <c r="R106" s="6">
        <f t="shared" si="24"/>
        <v>2.3008878804232744E-3</v>
      </c>
      <c r="S106" s="2"/>
      <c r="T106" s="2">
        <f>SUM(OSRRefT22_12x_0)</f>
        <v>7181.95</v>
      </c>
      <c r="U106" s="2"/>
      <c r="V106" s="6">
        <f t="shared" si="25"/>
        <v>2.7061000512892805E-3</v>
      </c>
      <c r="W106" s="2"/>
      <c r="X106" s="2">
        <f t="shared" si="26"/>
        <v>-2231.8999999999996</v>
      </c>
      <c r="Y106" s="2"/>
      <c r="Z106" s="6">
        <f t="shared" si="27"/>
        <v>-0.31076518215804894</v>
      </c>
    </row>
    <row r="107" spans="1:26" s="69" customFormat="1" ht="15" hidden="1" customHeight="1" outlineLevel="2" x14ac:dyDescent="0.3">
      <c r="A107" s="25"/>
      <c r="B107" s="12" t="str">
        <f>CONCATENATE("          ","6303"," - ","DATA PHONE LINES")</f>
        <v xml:space="preserve">          6303 - DATA PHONE LINES</v>
      </c>
      <c r="C107" s="12"/>
      <c r="D107" s="8"/>
      <c r="E107" s="3"/>
      <c r="F107" s="7">
        <f t="shared" si="20"/>
        <v>0</v>
      </c>
      <c r="G107" s="3"/>
      <c r="H107" s="8"/>
      <c r="I107" s="3"/>
      <c r="J107" s="7">
        <f t="shared" si="21"/>
        <v>0</v>
      </c>
      <c r="K107" s="3"/>
      <c r="L107" s="8">
        <f t="shared" si="22"/>
        <v>0</v>
      </c>
      <c r="M107" s="3"/>
      <c r="N107" s="7">
        <f t="shared" si="23"/>
        <v>0</v>
      </c>
      <c r="O107" s="12"/>
      <c r="P107" s="8">
        <v>295</v>
      </c>
      <c r="Q107" s="3"/>
      <c r="R107" s="7">
        <f t="shared" si="24"/>
        <v>1.3712223608344681E-4</v>
      </c>
      <c r="S107" s="3"/>
      <c r="T107" s="8">
        <v>2950</v>
      </c>
      <c r="U107" s="3"/>
      <c r="V107" s="7">
        <f t="shared" si="25"/>
        <v>1.1115358852823226E-3</v>
      </c>
      <c r="W107" s="3"/>
      <c r="X107" s="8">
        <f t="shared" si="26"/>
        <v>-2655</v>
      </c>
      <c r="Y107" s="3"/>
      <c r="Z107" s="7">
        <f t="shared" si="27"/>
        <v>-0.9</v>
      </c>
    </row>
    <row r="108" spans="1:26" s="69" customFormat="1" ht="15" hidden="1" customHeight="1" outlineLevel="2" x14ac:dyDescent="0.3">
      <c r="A108" s="25"/>
      <c r="B108" s="12" t="str">
        <f>CONCATENATE("          ","6309"," - ","TELEPHONE")</f>
        <v xml:space="preserve">          6309 - TELEPHONE</v>
      </c>
      <c r="C108" s="12"/>
      <c r="D108" s="8">
        <v>473.5</v>
      </c>
      <c r="E108" s="3"/>
      <c r="F108" s="7">
        <f t="shared" si="20"/>
        <v>2.0681082422084513E-2</v>
      </c>
      <c r="G108" s="3"/>
      <c r="H108" s="8">
        <v>418.4</v>
      </c>
      <c r="I108" s="3"/>
      <c r="J108" s="7">
        <f t="shared" si="21"/>
        <v>2.7902745859603308E-2</v>
      </c>
      <c r="K108" s="3"/>
      <c r="L108" s="8">
        <f t="shared" si="22"/>
        <v>55.100000000000023</v>
      </c>
      <c r="M108" s="3"/>
      <c r="N108" s="7">
        <f t="shared" si="23"/>
        <v>0.13169216061185474</v>
      </c>
      <c r="O108" s="12"/>
      <c r="P108" s="8">
        <v>4655.05</v>
      </c>
      <c r="Q108" s="3"/>
      <c r="R108" s="7">
        <f t="shared" si="24"/>
        <v>2.1637656443398274E-3</v>
      </c>
      <c r="S108" s="3"/>
      <c r="T108" s="8">
        <v>4231.95</v>
      </c>
      <c r="U108" s="3"/>
      <c r="V108" s="7">
        <f t="shared" si="25"/>
        <v>1.5945641660069577E-3</v>
      </c>
      <c r="W108" s="3"/>
      <c r="X108" s="8">
        <f t="shared" si="26"/>
        <v>423.10000000000036</v>
      </c>
      <c r="Y108" s="3"/>
      <c r="Z108" s="7">
        <f t="shared" si="27"/>
        <v>9.9977551719656513E-2</v>
      </c>
    </row>
    <row r="109" spans="1:26" s="68" customFormat="1" ht="15" customHeight="1" outlineLevel="1" collapsed="1" x14ac:dyDescent="0.3">
      <c r="A109" s="26"/>
      <c r="B109" s="14" t="str">
        <f>CONCATENATE("     ","Travel                                            ")</f>
        <v xml:space="preserve">     Travel                                            </v>
      </c>
      <c r="C109" s="14"/>
      <c r="D109" s="2">
        <f>SUM(OSRRefD22_13x_0)</f>
        <v>0</v>
      </c>
      <c r="E109" s="2"/>
      <c r="F109" s="6">
        <f t="shared" si="20"/>
        <v>0</v>
      </c>
      <c r="G109" s="2"/>
      <c r="H109" s="2">
        <f>SUM(OSRRefH22_13x_0)</f>
        <v>0</v>
      </c>
      <c r="I109" s="2"/>
      <c r="J109" s="6">
        <f t="shared" si="21"/>
        <v>0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SUM(OSRRefP22_13x_0)</f>
        <v>0</v>
      </c>
      <c r="Q109" s="2"/>
      <c r="R109" s="6">
        <f t="shared" si="24"/>
        <v>0</v>
      </c>
      <c r="S109" s="2"/>
      <c r="T109" s="2">
        <f>SUM(OSRRefT22_13x_0)</f>
        <v>0.16</v>
      </c>
      <c r="U109" s="2"/>
      <c r="V109" s="6">
        <f t="shared" si="25"/>
        <v>6.028669208310903E-8</v>
      </c>
      <c r="W109" s="2"/>
      <c r="X109" s="2">
        <f t="shared" si="26"/>
        <v>-0.16</v>
      </c>
      <c r="Y109" s="2"/>
      <c r="Z109" s="6">
        <f t="shared" si="27"/>
        <v>-1</v>
      </c>
    </row>
    <row r="110" spans="1:26" s="69" customFormat="1" ht="15" hidden="1" customHeight="1" outlineLevel="2" x14ac:dyDescent="0.3">
      <c r="A110" s="25"/>
      <c r="B110" s="12" t="str">
        <f>CONCATENATE("          ","6292"," - ","TRAVEL/CONFERENCE")</f>
        <v xml:space="preserve">          6292 - TRAVEL/CONFERENCE</v>
      </c>
      <c r="C110" s="12"/>
      <c r="D110" s="8"/>
      <c r="E110" s="3"/>
      <c r="F110" s="7">
        <f t="shared" si="20"/>
        <v>0</v>
      </c>
      <c r="G110" s="3"/>
      <c r="H110" s="8"/>
      <c r="I110" s="3"/>
      <c r="J110" s="7">
        <f t="shared" si="21"/>
        <v>0</v>
      </c>
      <c r="K110" s="3"/>
      <c r="L110" s="8">
        <f t="shared" si="22"/>
        <v>0</v>
      </c>
      <c r="M110" s="3"/>
      <c r="N110" s="7">
        <f t="shared" si="23"/>
        <v>0</v>
      </c>
      <c r="O110" s="12"/>
      <c r="P110" s="8"/>
      <c r="Q110" s="3"/>
      <c r="R110" s="7">
        <f t="shared" si="24"/>
        <v>0</v>
      </c>
      <c r="S110" s="3"/>
      <c r="T110" s="8">
        <v>0.16</v>
      </c>
      <c r="U110" s="3"/>
      <c r="V110" s="7">
        <f t="shared" si="25"/>
        <v>6.028669208310903E-8</v>
      </c>
      <c r="W110" s="3"/>
      <c r="X110" s="8">
        <f t="shared" si="26"/>
        <v>-0.16</v>
      </c>
      <c r="Y110" s="3"/>
      <c r="Z110" s="7">
        <f t="shared" si="27"/>
        <v>-1</v>
      </c>
    </row>
    <row r="111" spans="1:26" s="64" customFormat="1" ht="15" customHeight="1" x14ac:dyDescent="0.3">
      <c r="A111" s="36"/>
      <c r="B111" s="36"/>
      <c r="C111" s="36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O111" s="36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62" customFormat="1" ht="15" customHeight="1" collapsed="1" x14ac:dyDescent="0.3">
      <c r="A112" s="11"/>
      <c r="B112" s="28" t="s">
        <v>290</v>
      </c>
      <c r="C112" s="11"/>
      <c r="D112" s="5">
        <f>SUM(OSRRefD25x_0)</f>
        <v>516.89</v>
      </c>
      <c r="E112" s="5"/>
      <c r="F112" s="13">
        <f>IF(D$12=0,0,D112/D$12)</f>
        <v>2.2576229552589786E-2</v>
      </c>
      <c r="G112" s="5"/>
      <c r="H112" s="5">
        <f>SUM(OSRRefH25x_0)</f>
        <v>4864.2299999999996</v>
      </c>
      <c r="I112" s="5"/>
      <c r="J112" s="13">
        <f>IF(H$12=0,0,H112/H$12)</f>
        <v>0.32439142804172605</v>
      </c>
      <c r="K112" s="5"/>
      <c r="L112" s="5">
        <f>+D112-H112</f>
        <v>-4347.3399999999992</v>
      </c>
      <c r="M112" s="5"/>
      <c r="N112" s="13">
        <f>IF(H112=0,0,L112/H112)</f>
        <v>-0.8937365215049452</v>
      </c>
      <c r="O112" s="11"/>
      <c r="P112" s="5">
        <f>SUM(OSRRefP25x_0)</f>
        <v>350404.44000000006</v>
      </c>
      <c r="Q112" s="5"/>
      <c r="R112" s="13">
        <f>IF(P$12=0,0,P112/P$12)</f>
        <v>0.16287539100463722</v>
      </c>
      <c r="S112" s="5"/>
      <c r="T112" s="5">
        <f>SUM(OSRRefT25x_0)</f>
        <v>330802.13</v>
      </c>
      <c r="U112" s="5"/>
      <c r="V112" s="13">
        <f>IF(T$12=0,0,T112/T$12)</f>
        <v>0.12464353844841627</v>
      </c>
      <c r="W112" s="5"/>
      <c r="X112" s="5">
        <f>+P112-T112</f>
        <v>19602.310000000056</v>
      </c>
      <c r="Y112" s="5"/>
      <c r="Z112" s="13">
        <f>IF(T112=0,0,X112/T112)</f>
        <v>5.925690381739699E-2</v>
      </c>
    </row>
    <row r="113" spans="1:26" s="69" customFormat="1" ht="15" hidden="1" customHeight="1" outlineLevel="1" x14ac:dyDescent="0.3">
      <c r="A113" s="42"/>
      <c r="B113" s="12" t="str">
        <f>CONCATENATE("          ","9150"," - ","MISC. INCOME")</f>
        <v xml:space="preserve">          9150 -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f>--6749.36</f>
        <v>6749.36</v>
      </c>
      <c r="I113" s="3"/>
      <c r="J113" s="20">
        <f>IF(H$12=0,0,H113/H$12)</f>
        <v>0.45010917016006735</v>
      </c>
      <c r="K113" s="3"/>
      <c r="L113" s="3">
        <f>+D113-H113</f>
        <v>-6749.36</v>
      </c>
      <c r="M113" s="3"/>
      <c r="N113" s="20">
        <f>IF(H113=0,0,L113/H113)</f>
        <v>-1</v>
      </c>
      <c r="O113" s="12"/>
      <c r="P113" s="3">
        <f>--22258.22</f>
        <v>22258.22</v>
      </c>
      <c r="Q113" s="3"/>
      <c r="R113" s="20">
        <f>IF(P$12=0,0,P113/P$12)</f>
        <v>1.0346091178431518E-2</v>
      </c>
      <c r="S113" s="3"/>
      <c r="T113" s="3">
        <f>--31463.11</f>
        <v>31463.11</v>
      </c>
      <c r="U113" s="3"/>
      <c r="V113" s="20">
        <f>IF(T$12=0,0,T113/T$12)</f>
        <v>1.1855042653418678E-2</v>
      </c>
      <c r="W113" s="3"/>
      <c r="X113" s="3">
        <f>+P113-T113</f>
        <v>-9204.89</v>
      </c>
      <c r="Y113" s="3"/>
      <c r="Z113" s="20">
        <f>IF(T113=0,0,X113/T113)</f>
        <v>-0.29256135200874928</v>
      </c>
    </row>
    <row r="114" spans="1:26" s="69" customFormat="1" ht="15" hidden="1" customHeight="1" outlineLevel="1" x14ac:dyDescent="0.3">
      <c r="A114" s="42"/>
      <c r="B114" s="12" t="str">
        <f>CONCATENATE("          ","9151"," - ","MISC. INCOME")</f>
        <v xml:space="preserve">          9151 - MISC.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>
        <f>-2282.24</f>
        <v>-2282.2399999999998</v>
      </c>
      <c r="I114" s="3"/>
      <c r="J114" s="20">
        <f>IF(H$12=0,0,H114/H$12)</f>
        <v>-0.15220067569460097</v>
      </c>
      <c r="K114" s="3"/>
      <c r="L114" s="3">
        <f>+D114-H114</f>
        <v>2282.2399999999998</v>
      </c>
      <c r="M114" s="3"/>
      <c r="N114" s="20">
        <f>IF(H114=0,0,L114/H114)</f>
        <v>-1</v>
      </c>
      <c r="O114" s="12"/>
      <c r="P114" s="3">
        <f>--323761.7</f>
        <v>323761.7</v>
      </c>
      <c r="Q114" s="3"/>
      <c r="R114" s="20">
        <f>IF(P$12=0,0,P114/P$12)</f>
        <v>0.15049128224467145</v>
      </c>
      <c r="S114" s="3"/>
      <c r="T114" s="3">
        <f>--295628.46</f>
        <v>295628.46000000002</v>
      </c>
      <c r="U114" s="3"/>
      <c r="V114" s="20">
        <f>IF(T$12=0,0,T114/T$12)</f>
        <v>0.11139038711889822</v>
      </c>
      <c r="W114" s="3"/>
      <c r="X114" s="3">
        <f>+P114-T114</f>
        <v>28133.239999999991</v>
      </c>
      <c r="Y114" s="3"/>
      <c r="Z114" s="20">
        <f>IF(T114=0,0,X114/T114)</f>
        <v>9.5164180065748699E-2</v>
      </c>
    </row>
    <row r="115" spans="1:26" s="69" customFormat="1" ht="15" hidden="1" customHeight="1" outlineLevel="1" x14ac:dyDescent="0.3">
      <c r="A115" s="42"/>
      <c r="B115" s="12" t="str">
        <f>CONCATENATE("          ","9152"," - ","MISC. INCOME")</f>
        <v xml:space="preserve">          9152 - MISC. INCOME</v>
      </c>
      <c r="C115" s="12"/>
      <c r="D115" s="3">
        <f>--516.89</f>
        <v>516.89</v>
      </c>
      <c r="E115" s="3"/>
      <c r="F115" s="20">
        <f>IF(D$12=0,0,D115/D$12)</f>
        <v>2.2576229552589786E-2</v>
      </c>
      <c r="G115" s="3"/>
      <c r="H115" s="3">
        <f>--397.11</f>
        <v>397.11</v>
      </c>
      <c r="I115" s="3"/>
      <c r="J115" s="20">
        <f>IF(H$12=0,0,H115/H$12)</f>
        <v>2.6482933576259728E-2</v>
      </c>
      <c r="K115" s="3"/>
      <c r="L115" s="3">
        <f>+D115-H115</f>
        <v>119.77999999999997</v>
      </c>
      <c r="M115" s="3"/>
      <c r="N115" s="20">
        <f>IF(H115=0,0,L115/H115)</f>
        <v>0.30162927148648983</v>
      </c>
      <c r="O115" s="12"/>
      <c r="P115" s="3">
        <f>--4384.52</f>
        <v>4384.5200000000004</v>
      </c>
      <c r="Q115" s="3"/>
      <c r="R115" s="20">
        <f>IF(P$12=0,0,P115/P$12)</f>
        <v>2.038017581534218E-3</v>
      </c>
      <c r="S115" s="3"/>
      <c r="T115" s="3">
        <f>--3710.56</f>
        <v>3710.56</v>
      </c>
      <c r="U115" s="3"/>
      <c r="V115" s="20">
        <f>IF(T$12=0,0,T115/T$12)</f>
        <v>1.3981086760993815E-3</v>
      </c>
      <c r="W115" s="3"/>
      <c r="X115" s="3">
        <f>+P115-T115</f>
        <v>673.96000000000049</v>
      </c>
      <c r="Y115" s="3"/>
      <c r="Z115" s="20">
        <f>IF(T115=0,0,X115/T115)</f>
        <v>0.18163296106248128</v>
      </c>
    </row>
    <row r="116" spans="1:26" ht="15" customHeight="1" x14ac:dyDescent="0.3">
      <c r="A116" s="10"/>
      <c r="B116" s="11"/>
      <c r="C116" s="11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O116" s="11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11"/>
      <c r="B117" s="27" t="s">
        <v>291</v>
      </c>
      <c r="C117" s="27"/>
      <c r="D117" s="22">
        <f>+D59-D61+D112</f>
        <v>-29422.199999999979</v>
      </c>
      <c r="E117" s="15"/>
      <c r="F117" s="21">
        <f>IF(D$12=0,0,D117/D$12)</f>
        <v>-1.2850748537255641</v>
      </c>
      <c r="G117" s="15"/>
      <c r="H117" s="22">
        <f>+H59-H61+H112</f>
        <v>-36894.150000000009</v>
      </c>
      <c r="I117" s="15"/>
      <c r="J117" s="21">
        <f>IF(H$12=0,0,H117/H$12)</f>
        <v>-2.4604399884227619</v>
      </c>
      <c r="K117" s="17"/>
      <c r="L117" s="22">
        <f>+D117-H117</f>
        <v>7471.9500000000298</v>
      </c>
      <c r="M117" s="17"/>
      <c r="N117" s="21">
        <f>IF(H117=0,0,L117/H117)</f>
        <v>-0.20252397737852826</v>
      </c>
      <c r="O117" s="28"/>
      <c r="P117" s="22">
        <f>+P59-P61+P112</f>
        <v>449526.64000000042</v>
      </c>
      <c r="Q117" s="15"/>
      <c r="R117" s="21">
        <f>IF(P$12=0,0,P117/P$12)</f>
        <v>0.2089494849351819</v>
      </c>
      <c r="S117" s="15"/>
      <c r="T117" s="22">
        <f>+T59-T61+T112</f>
        <v>702266.60999999964</v>
      </c>
      <c r="U117" s="15"/>
      <c r="V117" s="21">
        <f>IF(T$12=0,0,T117/T$12)</f>
        <v>0.26460831798324247</v>
      </c>
      <c r="W117" s="17"/>
      <c r="X117" s="22">
        <f>+P117-T117</f>
        <v>-252739.96999999922</v>
      </c>
      <c r="Y117" s="17"/>
      <c r="Z117" s="21">
        <f>IF(T117=0,0,X117/T117)</f>
        <v>-0.35989176532257366</v>
      </c>
    </row>
    <row r="118" spans="1:26" ht="15" customHeight="1" x14ac:dyDescent="0.3">
      <c r="A118" s="10"/>
      <c r="B118" s="11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3">
      <c r="A119" s="48"/>
      <c r="B119" s="11" t="s">
        <v>292</v>
      </c>
      <c r="C119" s="11"/>
      <c r="D119" s="5">
        <v>-8921.2099999999991</v>
      </c>
      <c r="E119" s="5"/>
      <c r="F119" s="13">
        <f>IF(D$12=0,0,D119/D$12)</f>
        <v>-0.38965212104482483</v>
      </c>
      <c r="G119" s="5"/>
      <c r="H119" s="5">
        <v>24349.35</v>
      </c>
      <c r="I119" s="5"/>
      <c r="J119" s="13">
        <f>IF(H$12=0,0,H119/H$12)</f>
        <v>1.6238377746093016</v>
      </c>
      <c r="K119" s="5"/>
      <c r="L119" s="5">
        <f>+D119-H119</f>
        <v>-33270.559999999998</v>
      </c>
      <c r="M119" s="5"/>
      <c r="N119" s="13">
        <f>IF(H119=0,0,L119/H119)</f>
        <v>-1.3663839075786417</v>
      </c>
      <c r="O119" s="11"/>
      <c r="P119" s="5">
        <v>256760.15</v>
      </c>
      <c r="Q119" s="5"/>
      <c r="R119" s="13">
        <f>IF(P$12=0,0,P119/P$12)</f>
        <v>0.11934754544108886</v>
      </c>
      <c r="S119" s="5"/>
      <c r="T119" s="5">
        <v>546963.85</v>
      </c>
      <c r="U119" s="5"/>
      <c r="V119" s="13">
        <f>IF(T$12=0,0,T119/T$12)</f>
        <v>0.20609150753463645</v>
      </c>
      <c r="W119" s="5"/>
      <c r="X119" s="5">
        <f>+P119-T119</f>
        <v>-290203.69999999995</v>
      </c>
      <c r="Y119" s="5"/>
      <c r="Z119" s="13">
        <f>IF(T119=0,0,X119/T119)</f>
        <v>-0.53057199301196956</v>
      </c>
    </row>
    <row r="120" spans="1:26" ht="15" customHeight="1" x14ac:dyDescent="0.3">
      <c r="A120" s="10"/>
      <c r="B120" s="11"/>
      <c r="C120" s="11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O120" s="11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3">
      <c r="A121" s="11"/>
      <c r="B121" s="27" t="s">
        <v>293</v>
      </c>
      <c r="C121" s="27"/>
      <c r="D121" s="34">
        <f>+D117-D119</f>
        <v>-20500.98999999998</v>
      </c>
      <c r="E121" s="15"/>
      <c r="F121" s="33">
        <f>IF(D$12=0,0,D121/D$12)</f>
        <v>-0.89542273268073913</v>
      </c>
      <c r="G121" s="15"/>
      <c r="H121" s="34">
        <f>+H117-H119</f>
        <v>-61243.500000000007</v>
      </c>
      <c r="I121" s="15"/>
      <c r="J121" s="33">
        <f>IF(H$12=0,0,H121/H$12)</f>
        <v>-4.0842777630320635</v>
      </c>
      <c r="K121" s="17"/>
      <c r="L121" s="34">
        <f>D121-H121</f>
        <v>40742.510000000024</v>
      </c>
      <c r="M121" s="17"/>
      <c r="N121" s="33">
        <f>IF(H121=0,0,L121/H121)</f>
        <v>-0.66525443516454841</v>
      </c>
      <c r="O121" s="28"/>
      <c r="P121" s="34">
        <f>+P117-P119</f>
        <v>192766.49000000043</v>
      </c>
      <c r="Q121" s="15"/>
      <c r="R121" s="33">
        <f>IF(P$12=0,0,P121/P$12)</f>
        <v>8.9601939494093036E-2</v>
      </c>
      <c r="S121" s="15"/>
      <c r="T121" s="34">
        <f>+T117-T119</f>
        <v>155302.75999999966</v>
      </c>
      <c r="U121" s="15"/>
      <c r="V121" s="33">
        <f>IF(T$12=0,0,T121/T$12)</f>
        <v>5.8516810448606002E-2</v>
      </c>
      <c r="W121" s="17"/>
      <c r="X121" s="34">
        <f>P121-T121</f>
        <v>37463.730000000767</v>
      </c>
      <c r="Y121" s="17"/>
      <c r="Z121" s="33">
        <f>IF(T121=0,0,X121/T121)</f>
        <v>0.24123029107789745</v>
      </c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ht="15" customHeight="1" x14ac:dyDescent="0.3">
      <c r="A123" s="10"/>
      <c r="B123" s="10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2" customFormat="1" ht="15" customHeight="1" x14ac:dyDescent="0.3">
      <c r="A124" s="11"/>
      <c r="B124" s="27" t="s">
        <v>296</v>
      </c>
      <c r="C124" s="27"/>
      <c r="D124" s="31">
        <f>SUM(D121:D123)</f>
        <v>-20500.98999999998</v>
      </c>
      <c r="E124" s="15"/>
      <c r="F124" s="32">
        <f>IF(D$12=0,0,D124/D$12)</f>
        <v>-0.89542273268073913</v>
      </c>
      <c r="G124" s="15"/>
      <c r="H124" s="31">
        <f>SUM(H121:H123)</f>
        <v>-61243.500000000007</v>
      </c>
      <c r="I124" s="15"/>
      <c r="J124" s="32">
        <f>IF(H$12=0,0,H124/H$12)</f>
        <v>-4.0842777630320635</v>
      </c>
      <c r="K124" s="17"/>
      <c r="L124" s="31">
        <f>+D124-H124</f>
        <v>40742.510000000024</v>
      </c>
      <c r="M124" s="17"/>
      <c r="N124" s="32">
        <f>IF(H124=0,0,L124/H124)</f>
        <v>-0.66525443516454841</v>
      </c>
      <c r="O124" s="28"/>
      <c r="P124" s="31">
        <f>SUM(P121:P123)</f>
        <v>192766.49000000043</v>
      </c>
      <c r="Q124" s="15"/>
      <c r="R124" s="32">
        <f>IF(P$12=0,0,P124/P$12)</f>
        <v>8.9601939494093036E-2</v>
      </c>
      <c r="S124" s="15"/>
      <c r="T124" s="31">
        <f>SUM(T121:T123)</f>
        <v>155302.75999999966</v>
      </c>
      <c r="U124" s="15"/>
      <c r="V124" s="32">
        <f>IF(T$12=0,0,T124/T$12)</f>
        <v>5.8516810448606002E-2</v>
      </c>
      <c r="W124" s="17"/>
      <c r="X124" s="31">
        <f>+P124-T124</f>
        <v>37463.730000000767</v>
      </c>
      <c r="Y124" s="17"/>
      <c r="Z124" s="32">
        <f>IF(T124=0,0,X124/T124)</f>
        <v>0.24123029107789745</v>
      </c>
    </row>
    <row r="125" spans="1:26" ht="15" customHeight="1" x14ac:dyDescent="0.3">
      <c r="A125" s="10"/>
      <c r="C125" s="10"/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A126" s="10"/>
      <c r="B126" s="56">
        <v>44663.038565891206</v>
      </c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  <row r="127" spans="1:26" ht="15" customHeight="1" x14ac:dyDescent="0.3">
      <c r="A127" s="10"/>
      <c r="B127" s="57" t="s">
        <v>297</v>
      </c>
      <c r="D127" s="19"/>
      <c r="E127" s="19"/>
      <c r="G127" s="19"/>
      <c r="H127" s="19"/>
      <c r="I127" s="19"/>
      <c r="J127" s="40"/>
      <c r="K127" s="19"/>
      <c r="L127" s="19"/>
      <c r="M127" s="19"/>
      <c r="P127" s="19"/>
      <c r="Q127" s="19"/>
      <c r="R127" s="40"/>
      <c r="S127" s="19"/>
      <c r="T127" s="19"/>
      <c r="U127" s="19"/>
      <c r="V127" s="40"/>
      <c r="W127" s="19"/>
      <c r="X127" s="19"/>
    </row>
    <row r="128" spans="1:26" ht="15" customHeight="1" x14ac:dyDescent="0.3">
      <c r="A128" s="10"/>
      <c r="B128" s="58"/>
      <c r="D128" s="19"/>
      <c r="E128" s="19"/>
      <c r="G128" s="19"/>
      <c r="H128" s="19"/>
      <c r="I128" s="19"/>
      <c r="J128" s="40"/>
      <c r="K128" s="19"/>
      <c r="L128" s="19"/>
      <c r="M128" s="19"/>
      <c r="P128" s="19"/>
      <c r="Q128" s="19"/>
      <c r="R128" s="40"/>
      <c r="S128" s="19"/>
      <c r="T128" s="19"/>
      <c r="U128" s="19"/>
      <c r="V128" s="40"/>
      <c r="W128" s="19"/>
      <c r="X128" s="19"/>
    </row>
    <row r="129" spans="4:24" ht="15" customHeight="1" x14ac:dyDescent="0.3">
      <c r="D129" s="19"/>
      <c r="E129" s="19"/>
      <c r="G129" s="19"/>
      <c r="H129" s="19"/>
      <c r="I129" s="19"/>
      <c r="J129" s="40"/>
      <c r="K129" s="19"/>
      <c r="L129" s="19"/>
      <c r="M129" s="19"/>
      <c r="P129" s="19"/>
      <c r="Q129" s="19"/>
      <c r="R129" s="40"/>
      <c r="S129" s="19"/>
      <c r="T129" s="19"/>
      <c r="U129" s="19"/>
      <c r="V129" s="40"/>
      <c r="W129" s="19"/>
      <c r="X12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2DF51-2EDF-472B-02E2-4E12914C182F}">
  <sheetPr>
    <tabColor rgb="FF92D050"/>
    <outlinePr summaryBelow="0" summaryRight="0"/>
  </sheetPr>
  <dimension ref="A2:Z12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","311"," - ","Textbooks")</f>
        <v>Department 311 - Textbooks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20115.46</v>
      </c>
      <c r="E12" s="5"/>
      <c r="F12" s="13"/>
      <c r="G12" s="5"/>
      <c r="H12" s="5">
        <f>SUM(OSRRefH13x_0)</f>
        <v>11679.949999999997</v>
      </c>
      <c r="I12" s="5"/>
      <c r="J12" s="13"/>
      <c r="K12" s="5"/>
      <c r="L12" s="5">
        <f t="shared" ref="L12:L38" si="0">+D12-H12</f>
        <v>8435.510000000002</v>
      </c>
      <c r="M12" s="5"/>
      <c r="N12" s="13">
        <f t="shared" ref="N12:N38" si="1">IF(H12=0,0,L12/H12)</f>
        <v>0.72222141361906556</v>
      </c>
      <c r="O12" s="11"/>
      <c r="P12" s="5">
        <f>SUM(OSRRefP13x_0)</f>
        <v>1712553.5100000002</v>
      </c>
      <c r="Q12" s="5"/>
      <c r="R12" s="13"/>
      <c r="S12" s="5"/>
      <c r="T12" s="5">
        <f>SUM(OSRRefT13x_0)</f>
        <v>1877753.3999999994</v>
      </c>
      <c r="U12" s="5"/>
      <c r="V12" s="13"/>
      <c r="W12" s="5"/>
      <c r="X12" s="5">
        <f t="shared" ref="X12:X38" si="2">+P12-T12</f>
        <v>-165199.8899999992</v>
      </c>
      <c r="Y12" s="5"/>
      <c r="Z12" s="13">
        <f t="shared" ref="Z12:Z38" si="3">IF(T12=0,0,X12/T12)</f>
        <v>-8.7977414925729469E-2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--24567.88</f>
        <v>24567.88</v>
      </c>
      <c r="E13" s="3"/>
      <c r="F13" s="20"/>
      <c r="G13" s="3"/>
      <c r="H13" s="3">
        <f>-301.5</f>
        <v>-301.5</v>
      </c>
      <c r="I13" s="3"/>
      <c r="J13" s="20"/>
      <c r="K13" s="3"/>
      <c r="L13" s="3">
        <f t="shared" si="0"/>
        <v>24869.38</v>
      </c>
      <c r="M13" s="3"/>
      <c r="N13" s="20">
        <f t="shared" si="1"/>
        <v>-82.485505804311771</v>
      </c>
      <c r="O13" s="12"/>
      <c r="P13" s="3">
        <f>--1355608.84</f>
        <v>1355608.84</v>
      </c>
      <c r="Q13" s="3"/>
      <c r="R13" s="20"/>
      <c r="S13" s="3"/>
      <c r="T13" s="3">
        <f>-8358.81</f>
        <v>-8358.81</v>
      </c>
      <c r="U13" s="3"/>
      <c r="V13" s="20"/>
      <c r="W13" s="3"/>
      <c r="X13" s="3">
        <f t="shared" si="2"/>
        <v>1363967.6500000001</v>
      </c>
      <c r="Y13" s="3"/>
      <c r="Z13" s="20">
        <f t="shared" si="3"/>
        <v>-163.17725250364589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--6992.23</f>
        <v>6992.23</v>
      </c>
      <c r="I14" s="3"/>
      <c r="J14" s="20"/>
      <c r="K14" s="3"/>
      <c r="L14" s="3">
        <f t="shared" si="0"/>
        <v>-6992.23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--969010.31</f>
        <v>969010.31</v>
      </c>
      <c r="U14" s="3"/>
      <c r="V14" s="20"/>
      <c r="W14" s="3"/>
      <c r="X14" s="3">
        <f t="shared" si="2"/>
        <v>-969010.31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--1145.4</f>
        <v>1145.4000000000001</v>
      </c>
      <c r="I15" s="3"/>
      <c r="J15" s="20"/>
      <c r="K15" s="3"/>
      <c r="L15" s="3">
        <f t="shared" si="0"/>
        <v>-1145.4000000000001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--350242.37</f>
        <v>350242.37</v>
      </c>
      <c r="U15" s="3"/>
      <c r="V15" s="20"/>
      <c r="W15" s="3"/>
      <c r="X15" s="3">
        <f t="shared" si="2"/>
        <v>-350242.37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--49.99</f>
        <v>49.99</v>
      </c>
      <c r="I16" s="3"/>
      <c r="J16" s="20"/>
      <c r="K16" s="3"/>
      <c r="L16" s="3">
        <f t="shared" si="0"/>
        <v>-49.99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--17977.88</f>
        <v>17977.88</v>
      </c>
      <c r="U16" s="3"/>
      <c r="V16" s="20"/>
      <c r="W16" s="3"/>
      <c r="X16" s="3">
        <f t="shared" si="2"/>
        <v>-17977.88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--29.21</f>
        <v>29.21</v>
      </c>
      <c r="I18" s="3"/>
      <c r="J18" s="20"/>
      <c r="K18" s="3"/>
      <c r="L18" s="3">
        <f t="shared" si="0"/>
        <v>-29.21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--1202.02</f>
        <v>1202.02</v>
      </c>
      <c r="U18" s="3"/>
      <c r="V18" s="20"/>
      <c r="W18" s="3"/>
      <c r="X18" s="3">
        <f t="shared" si="2"/>
        <v>-1202.02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--35.82</f>
        <v>35.82</v>
      </c>
      <c r="I19" s="3"/>
      <c r="J19" s="20"/>
      <c r="K19" s="3"/>
      <c r="L19" s="3">
        <f t="shared" si="0"/>
        <v>-35.82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--447.7</f>
        <v>447.7</v>
      </c>
      <c r="U19" s="3"/>
      <c r="V19" s="20"/>
      <c r="W19" s="3"/>
      <c r="X19" s="3">
        <f t="shared" si="2"/>
        <v>-447.7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--67.3</f>
        <v>67.3</v>
      </c>
      <c r="I20" s="3"/>
      <c r="J20" s="20"/>
      <c r="K20" s="3"/>
      <c r="L20" s="3">
        <f t="shared" si="0"/>
        <v>-67.3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--400.14</f>
        <v>400.14</v>
      </c>
      <c r="U20" s="3"/>
      <c r="V20" s="20"/>
      <c r="W20" s="3"/>
      <c r="X20" s="3">
        <f t="shared" si="2"/>
        <v>-400.14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--443.3</f>
        <v>443.3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443.3</v>
      </c>
      <c r="M21" s="3"/>
      <c r="N21" s="20">
        <f t="shared" si="1"/>
        <v>0</v>
      </c>
      <c r="O21" s="12"/>
      <c r="P21" s="3">
        <f>--449234.59</f>
        <v>449234.59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449234.59</v>
      </c>
      <c r="Y21" s="3"/>
      <c r="Z21" s="20">
        <f t="shared" si="3"/>
        <v>0</v>
      </c>
    </row>
    <row r="22" spans="1:26" s="69" customFormat="1" ht="15" hidden="1" customHeight="1" outlineLevel="1" x14ac:dyDescent="0.3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--1044.17</f>
        <v>1044.17</v>
      </c>
      <c r="I22" s="3"/>
      <c r="J22" s="20"/>
      <c r="K22" s="3"/>
      <c r="L22" s="3">
        <f t="shared" si="0"/>
        <v>-1044.17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--112055.71</f>
        <v>112055.71</v>
      </c>
      <c r="U22" s="3"/>
      <c r="V22" s="20"/>
      <c r="W22" s="3"/>
      <c r="X22" s="3">
        <f t="shared" si="2"/>
        <v>-112055.71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--1572.06</f>
        <v>1572.06</v>
      </c>
      <c r="I23" s="3"/>
      <c r="J23" s="20"/>
      <c r="K23" s="3"/>
      <c r="L23" s="3">
        <f t="shared" si="0"/>
        <v>-1572.06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--47959.43</f>
        <v>47959.43</v>
      </c>
      <c r="U23" s="3"/>
      <c r="V23" s="20"/>
      <c r="W23" s="3"/>
      <c r="X23" s="3">
        <f t="shared" si="2"/>
        <v>-47959.43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--1097.13</f>
        <v>1097.1300000000001</v>
      </c>
      <c r="I25" s="3"/>
      <c r="J25" s="20"/>
      <c r="K25" s="3"/>
      <c r="L25" s="3">
        <f t="shared" si="0"/>
        <v>-1097.1300000000001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--476971.18</f>
        <v>476971.18</v>
      </c>
      <c r="U25" s="3"/>
      <c r="V25" s="20"/>
      <c r="W25" s="3"/>
      <c r="X25" s="3">
        <f t="shared" si="2"/>
        <v>-476971.18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--1250</f>
        <v>1250</v>
      </c>
      <c r="I26" s="3"/>
      <c r="J26" s="20"/>
      <c r="K26" s="3"/>
      <c r="L26" s="3">
        <f t="shared" si="0"/>
        <v>-1250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--11389.25</f>
        <v>11389.25</v>
      </c>
      <c r="U26" s="3"/>
      <c r="V26" s="20"/>
      <c r="W26" s="3"/>
      <c r="X26" s="3">
        <f t="shared" si="2"/>
        <v>-11389.25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-4679.48</f>
        <v>-4679.4799999999996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-4679.4799999999996</v>
      </c>
      <c r="M28" s="3"/>
      <c r="N28" s="20">
        <f t="shared" si="1"/>
        <v>0</v>
      </c>
      <c r="O28" s="12"/>
      <c r="P28" s="3">
        <f>-55512.29</f>
        <v>-55512.29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-55512.29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-596.94</f>
        <v>-596.94000000000005</v>
      </c>
      <c r="I29" s="3"/>
      <c r="J29" s="20"/>
      <c r="K29" s="3"/>
      <c r="L29" s="3">
        <f t="shared" si="0"/>
        <v>596.94000000000005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-51261.17</f>
        <v>-51261.17</v>
      </c>
      <c r="U29" s="3"/>
      <c r="V29" s="20"/>
      <c r="W29" s="3"/>
      <c r="X29" s="3">
        <f t="shared" si="2"/>
        <v>51261.17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-153.8</f>
        <v>-153.80000000000001</v>
      </c>
      <c r="I30" s="3"/>
      <c r="J30" s="20"/>
      <c r="K30" s="3"/>
      <c r="L30" s="3">
        <f t="shared" si="0"/>
        <v>153.80000000000001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-19889.31</f>
        <v>-19889.310000000001</v>
      </c>
      <c r="U30" s="3"/>
      <c r="V30" s="20"/>
      <c r="W30" s="3"/>
      <c r="X30" s="3">
        <f t="shared" si="2"/>
        <v>19889.310000000001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-69.93</f>
        <v>-69.930000000000007</v>
      </c>
      <c r="U32" s="3"/>
      <c r="V32" s="20"/>
      <c r="W32" s="3"/>
      <c r="X32" s="3">
        <f t="shared" si="2"/>
        <v>69.930000000000007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","4218"," - ","SALES RETURN TAXABLE-STUDY GUI")</f>
        <v xml:space="preserve">          4218 - SALES RETURN TAXABLE-STUDY GUI</v>
      </c>
      <c r="C33" s="12"/>
      <c r="D33" s="3">
        <f>0</f>
        <v>0</v>
      </c>
      <c r="E33" s="3"/>
      <c r="F33" s="20"/>
      <c r="G33" s="3"/>
      <c r="H33" s="3">
        <f>-5.21</f>
        <v>-5.21</v>
      </c>
      <c r="I33" s="3"/>
      <c r="J33" s="20"/>
      <c r="K33" s="3"/>
      <c r="L33" s="3">
        <f t="shared" si="0"/>
        <v>5.21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-5.21</f>
        <v>-5.21</v>
      </c>
      <c r="U33" s="3"/>
      <c r="V33" s="20"/>
      <c r="W33" s="3"/>
      <c r="X33" s="3">
        <f t="shared" si="2"/>
        <v>5.21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","4300"," - ","NON-TAX RETURNS")</f>
        <v xml:space="preserve">          4300 - NON-TAX RETURNS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-29348.67</f>
        <v>-29348.67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-29348.67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","4301"," - ","SALES RETURN NON TAXABLE-NEW T")</f>
        <v xml:space="preserve">          4301 - SALES RETURN NON TAXABLE-NEW T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-3237.29</f>
        <v>-3237.29</v>
      </c>
      <c r="U35" s="3"/>
      <c r="V35" s="20"/>
      <c r="W35" s="3"/>
      <c r="X35" s="3">
        <f t="shared" si="2"/>
        <v>3237.29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","4302"," - ","SALES RETURN NON TAXABLE-TEXT")</f>
        <v xml:space="preserve">          4302 - SALES RETURN NON TAXABLE-TEXT</v>
      </c>
      <c r="C36" s="12"/>
      <c r="D36" s="3">
        <f>0</f>
        <v>0</v>
      </c>
      <c r="E36" s="3"/>
      <c r="F36" s="20"/>
      <c r="G36" s="3"/>
      <c r="H36" s="3">
        <f>-270.87</f>
        <v>-270.87</v>
      </c>
      <c r="I36" s="3"/>
      <c r="J36" s="20"/>
      <c r="K36" s="3"/>
      <c r="L36" s="3">
        <f t="shared" si="0"/>
        <v>270.87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-2344.35</f>
        <v>-2344.35</v>
      </c>
      <c r="U36" s="3"/>
      <c r="V36" s="20"/>
      <c r="W36" s="3"/>
      <c r="X36" s="3">
        <f t="shared" si="2"/>
        <v>2344.35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","4304"," - ","SALES RETURN NON TAXABLE-DIGIT")</f>
        <v xml:space="preserve">          4304 - SALES RETURN NON TAXABLE-DIGIT</v>
      </c>
      <c r="C37" s="12"/>
      <c r="D37" s="3">
        <f>0</f>
        <v>0</v>
      </c>
      <c r="E37" s="3"/>
      <c r="F37" s="20"/>
      <c r="G37" s="3"/>
      <c r="H37" s="3">
        <f>-275.04</f>
        <v>-275.04000000000002</v>
      </c>
      <c r="I37" s="3"/>
      <c r="J37" s="20"/>
      <c r="K37" s="3"/>
      <c r="L37" s="3">
        <f t="shared" si="0"/>
        <v>275.04000000000002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-27543.76</f>
        <v>-27543.759999999998</v>
      </c>
      <c r="U37" s="3"/>
      <c r="V37" s="20"/>
      <c r="W37" s="3"/>
      <c r="X37" s="3">
        <f t="shared" si="2"/>
        <v>27543.759999999998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","4500"," - ","SALES DISCOUNT")</f>
        <v xml:space="preserve">          4500 - SALES DISCOUNT</v>
      </c>
      <c r="C38" s="12"/>
      <c r="D38" s="3">
        <f>-216.24</f>
        <v>-216.24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-216.24</v>
      </c>
      <c r="M38" s="3"/>
      <c r="N38" s="20">
        <f t="shared" si="1"/>
        <v>0</v>
      </c>
      <c r="O38" s="12"/>
      <c r="P38" s="3">
        <f>-7428.96</f>
        <v>-7428.96</v>
      </c>
      <c r="Q38" s="3"/>
      <c r="R38" s="20"/>
      <c r="S38" s="3"/>
      <c r="T38" s="3">
        <f>0</f>
        <v>0</v>
      </c>
      <c r="U38" s="3"/>
      <c r="V38" s="20"/>
      <c r="W38" s="3"/>
      <c r="X38" s="3">
        <f t="shared" si="2"/>
        <v>-7428.96</v>
      </c>
      <c r="Y38" s="3"/>
      <c r="Z38" s="20">
        <f t="shared" si="3"/>
        <v>0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collapsed="1" x14ac:dyDescent="0.3">
      <c r="A40" s="11"/>
      <c r="B40" s="28" t="s">
        <v>287</v>
      </c>
      <c r="C40" s="11"/>
      <c r="D40" s="5">
        <f>SUM(OSRRefD16x_0)</f>
        <v>14302.289999999968</v>
      </c>
      <c r="E40" s="5"/>
      <c r="F40" s="13">
        <f t="shared" ref="F40:F57" si="4">IF(D$12=0,0,D40/D$12)</f>
        <v>0.71100984019256674</v>
      </c>
      <c r="G40" s="5"/>
      <c r="H40" s="5">
        <f>SUM(OSRRefH16x_0)</f>
        <v>8920.0000000000182</v>
      </c>
      <c r="I40" s="5"/>
      <c r="J40" s="13">
        <f t="shared" ref="J40:J57" si="5">IF(H$12=0,0,H40/H$12)</f>
        <v>0.76370189940881772</v>
      </c>
      <c r="K40" s="5"/>
      <c r="L40" s="5">
        <f t="shared" ref="L40:L57" si="6">+D40-H40</f>
        <v>5382.2899999999499</v>
      </c>
      <c r="M40" s="5"/>
      <c r="N40" s="13">
        <f t="shared" ref="N40:N57" si="7">IF(H40=0,0,L40/H40)</f>
        <v>0.60339573991030704</v>
      </c>
      <c r="O40" s="11"/>
      <c r="P40" s="5">
        <f>SUM(OSRRefP16x_0)</f>
        <v>1329172.8400000001</v>
      </c>
      <c r="Q40" s="5"/>
      <c r="R40" s="13">
        <f t="shared" ref="R40:R57" si="8">IF(P$12=0,0,P40/P$12)</f>
        <v>0.77613507095611856</v>
      </c>
      <c r="S40" s="5"/>
      <c r="T40" s="5">
        <f>SUM(OSRRefT16x_0)</f>
        <v>1330328</v>
      </c>
      <c r="U40" s="5"/>
      <c r="V40" s="13">
        <f t="shared" ref="V40:V57" si="9">IF(T$12=0,0,T40/T$12)</f>
        <v>0.70846789573114366</v>
      </c>
      <c r="W40" s="5"/>
      <c r="X40" s="5">
        <f t="shared" ref="X40:X57" si="10">+P40-T40</f>
        <v>-1155.1599999999162</v>
      </c>
      <c r="Y40" s="5"/>
      <c r="Z40" s="13">
        <f t="shared" ref="Z40:Z57" si="11">IF(T40=0,0,X40/T40)</f>
        <v>-8.6832720953021827E-4</v>
      </c>
    </row>
    <row r="41" spans="1:26" s="69" customFormat="1" ht="15" hidden="1" customHeight="1" outlineLevel="1" x14ac:dyDescent="0.3">
      <c r="A41" s="42"/>
      <c r="B41" s="12" t="str">
        <f>CONCATENATE("          ","5000"," - ","PURCHASES @ COST")</f>
        <v xml:space="preserve">          5000 - PURCHASES @ COST</v>
      </c>
      <c r="C41" s="12"/>
      <c r="D41" s="3">
        <v>-273544.65000000002</v>
      </c>
      <c r="E41" s="3"/>
      <c r="F41" s="20">
        <f t="shared" si="4"/>
        <v>-13.598727048747582</v>
      </c>
      <c r="G41" s="3"/>
      <c r="H41" s="3">
        <v>0</v>
      </c>
      <c r="I41" s="3"/>
      <c r="J41" s="20">
        <f t="shared" si="5"/>
        <v>0</v>
      </c>
      <c r="K41" s="3"/>
      <c r="L41" s="3">
        <f t="shared" si="6"/>
        <v>-273544.65000000002</v>
      </c>
      <c r="M41" s="3"/>
      <c r="N41" s="20">
        <f t="shared" si="7"/>
        <v>0</v>
      </c>
      <c r="O41" s="12"/>
      <c r="P41" s="3">
        <v>1285298.54</v>
      </c>
      <c r="Q41" s="3"/>
      <c r="R41" s="20">
        <f t="shared" si="8"/>
        <v>0.75051584227578372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1285298.54</v>
      </c>
      <c r="Y41" s="3"/>
      <c r="Z41" s="20">
        <f t="shared" si="11"/>
        <v>0</v>
      </c>
    </row>
    <row r="42" spans="1:26" s="69" customFormat="1" ht="15" hidden="1" customHeight="1" outlineLevel="1" x14ac:dyDescent="0.3">
      <c r="A42" s="42"/>
      <c r="B42" s="12" t="str">
        <f>CONCATENATE("          ","5001"," - ","PURCHASES @ COST-NEW TEXT")</f>
        <v xml:space="preserve">          5001 - PURCHASES @ COST-NEW TEXT</v>
      </c>
      <c r="C42" s="12"/>
      <c r="D42" s="3"/>
      <c r="E42" s="3"/>
      <c r="F42" s="20">
        <f t="shared" si="4"/>
        <v>0</v>
      </c>
      <c r="G42" s="3"/>
      <c r="H42" s="3">
        <v>-291124.47999999998</v>
      </c>
      <c r="I42" s="3"/>
      <c r="J42" s="20">
        <f t="shared" si="5"/>
        <v>-24.925147796009405</v>
      </c>
      <c r="K42" s="3"/>
      <c r="L42" s="3">
        <f t="shared" si="6"/>
        <v>291124.47999999998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735086.26</v>
      </c>
      <c r="U42" s="3"/>
      <c r="V42" s="20">
        <f t="shared" si="9"/>
        <v>0.39147113779690146</v>
      </c>
      <c r="W42" s="3"/>
      <c r="X42" s="3">
        <f t="shared" si="10"/>
        <v>-735086.26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","5002"," - ","PURCHASES @ COST-USED TEXT")</f>
        <v xml:space="preserve">          5002 - PURCHASES @ COST-USED TEXT</v>
      </c>
      <c r="C43" s="12"/>
      <c r="D43" s="3"/>
      <c r="E43" s="3"/>
      <c r="F43" s="20">
        <f t="shared" si="4"/>
        <v>0</v>
      </c>
      <c r="G43" s="3"/>
      <c r="H43" s="3">
        <v>14130.32</v>
      </c>
      <c r="I43" s="3"/>
      <c r="J43" s="20">
        <f t="shared" si="5"/>
        <v>1.2097928501406259</v>
      </c>
      <c r="K43" s="3"/>
      <c r="L43" s="3">
        <f t="shared" si="6"/>
        <v>-14130.32</v>
      </c>
      <c r="M43" s="3"/>
      <c r="N43" s="20">
        <f t="shared" si="7"/>
        <v>-1</v>
      </c>
      <c r="O43" s="12"/>
      <c r="P43" s="3">
        <v>0</v>
      </c>
      <c r="Q43" s="3"/>
      <c r="R43" s="20">
        <f t="shared" si="8"/>
        <v>0</v>
      </c>
      <c r="S43" s="3"/>
      <c r="T43" s="3">
        <v>154560.09</v>
      </c>
      <c r="U43" s="3"/>
      <c r="V43" s="20">
        <f t="shared" si="9"/>
        <v>8.2311175684730509E-2</v>
      </c>
      <c r="W43" s="3"/>
      <c r="X43" s="3">
        <f t="shared" si="10"/>
        <v>-154560.09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","5003"," - ","PURCHASES @ COST-RENTAL TEXT")</f>
        <v xml:space="preserve">          5003 - PURCHASES @ COST-RENTAL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/>
      <c r="Q44" s="3"/>
      <c r="R44" s="20">
        <f t="shared" si="8"/>
        <v>0</v>
      </c>
      <c r="S44" s="3"/>
      <c r="T44" s="3">
        <v>32.520000000000003</v>
      </c>
      <c r="U44" s="3"/>
      <c r="V44" s="20">
        <f t="shared" si="9"/>
        <v>1.7318568029220458E-5</v>
      </c>
      <c r="W44" s="3"/>
      <c r="X44" s="3">
        <f t="shared" si="10"/>
        <v>-32.520000000000003</v>
      </c>
      <c r="Y44" s="3"/>
      <c r="Z44" s="20">
        <f t="shared" si="11"/>
        <v>-1</v>
      </c>
    </row>
    <row r="45" spans="1:26" s="69" customFormat="1" ht="15" hidden="1" customHeight="1" outlineLevel="1" x14ac:dyDescent="0.3">
      <c r="A45" s="42"/>
      <c r="B45" s="12" t="str">
        <f>CONCATENATE("          ","5004"," - ","PURCHASES @ COST-DIGITAL TEXT")</f>
        <v xml:space="preserve">          5004 - PURCHASES @ COST-DIGITAL TEXT</v>
      </c>
      <c r="C45" s="12"/>
      <c r="D45" s="3"/>
      <c r="E45" s="3"/>
      <c r="F45" s="20">
        <f t="shared" si="4"/>
        <v>0</v>
      </c>
      <c r="G45" s="3"/>
      <c r="H45" s="3">
        <v>-13446.08</v>
      </c>
      <c r="I45" s="3"/>
      <c r="J45" s="20">
        <f t="shared" si="5"/>
        <v>-1.1512104075787999</v>
      </c>
      <c r="K45" s="3"/>
      <c r="L45" s="3">
        <f t="shared" si="6"/>
        <v>13446.08</v>
      </c>
      <c r="M45" s="3"/>
      <c r="N45" s="20">
        <f t="shared" si="7"/>
        <v>-1</v>
      </c>
      <c r="O45" s="12"/>
      <c r="P45" s="3">
        <v>0</v>
      </c>
      <c r="Q45" s="3"/>
      <c r="R45" s="20">
        <f t="shared" si="8"/>
        <v>0</v>
      </c>
      <c r="S45" s="3"/>
      <c r="T45" s="3">
        <v>206562.5</v>
      </c>
      <c r="U45" s="3"/>
      <c r="V45" s="20">
        <f t="shared" si="9"/>
        <v>0.11000512633874078</v>
      </c>
      <c r="W45" s="3"/>
      <c r="X45" s="3">
        <f t="shared" si="10"/>
        <v>-206562.5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","5011"," - ","PURCHASES @ COST-NO VALUE TEXT")</f>
        <v xml:space="preserve">          5011 - PURCHASES @ COST-NO VALUE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67.17</v>
      </c>
      <c r="U46" s="3"/>
      <c r="V46" s="20">
        <f t="shared" si="9"/>
        <v>3.5771470311277309E-5</v>
      </c>
      <c r="W46" s="3"/>
      <c r="X46" s="3">
        <f t="shared" si="10"/>
        <v>-67.17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","5013"," - ","PURCHASES @ COST-TRADE BOOKS")</f>
        <v xml:space="preserve">          5013 - PURCHASES @ COST-TRADE BOOKS</v>
      </c>
      <c r="C47" s="12"/>
      <c r="D47" s="3"/>
      <c r="E47" s="3"/>
      <c r="F47" s="20">
        <f t="shared" si="4"/>
        <v>0</v>
      </c>
      <c r="G47" s="3"/>
      <c r="H47" s="3">
        <v>2907.93</v>
      </c>
      <c r="I47" s="3"/>
      <c r="J47" s="20">
        <f t="shared" si="5"/>
        <v>0.24896767537532272</v>
      </c>
      <c r="K47" s="3"/>
      <c r="L47" s="3">
        <f t="shared" si="6"/>
        <v>-2907.93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8870.02</v>
      </c>
      <c r="U47" s="3"/>
      <c r="V47" s="20">
        <f t="shared" si="9"/>
        <v>4.723740614715438E-3</v>
      </c>
      <c r="W47" s="3"/>
      <c r="X47" s="3">
        <f t="shared" si="10"/>
        <v>-8870.02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","5014"," - ","PURCHASES @ COST-REMAINDERS")</f>
        <v xml:space="preserve">          5014 - PURCHASES @ COST-REMAINDERS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111.57</v>
      </c>
      <c r="U48" s="3"/>
      <c r="V48" s="20">
        <f t="shared" si="9"/>
        <v>5.9416747694345824E-5</v>
      </c>
      <c r="W48" s="3"/>
      <c r="X48" s="3">
        <f t="shared" si="10"/>
        <v>-111.57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","5018"," - ","PURCHASES @ COST-STUDY GUIDES")</f>
        <v xml:space="preserve">          5018 - PURCHASES @ COST-STUDY GUIDES</v>
      </c>
      <c r="C49" s="12"/>
      <c r="D49" s="3"/>
      <c r="E49" s="3"/>
      <c r="F49" s="20">
        <f t="shared" si="4"/>
        <v>0</v>
      </c>
      <c r="G49" s="3"/>
      <c r="H49" s="3">
        <v>444.87</v>
      </c>
      <c r="I49" s="3"/>
      <c r="J49" s="20">
        <f t="shared" si="5"/>
        <v>3.8088347980941711E-2</v>
      </c>
      <c r="K49" s="3"/>
      <c r="L49" s="3">
        <f t="shared" si="6"/>
        <v>-444.87</v>
      </c>
      <c r="M49" s="3"/>
      <c r="N49" s="20">
        <f t="shared" si="7"/>
        <v>-1</v>
      </c>
      <c r="O49" s="12"/>
      <c r="P49" s="3"/>
      <c r="Q49" s="3"/>
      <c r="R49" s="20">
        <f t="shared" si="8"/>
        <v>0</v>
      </c>
      <c r="S49" s="3"/>
      <c r="T49" s="3">
        <v>967.21</v>
      </c>
      <c r="U49" s="3"/>
      <c r="V49" s="20">
        <f t="shared" si="9"/>
        <v>5.1508893553328162E-4</v>
      </c>
      <c r="W49" s="3"/>
      <c r="X49" s="3">
        <f t="shared" si="10"/>
        <v>-967.21</v>
      </c>
      <c r="Y49" s="3"/>
      <c r="Z49" s="20">
        <f t="shared" si="11"/>
        <v>-1</v>
      </c>
    </row>
    <row r="50" spans="1:26" s="69" customFormat="1" ht="15" hidden="1" customHeight="1" outlineLevel="1" x14ac:dyDescent="0.3">
      <c r="A50" s="42"/>
      <c r="B50" s="12" t="str">
        <f>CONCATENATE("          ","5200"," - ","PURCHASES OFFSET")</f>
        <v xml:space="preserve">          5200 - PURCHASES OFFSET</v>
      </c>
      <c r="C50" s="12"/>
      <c r="D50" s="3">
        <v>267392.68</v>
      </c>
      <c r="E50" s="3"/>
      <c r="F50" s="20">
        <f t="shared" si="4"/>
        <v>13.292894122232353</v>
      </c>
      <c r="G50" s="3"/>
      <c r="H50" s="3">
        <v>285586.77</v>
      </c>
      <c r="I50" s="3"/>
      <c r="J50" s="20">
        <f t="shared" si="5"/>
        <v>24.451026759532368</v>
      </c>
      <c r="K50" s="3"/>
      <c r="L50" s="3">
        <f t="shared" si="6"/>
        <v>-18194.090000000026</v>
      </c>
      <c r="M50" s="3"/>
      <c r="N50" s="20">
        <f t="shared" si="7"/>
        <v>-6.3707748086509836E-2</v>
      </c>
      <c r="O50" s="12"/>
      <c r="P50" s="3">
        <v>-1361905.52</v>
      </c>
      <c r="Q50" s="3"/>
      <c r="R50" s="20">
        <f t="shared" si="8"/>
        <v>-0.79524844744851209</v>
      </c>
      <c r="S50" s="3"/>
      <c r="T50" s="3">
        <v>-1174214.1299999999</v>
      </c>
      <c r="U50" s="3"/>
      <c r="V50" s="20">
        <f t="shared" si="9"/>
        <v>-0.62532925249928994</v>
      </c>
      <c r="W50" s="3"/>
      <c r="X50" s="3">
        <f t="shared" si="10"/>
        <v>-187691.39000000013</v>
      </c>
      <c r="Y50" s="3"/>
      <c r="Z50" s="20">
        <f t="shared" si="11"/>
        <v>0.15984426111445291</v>
      </c>
    </row>
    <row r="51" spans="1:26" s="69" customFormat="1" ht="15" hidden="1" customHeight="1" outlineLevel="1" x14ac:dyDescent="0.3">
      <c r="A51" s="42"/>
      <c r="B51" s="12" t="str">
        <f>CONCATENATE("          ","5300"," - ","COG$ OFFSET")</f>
        <v xml:space="preserve">          5300 - COG$ OFFSET</v>
      </c>
      <c r="C51" s="12"/>
      <c r="D51" s="3">
        <v>14415.48</v>
      </c>
      <c r="E51" s="3"/>
      <c r="F51" s="20">
        <f t="shared" si="4"/>
        <v>0.71663685543358191</v>
      </c>
      <c r="G51" s="3"/>
      <c r="H51" s="3">
        <v>8920</v>
      </c>
      <c r="I51" s="3"/>
      <c r="J51" s="20">
        <f t="shared" si="5"/>
        <v>0.76370189940881616</v>
      </c>
      <c r="K51" s="3"/>
      <c r="L51" s="3">
        <f t="shared" si="6"/>
        <v>5495.48</v>
      </c>
      <c r="M51" s="3"/>
      <c r="N51" s="20">
        <f t="shared" si="7"/>
        <v>0.61608520179372195</v>
      </c>
      <c r="O51" s="12"/>
      <c r="P51" s="3">
        <v>1329286.03</v>
      </c>
      <c r="Q51" s="3"/>
      <c r="R51" s="20">
        <f t="shared" si="8"/>
        <v>0.77620116524125415</v>
      </c>
      <c r="S51" s="3"/>
      <c r="T51" s="3">
        <v>1330328</v>
      </c>
      <c r="U51" s="3"/>
      <c r="V51" s="20">
        <f t="shared" si="9"/>
        <v>0.70846789573114366</v>
      </c>
      <c r="W51" s="3"/>
      <c r="X51" s="3">
        <f t="shared" si="10"/>
        <v>-1041.9699999999721</v>
      </c>
      <c r="Y51" s="3"/>
      <c r="Z51" s="20">
        <f t="shared" si="11"/>
        <v>-7.8324292956321456E-4</v>
      </c>
    </row>
    <row r="52" spans="1:26" s="69" customFormat="1" ht="15" hidden="1" customHeight="1" outlineLevel="1" x14ac:dyDescent="0.3">
      <c r="A52" s="42"/>
      <c r="B52" s="12" t="str">
        <f>CONCATENATE("          ","5500"," - ","FREIGHT-IN")</f>
        <v xml:space="preserve">          5500 - FREIGHT-IN</v>
      </c>
      <c r="C52" s="12"/>
      <c r="D52" s="3">
        <v>6038.78</v>
      </c>
      <c r="E52" s="3"/>
      <c r="F52" s="20">
        <f t="shared" si="4"/>
        <v>0.30020591127421398</v>
      </c>
      <c r="G52" s="3"/>
      <c r="H52" s="3"/>
      <c r="I52" s="3"/>
      <c r="J52" s="20">
        <f t="shared" si="5"/>
        <v>0</v>
      </c>
      <c r="K52" s="3"/>
      <c r="L52" s="3">
        <f t="shared" si="6"/>
        <v>6038.78</v>
      </c>
      <c r="M52" s="3"/>
      <c r="N52" s="20">
        <f t="shared" si="7"/>
        <v>0</v>
      </c>
      <c r="O52" s="12"/>
      <c r="P52" s="3">
        <v>76493.789999999994</v>
      </c>
      <c r="Q52" s="3"/>
      <c r="R52" s="20">
        <f t="shared" si="8"/>
        <v>4.4666510887592638E-2</v>
      </c>
      <c r="S52" s="3"/>
      <c r="T52" s="3">
        <v>0</v>
      </c>
      <c r="U52" s="3"/>
      <c r="V52" s="20">
        <f t="shared" si="9"/>
        <v>0</v>
      </c>
      <c r="W52" s="3"/>
      <c r="X52" s="3">
        <f t="shared" si="10"/>
        <v>76493.789999999994</v>
      </c>
      <c r="Y52" s="3"/>
      <c r="Z52" s="20">
        <f t="shared" si="11"/>
        <v>0</v>
      </c>
    </row>
    <row r="53" spans="1:26" s="69" customFormat="1" ht="15" hidden="1" customHeight="1" outlineLevel="1" x14ac:dyDescent="0.3">
      <c r="A53" s="42"/>
      <c r="B53" s="12" t="str">
        <f>CONCATENATE("          ","5501"," - ","FREIGHT-IN-NEW TEXT")</f>
        <v xml:space="preserve">          5501 - FREIGHT-IN-NEW TEXT</v>
      </c>
      <c r="C53" s="12"/>
      <c r="D53" s="3"/>
      <c r="E53" s="3"/>
      <c r="F53" s="20">
        <f t="shared" si="4"/>
        <v>0</v>
      </c>
      <c r="G53" s="3"/>
      <c r="H53" s="3">
        <v>785.54</v>
      </c>
      <c r="I53" s="3"/>
      <c r="J53" s="20">
        <f t="shared" si="5"/>
        <v>6.7255424894798368E-2</v>
      </c>
      <c r="K53" s="3"/>
      <c r="L53" s="3">
        <f t="shared" si="6"/>
        <v>-785.54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50042.46</v>
      </c>
      <c r="U53" s="3"/>
      <c r="V53" s="20">
        <f t="shared" si="9"/>
        <v>2.6650176748448447E-2</v>
      </c>
      <c r="W53" s="3"/>
      <c r="X53" s="3">
        <f t="shared" si="10"/>
        <v>-50042.46</v>
      </c>
      <c r="Y53" s="3"/>
      <c r="Z53" s="20">
        <f t="shared" si="11"/>
        <v>-1</v>
      </c>
    </row>
    <row r="54" spans="1:26" s="69" customFormat="1" ht="15" hidden="1" customHeight="1" outlineLevel="1" x14ac:dyDescent="0.3">
      <c r="A54" s="42"/>
      <c r="B54" s="12" t="str">
        <f>CONCATENATE("          ","5502"," - ","FREIGHT-IN-USED TEXT")</f>
        <v xml:space="preserve">          5502 - FREIGHT-IN-USED TEXT</v>
      </c>
      <c r="C54" s="12"/>
      <c r="D54" s="3"/>
      <c r="E54" s="3"/>
      <c r="F54" s="20">
        <f t="shared" si="4"/>
        <v>0</v>
      </c>
      <c r="G54" s="3"/>
      <c r="H54" s="3">
        <v>663.37</v>
      </c>
      <c r="I54" s="3"/>
      <c r="J54" s="20">
        <f t="shared" si="5"/>
        <v>5.6795619844263047E-2</v>
      </c>
      <c r="K54" s="3"/>
      <c r="L54" s="3">
        <f t="shared" si="6"/>
        <v>-663.37</v>
      </c>
      <c r="M54" s="3"/>
      <c r="N54" s="20">
        <f t="shared" si="7"/>
        <v>-1</v>
      </c>
      <c r="O54" s="12"/>
      <c r="P54" s="3">
        <v>0</v>
      </c>
      <c r="Q54" s="3"/>
      <c r="R54" s="20">
        <f t="shared" si="8"/>
        <v>0</v>
      </c>
      <c r="S54" s="3"/>
      <c r="T54" s="3">
        <v>17800.13</v>
      </c>
      <c r="U54" s="3"/>
      <c r="V54" s="20">
        <f t="shared" si="9"/>
        <v>9.4794822365918789E-3</v>
      </c>
      <c r="W54" s="3"/>
      <c r="X54" s="3">
        <f t="shared" si="10"/>
        <v>-17800.13</v>
      </c>
      <c r="Y54" s="3"/>
      <c r="Z54" s="20">
        <f t="shared" si="11"/>
        <v>-1</v>
      </c>
    </row>
    <row r="55" spans="1:26" s="69" customFormat="1" ht="15" hidden="1" customHeight="1" outlineLevel="1" x14ac:dyDescent="0.3">
      <c r="A55" s="42"/>
      <c r="B55" s="12" t="str">
        <f>CONCATENATE("          ","5504"," - ","FREIGHT-IN-DIGITAL TEXT")</f>
        <v xml:space="preserve">          5504 - FREIGHT-IN-DIGITAL TEXT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28.92</v>
      </c>
      <c r="U55" s="3"/>
      <c r="V55" s="20">
        <f t="shared" si="9"/>
        <v>1.5401383376539225E-5</v>
      </c>
      <c r="W55" s="3"/>
      <c r="X55" s="3">
        <f t="shared" si="10"/>
        <v>-28.92</v>
      </c>
      <c r="Y55" s="3"/>
      <c r="Z55" s="20">
        <f t="shared" si="11"/>
        <v>-1</v>
      </c>
    </row>
    <row r="56" spans="1:26" s="69" customFormat="1" ht="15" hidden="1" customHeight="1" outlineLevel="1" x14ac:dyDescent="0.3">
      <c r="A56" s="42"/>
      <c r="B56" s="12" t="str">
        <f>CONCATENATE("          ","5513"," - ","FREIGHT-IN-TRADE BOOKS")</f>
        <v xml:space="preserve">          5513 - FREIGHT-IN-TRADE BOOKS</v>
      </c>
      <c r="C56" s="12"/>
      <c r="D56" s="3"/>
      <c r="E56" s="3"/>
      <c r="F56" s="20">
        <f t="shared" si="4"/>
        <v>0</v>
      </c>
      <c r="G56" s="3"/>
      <c r="H56" s="3">
        <v>51.76</v>
      </c>
      <c r="I56" s="3"/>
      <c r="J56" s="20">
        <f t="shared" si="5"/>
        <v>4.4315258198879288E-3</v>
      </c>
      <c r="K56" s="3"/>
      <c r="L56" s="3">
        <f t="shared" si="6"/>
        <v>-51.76</v>
      </c>
      <c r="M56" s="3"/>
      <c r="N56" s="20">
        <f t="shared" si="7"/>
        <v>-1</v>
      </c>
      <c r="O56" s="12"/>
      <c r="P56" s="3"/>
      <c r="Q56" s="3"/>
      <c r="R56" s="20">
        <f t="shared" si="8"/>
        <v>0</v>
      </c>
      <c r="S56" s="3"/>
      <c r="T56" s="3">
        <v>85.28</v>
      </c>
      <c r="U56" s="3"/>
      <c r="V56" s="20">
        <f t="shared" si="9"/>
        <v>4.5415974216848724E-5</v>
      </c>
      <c r="W56" s="3"/>
      <c r="X56" s="3">
        <f t="shared" si="10"/>
        <v>-85.28</v>
      </c>
      <c r="Y56" s="3"/>
      <c r="Z56" s="20">
        <f t="shared" si="11"/>
        <v>-1</v>
      </c>
    </row>
    <row r="57" spans="1:26" s="69" customFormat="1" ht="15" hidden="1" customHeight="1" outlineLevel="1" x14ac:dyDescent="0.3">
      <c r="A57" s="42"/>
      <c r="B57" s="12" t="str">
        <f>CONCATENATE("          ","5518"," - ","FREIGHT-IN-STUDY GUIDES")</f>
        <v xml:space="preserve">          5518 - FREIGHT-IN-STUDY GUIDES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7" t="s">
        <v>288</v>
      </c>
      <c r="C59" s="27"/>
      <c r="D59" s="22">
        <f>D12-D40</f>
        <v>5813.170000000031</v>
      </c>
      <c r="E59" s="15"/>
      <c r="F59" s="21">
        <f>IF(D$12=0,0,D59/D$12)</f>
        <v>0.28899015980743326</v>
      </c>
      <c r="G59" s="15"/>
      <c r="H59" s="22">
        <f>H12-H40</f>
        <v>2759.9499999999789</v>
      </c>
      <c r="I59" s="15"/>
      <c r="J59" s="21">
        <f>IF(H$12=0,0,H59/H$12)</f>
        <v>0.23629810059118228</v>
      </c>
      <c r="K59" s="17"/>
      <c r="L59" s="22">
        <f>+D59-H59</f>
        <v>3053.2200000000521</v>
      </c>
      <c r="M59" s="17"/>
      <c r="N59" s="21">
        <f>IF(H59=0,0,L59/H59)</f>
        <v>1.1062591713618273</v>
      </c>
      <c r="O59" s="28"/>
      <c r="P59" s="22">
        <f>P12-P40</f>
        <v>383380.67000000016</v>
      </c>
      <c r="Q59" s="15"/>
      <c r="R59" s="21">
        <f>IF(P$12=0,0,P59/P$12)</f>
        <v>0.22386492904388144</v>
      </c>
      <c r="S59" s="15"/>
      <c r="T59" s="22">
        <f>T12-T40</f>
        <v>547425.39999999944</v>
      </c>
      <c r="U59" s="15"/>
      <c r="V59" s="21">
        <f>IF(T$12=0,0,T59/T$12)</f>
        <v>0.2915321042688564</v>
      </c>
      <c r="W59" s="17"/>
      <c r="X59" s="22">
        <f>+P59-T59</f>
        <v>-164044.72999999928</v>
      </c>
      <c r="Y59" s="17"/>
      <c r="Z59" s="21">
        <f>IF(T59=0,0,X59/T59)</f>
        <v>-0.29966590881606781</v>
      </c>
    </row>
    <row r="60" spans="1:26" ht="15" customHeight="1" x14ac:dyDescent="0.3">
      <c r="A60" s="10"/>
      <c r="B60" s="11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x14ac:dyDescent="0.3">
      <c r="A61" s="11"/>
      <c r="B61" s="28" t="s">
        <v>289</v>
      </c>
      <c r="C61" s="11"/>
      <c r="D61" s="23" cm="1">
        <f t="array" ref="D61">SUM(OSRRefD22x_0)</f>
        <v>36411.789999999994</v>
      </c>
      <c r="E61" s="23"/>
      <c r="F61" s="35">
        <f t="shared" ref="F61:F92" si="12">IF(D$12=0,0,D61/D$12)</f>
        <v>1.8101395642953229</v>
      </c>
      <c r="G61" s="23"/>
      <c r="H61" s="23" cm="1">
        <f t="array" ref="H61">SUM(OSRRefH22x_0)</f>
        <v>47009.95</v>
      </c>
      <c r="I61" s="23"/>
      <c r="J61" s="35">
        <f t="shared" ref="J61:J92" si="13">IF(H$12=0,0,H61/H$12)</f>
        <v>4.0248417159320038</v>
      </c>
      <c r="K61" s="5"/>
      <c r="L61" s="23">
        <f t="shared" ref="L61:L92" si="14">+D61-H61</f>
        <v>-10598.160000000003</v>
      </c>
      <c r="M61" s="5"/>
      <c r="N61" s="35">
        <f t="shared" ref="N61:N92" si="15">IF(H61=0,0,L61/H61)</f>
        <v>-0.22544503876307045</v>
      </c>
      <c r="O61" s="11"/>
      <c r="P61" s="23" cm="1">
        <f t="array" ref="P61">SUM(OSRRefP22x_0)</f>
        <v>397843.93</v>
      </c>
      <c r="Q61" s="23"/>
      <c r="R61" s="35">
        <f t="shared" ref="R61:R92" si="16">IF(P$12=0,0,P61/P$12)</f>
        <v>0.23231036442183925</v>
      </c>
      <c r="S61" s="23"/>
      <c r="T61" s="23" cm="1">
        <f t="array" ref="T61">SUM(OSRRefT22x_0)</f>
        <v>409270.19</v>
      </c>
      <c r="U61" s="23"/>
      <c r="V61" s="35">
        <f t="shared" ref="V61:V92" si="17">IF(T$12=0,0,T61/T$12)</f>
        <v>0.21795736862998097</v>
      </c>
      <c r="W61" s="5"/>
      <c r="X61" s="23">
        <f t="shared" ref="X61:X92" si="18">+P61-T61</f>
        <v>-11426.260000000009</v>
      </c>
      <c r="Y61" s="5"/>
      <c r="Z61" s="35">
        <f t="shared" ref="Z61:Z92" si="19">IF(T61=0,0,X61/T61)</f>
        <v>-2.7918622658542537E-2</v>
      </c>
    </row>
    <row r="62" spans="1:26" s="68" customFormat="1" ht="15" customHeight="1" outlineLevel="1" collapsed="1" x14ac:dyDescent="0.3">
      <c r="A62" s="26"/>
      <c r="B62" s="14" t="str">
        <f>CONCATENATE("     ","*Benefits                                         ")</f>
        <v xml:space="preserve">     *Benefits                                         </v>
      </c>
      <c r="C62" s="14"/>
      <c r="D62" s="2">
        <f>SUM(OSRRefD22_0x_0)</f>
        <v>12084.51</v>
      </c>
      <c r="E62" s="2"/>
      <c r="F62" s="6">
        <f t="shared" si="12"/>
        <v>0.60075732794576908</v>
      </c>
      <c r="G62" s="2"/>
      <c r="H62" s="2">
        <f>SUM(OSRRefH22_0x_0)</f>
        <v>12084.359999999999</v>
      </c>
      <c r="I62" s="2"/>
      <c r="J62" s="6">
        <f t="shared" si="13"/>
        <v>1.0346242920560449</v>
      </c>
      <c r="K62" s="2"/>
      <c r="L62" s="2">
        <f t="shared" si="14"/>
        <v>0.15000000000145519</v>
      </c>
      <c r="M62" s="2"/>
      <c r="N62" s="6">
        <f t="shared" si="15"/>
        <v>1.2412738448826021E-5</v>
      </c>
      <c r="O62" s="14"/>
      <c r="P62" s="2">
        <f>SUM(OSRRefP22_0x_0)</f>
        <v>92778.760000000024</v>
      </c>
      <c r="Q62" s="2"/>
      <c r="R62" s="6">
        <f t="shared" si="16"/>
        <v>5.417568528997381E-2</v>
      </c>
      <c r="S62" s="2"/>
      <c r="T62" s="2">
        <f>SUM(OSRRefT22_0x_0)</f>
        <v>105810.70000000001</v>
      </c>
      <c r="U62" s="2"/>
      <c r="V62" s="6">
        <f t="shared" si="17"/>
        <v>5.6349625035960547E-2</v>
      </c>
      <c r="W62" s="2"/>
      <c r="X62" s="2">
        <f t="shared" si="18"/>
        <v>-13031.939999999988</v>
      </c>
      <c r="Y62" s="2"/>
      <c r="Z62" s="6">
        <f t="shared" si="19"/>
        <v>-0.12316278032372895</v>
      </c>
    </row>
    <row r="63" spans="1:26" s="69" customFormat="1" ht="15" hidden="1" customHeight="1" outlineLevel="2" x14ac:dyDescent="0.3">
      <c r="A63" s="25"/>
      <c r="B63" s="12" t="str">
        <f>CONCATENATE("          ","6111"," - ","F.I.C.A.")</f>
        <v xml:space="preserve">          6111 - F.I.C.A.</v>
      </c>
      <c r="C63" s="12"/>
      <c r="D63" s="8">
        <v>1676.61</v>
      </c>
      <c r="E63" s="3"/>
      <c r="F63" s="7">
        <f t="shared" si="12"/>
        <v>8.3349324350524417E-2</v>
      </c>
      <c r="G63" s="3"/>
      <c r="H63" s="8">
        <v>1910.57</v>
      </c>
      <c r="I63" s="3"/>
      <c r="J63" s="7">
        <f t="shared" si="13"/>
        <v>0.16357689887371096</v>
      </c>
      <c r="K63" s="3"/>
      <c r="L63" s="8">
        <f t="shared" si="14"/>
        <v>-233.96000000000004</v>
      </c>
      <c r="M63" s="3"/>
      <c r="N63" s="7">
        <f t="shared" si="15"/>
        <v>-0.12245560225482451</v>
      </c>
      <c r="O63" s="12"/>
      <c r="P63" s="8">
        <v>19481.27</v>
      </c>
      <c r="Q63" s="3"/>
      <c r="R63" s="7">
        <f t="shared" si="16"/>
        <v>1.1375568638436294E-2</v>
      </c>
      <c r="S63" s="3"/>
      <c r="T63" s="8">
        <v>18911.77</v>
      </c>
      <c r="U63" s="3"/>
      <c r="V63" s="7">
        <f t="shared" si="17"/>
        <v>1.0071487555288148E-2</v>
      </c>
      <c r="W63" s="3"/>
      <c r="X63" s="8">
        <f t="shared" si="18"/>
        <v>569.5</v>
      </c>
      <c r="Y63" s="3"/>
      <c r="Z63" s="7">
        <f t="shared" si="19"/>
        <v>3.0113521896681272E-2</v>
      </c>
    </row>
    <row r="64" spans="1:26" s="69" customFormat="1" ht="15" hidden="1" customHeight="1" outlineLevel="2" x14ac:dyDescent="0.3">
      <c r="A64" s="25"/>
      <c r="B64" s="12" t="str">
        <f>CONCATENATE("          ","6112"," - ","COMPENSATION INSURANCE")</f>
        <v xml:space="preserve">          6112 - COMPENSATION INSURANCE</v>
      </c>
      <c r="C64" s="12"/>
      <c r="D64" s="8">
        <v>320.72000000000003</v>
      </c>
      <c r="E64" s="3"/>
      <c r="F64" s="7">
        <f t="shared" si="12"/>
        <v>1.594395554464079E-2</v>
      </c>
      <c r="G64" s="3"/>
      <c r="H64" s="8">
        <v>103.76</v>
      </c>
      <c r="I64" s="3"/>
      <c r="J64" s="7">
        <f t="shared" si="13"/>
        <v>8.8835996729438073E-3</v>
      </c>
      <c r="K64" s="3"/>
      <c r="L64" s="8">
        <f t="shared" si="14"/>
        <v>216.96000000000004</v>
      </c>
      <c r="M64" s="3"/>
      <c r="N64" s="7">
        <f t="shared" si="15"/>
        <v>2.0909791827293756</v>
      </c>
      <c r="O64" s="12"/>
      <c r="P64" s="8">
        <v>3765.97</v>
      </c>
      <c r="Q64" s="3"/>
      <c r="R64" s="7">
        <f t="shared" si="16"/>
        <v>2.1990378566331624E-3</v>
      </c>
      <c r="S64" s="3"/>
      <c r="T64" s="8">
        <v>1047.72</v>
      </c>
      <c r="U64" s="3"/>
      <c r="V64" s="7">
        <f t="shared" si="17"/>
        <v>5.5796464008532772E-4</v>
      </c>
      <c r="W64" s="3"/>
      <c r="X64" s="8">
        <f t="shared" si="18"/>
        <v>2718.25</v>
      </c>
      <c r="Y64" s="3"/>
      <c r="Z64" s="7">
        <f t="shared" si="19"/>
        <v>2.5944431718398047</v>
      </c>
    </row>
    <row r="65" spans="1:26" s="69" customFormat="1" ht="15" hidden="1" customHeight="1" outlineLevel="2" x14ac:dyDescent="0.3">
      <c r="A65" s="25"/>
      <c r="B65" s="12" t="str">
        <f>CONCATENATE("          ","6113"," - ","GROUP INSURANCE")</f>
        <v xml:space="preserve">          6113 - GROUP INSURANCE</v>
      </c>
      <c r="C65" s="12"/>
      <c r="D65" s="8">
        <v>4253.97</v>
      </c>
      <c r="E65" s="3"/>
      <c r="F65" s="7">
        <f t="shared" si="12"/>
        <v>0.21147763958666621</v>
      </c>
      <c r="G65" s="3"/>
      <c r="H65" s="8">
        <v>4943.91</v>
      </c>
      <c r="I65" s="3"/>
      <c r="J65" s="7">
        <f t="shared" si="13"/>
        <v>0.42328177774733633</v>
      </c>
      <c r="K65" s="3"/>
      <c r="L65" s="8">
        <f t="shared" si="14"/>
        <v>-689.9399999999996</v>
      </c>
      <c r="M65" s="3"/>
      <c r="N65" s="7">
        <f t="shared" si="15"/>
        <v>-0.13955351128964719</v>
      </c>
      <c r="O65" s="12"/>
      <c r="P65" s="8">
        <v>39343.72</v>
      </c>
      <c r="Q65" s="3"/>
      <c r="R65" s="7">
        <f t="shared" si="16"/>
        <v>2.2973717183295484E-2</v>
      </c>
      <c r="S65" s="3"/>
      <c r="T65" s="8">
        <v>40219.949999999997</v>
      </c>
      <c r="U65" s="3"/>
      <c r="V65" s="7">
        <f t="shared" si="17"/>
        <v>2.1419186353224023E-2</v>
      </c>
      <c r="W65" s="3"/>
      <c r="X65" s="8">
        <f t="shared" si="18"/>
        <v>-876.22999999999593</v>
      </c>
      <c r="Y65" s="3"/>
      <c r="Z65" s="7">
        <f t="shared" si="19"/>
        <v>-2.1785954482787671E-2</v>
      </c>
    </row>
    <row r="66" spans="1:26" s="69" customFormat="1" ht="15" hidden="1" customHeight="1" outlineLevel="2" x14ac:dyDescent="0.3">
      <c r="A66" s="25"/>
      <c r="B66" s="12" t="str">
        <f>CONCATENATE("          ","6114"," - ","STATE UNEMPLOYMENT INSURANCE")</f>
        <v xml:space="preserve">          6114 - STATE UNEMPLOYMENT INSURANCE</v>
      </c>
      <c r="C66" s="12"/>
      <c r="D66" s="8">
        <v>63.38</v>
      </c>
      <c r="E66" s="3"/>
      <c r="F66" s="7">
        <f t="shared" si="12"/>
        <v>3.1508103717240374E-3</v>
      </c>
      <c r="G66" s="3"/>
      <c r="H66" s="8">
        <v>70.17</v>
      </c>
      <c r="I66" s="3"/>
      <c r="J66" s="7">
        <f t="shared" si="13"/>
        <v>6.007731197479443E-3</v>
      </c>
      <c r="K66" s="3"/>
      <c r="L66" s="8">
        <f t="shared" si="14"/>
        <v>-6.7899999999999991</v>
      </c>
      <c r="M66" s="3"/>
      <c r="N66" s="7">
        <f t="shared" si="15"/>
        <v>-9.6764999287444767E-2</v>
      </c>
      <c r="O66" s="12"/>
      <c r="P66" s="8">
        <v>747.3</v>
      </c>
      <c r="Q66" s="3"/>
      <c r="R66" s="7">
        <f t="shared" si="16"/>
        <v>4.3636592704189423E-4</v>
      </c>
      <c r="S66" s="3"/>
      <c r="T66" s="8">
        <v>670.86</v>
      </c>
      <c r="U66" s="3"/>
      <c r="V66" s="7">
        <f t="shared" si="17"/>
        <v>3.5726736002714745E-4</v>
      </c>
      <c r="W66" s="3"/>
      <c r="X66" s="8">
        <f t="shared" si="18"/>
        <v>76.439999999999941</v>
      </c>
      <c r="Y66" s="3"/>
      <c r="Z66" s="7">
        <f t="shared" si="19"/>
        <v>0.11394329666398345</v>
      </c>
    </row>
    <row r="67" spans="1:26" s="69" customFormat="1" ht="15" hidden="1" customHeight="1" outlineLevel="2" x14ac:dyDescent="0.3">
      <c r="A67" s="25"/>
      <c r="B67" s="12" t="str">
        <f>CONCATENATE("          ","6115"," - ","P.E.R.S.")</f>
        <v xml:space="preserve">          6115 - P.E.R.S.</v>
      </c>
      <c r="C67" s="12"/>
      <c r="D67" s="8">
        <v>1474.56</v>
      </c>
      <c r="E67" s="3"/>
      <c r="F67" s="7">
        <f t="shared" si="12"/>
        <v>7.3304811324225241E-2</v>
      </c>
      <c r="G67" s="3"/>
      <c r="H67" s="8">
        <v>1783.22</v>
      </c>
      <c r="I67" s="3"/>
      <c r="J67" s="7">
        <f t="shared" si="13"/>
        <v>0.15267359877396738</v>
      </c>
      <c r="K67" s="3"/>
      <c r="L67" s="8">
        <f t="shared" si="14"/>
        <v>-308.66000000000008</v>
      </c>
      <c r="M67" s="3"/>
      <c r="N67" s="7">
        <f t="shared" si="15"/>
        <v>-0.17309137403124689</v>
      </c>
      <c r="O67" s="12"/>
      <c r="P67" s="8">
        <v>16846.04</v>
      </c>
      <c r="Q67" s="3"/>
      <c r="R67" s="7">
        <f t="shared" si="16"/>
        <v>9.8367962820618653E-3</v>
      </c>
      <c r="S67" s="3"/>
      <c r="T67" s="8">
        <v>16741.73</v>
      </c>
      <c r="U67" s="3"/>
      <c r="V67" s="7">
        <f t="shared" si="17"/>
        <v>8.9158299487035967E-3</v>
      </c>
      <c r="W67" s="3"/>
      <c r="X67" s="8">
        <f t="shared" si="18"/>
        <v>104.31000000000131</v>
      </c>
      <c r="Y67" s="3"/>
      <c r="Z67" s="7">
        <f t="shared" si="19"/>
        <v>6.2305388989071803E-3</v>
      </c>
    </row>
    <row r="68" spans="1:26" s="69" customFormat="1" ht="15" hidden="1" customHeight="1" outlineLevel="2" x14ac:dyDescent="0.3">
      <c r="A68" s="25"/>
      <c r="B68" s="12" t="str">
        <f>CONCATENATE("          ","6117"," - ","RETIREMENT STAFF HOURLY")</f>
        <v xml:space="preserve">          6117 - RETIREMENT STAFF HOURLY</v>
      </c>
      <c r="C68" s="12"/>
      <c r="D68" s="8">
        <v>362.45</v>
      </c>
      <c r="E68" s="3"/>
      <c r="F68" s="7">
        <f t="shared" si="12"/>
        <v>1.8018479318892038E-2</v>
      </c>
      <c r="G68" s="3"/>
      <c r="H68" s="8">
        <v>368.6</v>
      </c>
      <c r="I68" s="3"/>
      <c r="J68" s="7">
        <f t="shared" si="13"/>
        <v>3.1558354273776866E-2</v>
      </c>
      <c r="K68" s="3"/>
      <c r="L68" s="8">
        <f t="shared" si="14"/>
        <v>-6.1500000000000341</v>
      </c>
      <c r="M68" s="3"/>
      <c r="N68" s="7">
        <f t="shared" si="15"/>
        <v>-1.6684753119913277E-2</v>
      </c>
      <c r="O68" s="12"/>
      <c r="P68" s="8">
        <v>2956.71</v>
      </c>
      <c r="Q68" s="3"/>
      <c r="R68" s="7">
        <f t="shared" si="16"/>
        <v>1.7264920381962253E-3</v>
      </c>
      <c r="S68" s="3"/>
      <c r="T68" s="8">
        <v>2509.58</v>
      </c>
      <c r="U68" s="3"/>
      <c r="V68" s="7">
        <f t="shared" si="17"/>
        <v>1.3364800724099345E-3</v>
      </c>
      <c r="W68" s="3"/>
      <c r="X68" s="8">
        <f t="shared" si="18"/>
        <v>447.13000000000011</v>
      </c>
      <c r="Y68" s="3"/>
      <c r="Z68" s="7">
        <f t="shared" si="19"/>
        <v>0.17816925541325646</v>
      </c>
    </row>
    <row r="69" spans="1:26" s="69" customFormat="1" ht="15" hidden="1" customHeight="1" outlineLevel="2" x14ac:dyDescent="0.3">
      <c r="A69" s="25"/>
      <c r="B69" s="12" t="str">
        <f>CONCATENATE("          ","6118"," - ","VACATION")</f>
        <v xml:space="preserve">          6118 - VACATION</v>
      </c>
      <c r="C69" s="12"/>
      <c r="D69" s="8">
        <v>1691.08</v>
      </c>
      <c r="E69" s="3"/>
      <c r="F69" s="7">
        <f t="shared" si="12"/>
        <v>8.4068671559089383E-2</v>
      </c>
      <c r="G69" s="3"/>
      <c r="H69" s="8">
        <v>1345.02</v>
      </c>
      <c r="I69" s="3"/>
      <c r="J69" s="7">
        <f t="shared" si="13"/>
        <v>0.11515631488148496</v>
      </c>
      <c r="K69" s="3"/>
      <c r="L69" s="8">
        <f t="shared" si="14"/>
        <v>346.05999999999995</v>
      </c>
      <c r="M69" s="3"/>
      <c r="N69" s="7">
        <f t="shared" si="15"/>
        <v>0.25728985442595648</v>
      </c>
      <c r="O69" s="12"/>
      <c r="P69" s="8">
        <v>17006.080000000002</v>
      </c>
      <c r="Q69" s="3"/>
      <c r="R69" s="7">
        <f t="shared" si="16"/>
        <v>9.930247376620658E-3</v>
      </c>
      <c r="S69" s="3"/>
      <c r="T69" s="8">
        <v>12034.68</v>
      </c>
      <c r="U69" s="3"/>
      <c r="V69" s="7">
        <f t="shared" si="17"/>
        <v>6.4090843877582671E-3</v>
      </c>
      <c r="W69" s="3"/>
      <c r="X69" s="8">
        <f t="shared" si="18"/>
        <v>4971.4000000000015</v>
      </c>
      <c r="Y69" s="3"/>
      <c r="Z69" s="7">
        <f t="shared" si="19"/>
        <v>0.413089504664852</v>
      </c>
    </row>
    <row r="70" spans="1:26" s="69" customFormat="1" ht="15" hidden="1" customHeight="1" outlineLevel="2" x14ac:dyDescent="0.3">
      <c r="A70" s="25"/>
      <c r="B70" s="12" t="str">
        <f>CONCATENATE("          ","6119"," - ","SICK LEAVE")</f>
        <v xml:space="preserve">          6119 - SICK LEAVE</v>
      </c>
      <c r="C70" s="12"/>
      <c r="D70" s="8">
        <v>1158.1500000000001</v>
      </c>
      <c r="E70" s="3"/>
      <c r="F70" s="7">
        <f t="shared" si="12"/>
        <v>5.7575118838942792E-2</v>
      </c>
      <c r="G70" s="3"/>
      <c r="H70" s="8">
        <v>1147.56</v>
      </c>
      <c r="I70" s="3"/>
      <c r="J70" s="7">
        <f t="shared" si="13"/>
        <v>9.8250420592553928E-2</v>
      </c>
      <c r="K70" s="3"/>
      <c r="L70" s="8">
        <f t="shared" si="14"/>
        <v>10.590000000000146</v>
      </c>
      <c r="M70" s="3"/>
      <c r="N70" s="7">
        <f t="shared" si="15"/>
        <v>9.2282756457179975E-3</v>
      </c>
      <c r="O70" s="12"/>
      <c r="P70" s="8">
        <v>-15330.09</v>
      </c>
      <c r="Q70" s="3"/>
      <c r="R70" s="7">
        <f t="shared" si="16"/>
        <v>-8.9515976642388223E-3</v>
      </c>
      <c r="S70" s="3"/>
      <c r="T70" s="8">
        <v>9887.02</v>
      </c>
      <c r="U70" s="3"/>
      <c r="V70" s="7">
        <f t="shared" si="17"/>
        <v>5.2653452790978857E-3</v>
      </c>
      <c r="W70" s="3"/>
      <c r="X70" s="8">
        <f t="shared" si="18"/>
        <v>-25217.11</v>
      </c>
      <c r="Y70" s="3"/>
      <c r="Z70" s="7">
        <f t="shared" si="19"/>
        <v>-2.5505268523781686</v>
      </c>
    </row>
    <row r="71" spans="1:26" s="69" customFormat="1" ht="15" hidden="1" customHeight="1" outlineLevel="2" x14ac:dyDescent="0.3">
      <c r="A71" s="25"/>
      <c r="B71" s="12" t="str">
        <f>CONCATENATE("          ","6156"," - ","EMPLOYEE MEALS")</f>
        <v xml:space="preserve">          6156 - EMPLOYEE MEALS</v>
      </c>
      <c r="C71" s="12"/>
      <c r="D71" s="8">
        <v>1083.5899999999999</v>
      </c>
      <c r="E71" s="3"/>
      <c r="F71" s="7">
        <f t="shared" si="12"/>
        <v>5.3868517051064206E-2</v>
      </c>
      <c r="G71" s="3"/>
      <c r="H71" s="8">
        <v>411.55</v>
      </c>
      <c r="I71" s="3"/>
      <c r="J71" s="7">
        <f t="shared" si="13"/>
        <v>3.5235596042791285E-2</v>
      </c>
      <c r="K71" s="3"/>
      <c r="L71" s="8">
        <f t="shared" si="14"/>
        <v>672.04</v>
      </c>
      <c r="M71" s="3"/>
      <c r="N71" s="7">
        <f t="shared" si="15"/>
        <v>1.6329486089175069</v>
      </c>
      <c r="O71" s="12"/>
      <c r="P71" s="8">
        <v>7961.76</v>
      </c>
      <c r="Q71" s="3"/>
      <c r="R71" s="7">
        <f t="shared" si="16"/>
        <v>4.649057651927033E-3</v>
      </c>
      <c r="S71" s="3"/>
      <c r="T71" s="8">
        <v>3787.39</v>
      </c>
      <c r="U71" s="3"/>
      <c r="V71" s="7">
        <f t="shared" si="17"/>
        <v>2.0169794393662135E-3</v>
      </c>
      <c r="W71" s="3"/>
      <c r="X71" s="8">
        <f t="shared" si="18"/>
        <v>4174.3700000000008</v>
      </c>
      <c r="Y71" s="3"/>
      <c r="Z71" s="7">
        <f t="shared" si="19"/>
        <v>1.1021759047787529</v>
      </c>
    </row>
    <row r="72" spans="1:26" s="68" customFormat="1" ht="15" customHeight="1" outlineLevel="1" collapsed="1" x14ac:dyDescent="0.3">
      <c r="A72" s="26"/>
      <c r="B72" s="14" t="str">
        <f>CONCATENATE("     ","*Payroll                                          ")</f>
        <v xml:space="preserve">     *Payroll                                          </v>
      </c>
      <c r="C72" s="14"/>
      <c r="D72" s="2">
        <f>SUM(OSRRefD22_1x_0)</f>
        <v>21854.46</v>
      </c>
      <c r="E72" s="2"/>
      <c r="F72" s="6">
        <f t="shared" si="12"/>
        <v>1.0864509188455049</v>
      </c>
      <c r="G72" s="2"/>
      <c r="H72" s="2">
        <f>SUM(OSRRefH22_1x_0)</f>
        <v>25735.149999999998</v>
      </c>
      <c r="I72" s="2"/>
      <c r="J72" s="6">
        <f t="shared" si="13"/>
        <v>2.2033613157590577</v>
      </c>
      <c r="K72" s="2"/>
      <c r="L72" s="2">
        <f t="shared" si="14"/>
        <v>-3880.6899999999987</v>
      </c>
      <c r="M72" s="2"/>
      <c r="N72" s="6">
        <f t="shared" si="15"/>
        <v>-0.15079337015715855</v>
      </c>
      <c r="O72" s="14"/>
      <c r="P72" s="2">
        <f>SUM(OSRRefP22_1x_0)</f>
        <v>269883.86</v>
      </c>
      <c r="Q72" s="2"/>
      <c r="R72" s="6">
        <f t="shared" si="16"/>
        <v>0.15759149038210196</v>
      </c>
      <c r="S72" s="2"/>
      <c r="T72" s="2">
        <f>SUM(OSRRefT22_1x_0)</f>
        <v>253133.52000000002</v>
      </c>
      <c r="U72" s="2"/>
      <c r="V72" s="6">
        <f t="shared" si="17"/>
        <v>0.13480658322866043</v>
      </c>
      <c r="W72" s="2"/>
      <c r="X72" s="2">
        <f t="shared" si="18"/>
        <v>16750.339999999967</v>
      </c>
      <c r="Y72" s="2"/>
      <c r="Z72" s="6">
        <f t="shared" si="19"/>
        <v>6.617195541704618E-2</v>
      </c>
    </row>
    <row r="73" spans="1:26" s="69" customFormat="1" ht="15" hidden="1" customHeight="1" outlineLevel="2" x14ac:dyDescent="0.3">
      <c r="A73" s="25"/>
      <c r="B73" s="12" t="str">
        <f>CONCATENATE("          ","6001"," - ","ADMINISTRATIVE SALARIES")</f>
        <v xml:space="preserve">          6001 - ADMINISTRATIVE SALARIES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-311.32</v>
      </c>
      <c r="U73" s="3"/>
      <c r="V73" s="7">
        <f t="shared" si="17"/>
        <v>-1.6579386835353357E-4</v>
      </c>
      <c r="W73" s="3"/>
      <c r="X73" s="8">
        <f t="shared" si="18"/>
        <v>311.32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5"/>
      <c r="B74" s="12" t="str">
        <f>CONCATENATE("          ","6002"," - ","STAFF SALARIES")</f>
        <v xml:space="preserve">          6002 - STAFF SALARIES</v>
      </c>
      <c r="C74" s="12"/>
      <c r="D74" s="8">
        <v>14828.41</v>
      </c>
      <c r="E74" s="3"/>
      <c r="F74" s="7">
        <f t="shared" si="12"/>
        <v>0.73716484733632737</v>
      </c>
      <c r="G74" s="3"/>
      <c r="H74" s="8">
        <v>16589.439999999999</v>
      </c>
      <c r="I74" s="3"/>
      <c r="J74" s="7">
        <f t="shared" si="13"/>
        <v>1.4203348473238329</v>
      </c>
      <c r="K74" s="3"/>
      <c r="L74" s="8">
        <f t="shared" si="14"/>
        <v>-1761.0299999999988</v>
      </c>
      <c r="M74" s="3"/>
      <c r="N74" s="7">
        <f t="shared" si="15"/>
        <v>-0.10615367366228148</v>
      </c>
      <c r="O74" s="12"/>
      <c r="P74" s="8">
        <v>169997.34</v>
      </c>
      <c r="Q74" s="3"/>
      <c r="R74" s="7">
        <f t="shared" si="16"/>
        <v>9.9265417989771287E-2</v>
      </c>
      <c r="S74" s="3"/>
      <c r="T74" s="8">
        <v>154715.68</v>
      </c>
      <c r="U74" s="3"/>
      <c r="V74" s="7">
        <f t="shared" si="17"/>
        <v>8.2394035340316807E-2</v>
      </c>
      <c r="W74" s="3"/>
      <c r="X74" s="8">
        <f t="shared" si="18"/>
        <v>15281.660000000003</v>
      </c>
      <c r="Y74" s="3"/>
      <c r="Z74" s="7">
        <f t="shared" si="19"/>
        <v>9.8772535530981767E-2</v>
      </c>
    </row>
    <row r="75" spans="1:26" s="69" customFormat="1" ht="15" hidden="1" customHeight="1" outlineLevel="2" x14ac:dyDescent="0.3">
      <c r="A75" s="25"/>
      <c r="B75" s="12" t="str">
        <f>CONCATENATE("          ","6004"," - ","STAFF HOURLY")</f>
        <v xml:space="preserve">          6004 - STAFF HOURLY</v>
      </c>
      <c r="C75" s="12"/>
      <c r="D75" s="8">
        <v>4726.37</v>
      </c>
      <c r="E75" s="3"/>
      <c r="F75" s="7">
        <f t="shared" si="12"/>
        <v>0.23496206400450201</v>
      </c>
      <c r="G75" s="3"/>
      <c r="H75" s="8">
        <v>5806.54</v>
      </c>
      <c r="I75" s="3"/>
      <c r="J75" s="7">
        <f t="shared" si="13"/>
        <v>0.49713740212929008</v>
      </c>
      <c r="K75" s="3"/>
      <c r="L75" s="8">
        <f t="shared" si="14"/>
        <v>-1080.17</v>
      </c>
      <c r="M75" s="3"/>
      <c r="N75" s="7">
        <f t="shared" si="15"/>
        <v>-0.18602644604187693</v>
      </c>
      <c r="O75" s="12"/>
      <c r="P75" s="8">
        <v>55351.68</v>
      </c>
      <c r="Q75" s="3"/>
      <c r="R75" s="7">
        <f t="shared" si="16"/>
        <v>3.232113897568082E-2</v>
      </c>
      <c r="S75" s="3"/>
      <c r="T75" s="8">
        <v>59739.26</v>
      </c>
      <c r="U75" s="3"/>
      <c r="V75" s="7">
        <f t="shared" si="17"/>
        <v>3.1814220120703826E-2</v>
      </c>
      <c r="W75" s="3"/>
      <c r="X75" s="8">
        <f t="shared" si="18"/>
        <v>-4387.5800000000017</v>
      </c>
      <c r="Y75" s="3"/>
      <c r="Z75" s="7">
        <f t="shared" si="19"/>
        <v>-7.3445503007569926E-2</v>
      </c>
    </row>
    <row r="76" spans="1:26" s="69" customFormat="1" ht="15" hidden="1" customHeight="1" outlineLevel="2" x14ac:dyDescent="0.3">
      <c r="A76" s="25"/>
      <c r="B76" s="12" t="str">
        <f>CONCATENATE("          ","6005"," - ","TEMPORARY WAGES-HOURLY")</f>
        <v xml:space="preserve">          6005 - TEMPORARY WAGES-HOURLY</v>
      </c>
      <c r="C76" s="12"/>
      <c r="D76" s="8"/>
      <c r="E76" s="3"/>
      <c r="F76" s="7">
        <f t="shared" si="12"/>
        <v>0</v>
      </c>
      <c r="G76" s="3"/>
      <c r="H76" s="8">
        <v>478.89</v>
      </c>
      <c r="I76" s="3"/>
      <c r="J76" s="7">
        <f t="shared" si="13"/>
        <v>4.1001031682498648E-2</v>
      </c>
      <c r="K76" s="3"/>
      <c r="L76" s="8">
        <f t="shared" si="14"/>
        <v>-478.89</v>
      </c>
      <c r="M76" s="3"/>
      <c r="N76" s="7">
        <f t="shared" si="15"/>
        <v>-1</v>
      </c>
      <c r="O76" s="12"/>
      <c r="P76" s="8">
        <v>14698.31</v>
      </c>
      <c r="Q76" s="3"/>
      <c r="R76" s="7">
        <f t="shared" si="16"/>
        <v>8.5826865637617343E-3</v>
      </c>
      <c r="S76" s="3"/>
      <c r="T76" s="8">
        <v>13316.89</v>
      </c>
      <c r="U76" s="3"/>
      <c r="V76" s="7">
        <f t="shared" si="17"/>
        <v>7.0919269804011554E-3</v>
      </c>
      <c r="W76" s="3"/>
      <c r="X76" s="8">
        <f t="shared" si="18"/>
        <v>1381.42</v>
      </c>
      <c r="Y76" s="3"/>
      <c r="Z76" s="7">
        <f t="shared" si="19"/>
        <v>0.10373443048639736</v>
      </c>
    </row>
    <row r="77" spans="1:26" s="69" customFormat="1" ht="15" hidden="1" customHeight="1" outlineLevel="2" x14ac:dyDescent="0.3">
      <c r="A77" s="25"/>
      <c r="B77" s="12" t="str">
        <f>CONCATENATE("          ","6006"," - ","TEMPORARY PART TIME")</f>
        <v xml:space="preserve">          6006 - TEMPORARY PART TIME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502.29</v>
      </c>
      <c r="U77" s="3"/>
      <c r="V77" s="7">
        <f t="shared" si="17"/>
        <v>2.6749518866534878E-4</v>
      </c>
      <c r="W77" s="3"/>
      <c r="X77" s="8">
        <f t="shared" si="18"/>
        <v>-502.29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5"/>
      <c r="B78" s="12" t="str">
        <f>CONCATENATE("          ","6007"," - ","STUDENT HOURLY")</f>
        <v xml:space="preserve">          6007 - STUDENT HOURLY</v>
      </c>
      <c r="C78" s="12"/>
      <c r="D78" s="8">
        <v>2299.6799999999998</v>
      </c>
      <c r="E78" s="3"/>
      <c r="F78" s="7">
        <f t="shared" si="12"/>
        <v>0.1143240075046755</v>
      </c>
      <c r="G78" s="3"/>
      <c r="H78" s="8">
        <v>2860.28</v>
      </c>
      <c r="I78" s="3"/>
      <c r="J78" s="7">
        <f t="shared" si="13"/>
        <v>0.24488803462343597</v>
      </c>
      <c r="K78" s="3"/>
      <c r="L78" s="8">
        <f t="shared" si="14"/>
        <v>-560.60000000000036</v>
      </c>
      <c r="M78" s="3"/>
      <c r="N78" s="7">
        <f t="shared" si="15"/>
        <v>-0.1959947977121122</v>
      </c>
      <c r="O78" s="12"/>
      <c r="P78" s="8">
        <v>25870.05</v>
      </c>
      <c r="Q78" s="3"/>
      <c r="R78" s="7">
        <f t="shared" si="16"/>
        <v>1.5106126523310793E-2</v>
      </c>
      <c r="S78" s="3"/>
      <c r="T78" s="8">
        <v>24203.46</v>
      </c>
      <c r="U78" s="3"/>
      <c r="V78" s="7">
        <f t="shared" si="17"/>
        <v>1.2889583903828909E-2</v>
      </c>
      <c r="W78" s="3"/>
      <c r="X78" s="8">
        <f t="shared" si="18"/>
        <v>1666.5900000000001</v>
      </c>
      <c r="Y78" s="3"/>
      <c r="Z78" s="7">
        <f t="shared" si="19"/>
        <v>6.885751045511676E-2</v>
      </c>
    </row>
    <row r="79" spans="1:26" s="69" customFormat="1" ht="15" hidden="1" customHeight="1" outlineLevel="2" x14ac:dyDescent="0.3">
      <c r="A79" s="25"/>
      <c r="B79" s="12" t="str">
        <f>CONCATENATE("          ","6008"," - ","STUDENT HOURLY-FICA EXEMPT")</f>
        <v xml:space="preserve">          6008 - STUDENT HOURLY-FICA EXEMPT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>
        <v>3966.48</v>
      </c>
      <c r="Q79" s="3"/>
      <c r="R79" s="7">
        <f t="shared" si="16"/>
        <v>2.3161203295773221E-3</v>
      </c>
      <c r="S79" s="3"/>
      <c r="T79" s="8">
        <v>967.26</v>
      </c>
      <c r="U79" s="3"/>
      <c r="V79" s="7">
        <f t="shared" si="17"/>
        <v>5.1511556309790209E-4</v>
      </c>
      <c r="W79" s="3"/>
      <c r="X79" s="8">
        <f t="shared" si="18"/>
        <v>2999.2200000000003</v>
      </c>
      <c r="Y79" s="3"/>
      <c r="Z79" s="7">
        <f t="shared" si="19"/>
        <v>3.100738167607469</v>
      </c>
    </row>
    <row r="80" spans="1:26" s="68" customFormat="1" ht="15" customHeight="1" outlineLevel="1" collapsed="1" x14ac:dyDescent="0.3">
      <c r="A80" s="26"/>
      <c r="B80" s="14" t="str">
        <f>CONCATENATE("     ","Advertising/Promo                                 ")</f>
        <v xml:space="preserve">     Advertising/Promo                                 </v>
      </c>
      <c r="C80" s="14"/>
      <c r="D80" s="2">
        <f>SUM(OSRRefD22_2x_0)</f>
        <v>0</v>
      </c>
      <c r="E80" s="2"/>
      <c r="F80" s="6">
        <f t="shared" si="12"/>
        <v>0</v>
      </c>
      <c r="G80" s="2"/>
      <c r="H80" s="2">
        <f>SUM(OSRRefH22_2x_0)</f>
        <v>30.83</v>
      </c>
      <c r="I80" s="2"/>
      <c r="J80" s="6">
        <f t="shared" si="13"/>
        <v>2.6395660940329371E-3</v>
      </c>
      <c r="K80" s="2"/>
      <c r="L80" s="2">
        <f t="shared" si="14"/>
        <v>-30.83</v>
      </c>
      <c r="M80" s="2"/>
      <c r="N80" s="6">
        <f t="shared" si="15"/>
        <v>-1</v>
      </c>
      <c r="O80" s="14"/>
      <c r="P80" s="2">
        <f>SUM(OSRRefP22_2x_0)</f>
        <v>837.79</v>
      </c>
      <c r="Q80" s="2"/>
      <c r="R80" s="6">
        <f t="shared" si="16"/>
        <v>4.8920515190208557E-4</v>
      </c>
      <c r="S80" s="2"/>
      <c r="T80" s="2">
        <f>SUM(OSRRefT22_2x_0)</f>
        <v>2030.38</v>
      </c>
      <c r="U80" s="2"/>
      <c r="V80" s="6">
        <f t="shared" si="17"/>
        <v>1.0812814930863664E-3</v>
      </c>
      <c r="W80" s="2"/>
      <c r="X80" s="2">
        <f t="shared" si="18"/>
        <v>-1192.5900000000001</v>
      </c>
      <c r="Y80" s="2"/>
      <c r="Z80" s="6">
        <f t="shared" si="19"/>
        <v>-0.58737280706074724</v>
      </c>
    </row>
    <row r="81" spans="1:26" s="69" customFormat="1" ht="15" hidden="1" customHeight="1" outlineLevel="2" x14ac:dyDescent="0.3">
      <c r="A81" s="25"/>
      <c r="B81" s="12" t="str">
        <f>CONCATENATE("          ","6362"," - ","ADVERTISING EXPENSE")</f>
        <v xml:space="preserve">          6362 - ADVERTISING EXPENSE</v>
      </c>
      <c r="C81" s="12"/>
      <c r="D81" s="8"/>
      <c r="E81" s="3"/>
      <c r="F81" s="7">
        <f t="shared" si="12"/>
        <v>0</v>
      </c>
      <c r="G81" s="3"/>
      <c r="H81" s="8">
        <v>30.83</v>
      </c>
      <c r="I81" s="3"/>
      <c r="J81" s="7">
        <f t="shared" si="13"/>
        <v>2.6395660940329371E-3</v>
      </c>
      <c r="K81" s="3"/>
      <c r="L81" s="8">
        <f t="shared" si="14"/>
        <v>-30.83</v>
      </c>
      <c r="M81" s="3"/>
      <c r="N81" s="7">
        <f t="shared" si="15"/>
        <v>-1</v>
      </c>
      <c r="O81" s="12"/>
      <c r="P81" s="8">
        <v>837.79</v>
      </c>
      <c r="Q81" s="3"/>
      <c r="R81" s="7">
        <f t="shared" si="16"/>
        <v>4.8920515190208557E-4</v>
      </c>
      <c r="S81" s="3"/>
      <c r="T81" s="8">
        <v>2030.38</v>
      </c>
      <c r="U81" s="3"/>
      <c r="V81" s="7">
        <f t="shared" si="17"/>
        <v>1.0812814930863664E-3</v>
      </c>
      <c r="W81" s="3"/>
      <c r="X81" s="8">
        <f t="shared" si="18"/>
        <v>-1192.5900000000001</v>
      </c>
      <c r="Y81" s="3"/>
      <c r="Z81" s="7">
        <f t="shared" si="19"/>
        <v>-0.58737280706074724</v>
      </c>
    </row>
    <row r="82" spans="1:26" s="68" customFormat="1" ht="15" customHeight="1" outlineLevel="1" collapsed="1" x14ac:dyDescent="0.3">
      <c r="A82" s="26"/>
      <c r="B82" s="14" t="str">
        <f>CONCATENATE("     ","Discounts and Markdowns                           ")</f>
        <v xml:space="preserve">     Discounts and Markdowns                           </v>
      </c>
      <c r="C82" s="14"/>
      <c r="D82" s="2">
        <f>SUM(OSRRefD22_3x_0)</f>
        <v>0</v>
      </c>
      <c r="E82" s="2"/>
      <c r="F82" s="6">
        <f t="shared" si="12"/>
        <v>0</v>
      </c>
      <c r="G82" s="2"/>
      <c r="H82" s="2">
        <f>SUM(OSRRefH22_3x_0)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SUM(OSRRefP22_3x_0)</f>
        <v>1.35</v>
      </c>
      <c r="Q82" s="2"/>
      <c r="R82" s="6">
        <f t="shared" si="16"/>
        <v>7.8829653620575041E-7</v>
      </c>
      <c r="S82" s="2"/>
      <c r="T82" s="2">
        <f>SUM(OSRRefT22_3x_0)</f>
        <v>0</v>
      </c>
      <c r="U82" s="2"/>
      <c r="V82" s="6">
        <f t="shared" si="17"/>
        <v>0</v>
      </c>
      <c r="W82" s="2"/>
      <c r="X82" s="2">
        <f t="shared" si="18"/>
        <v>1.35</v>
      </c>
      <c r="Y82" s="2"/>
      <c r="Z82" s="6">
        <f t="shared" si="19"/>
        <v>0</v>
      </c>
    </row>
    <row r="83" spans="1:26" s="69" customFormat="1" ht="15" hidden="1" customHeight="1" outlineLevel="2" x14ac:dyDescent="0.3">
      <c r="A83" s="25"/>
      <c r="B83" s="12" t="str">
        <f>CONCATENATE("          ","6382"," - ","DISCOUNTS/MARK DOWNS")</f>
        <v xml:space="preserve">          6382 - DISCOUNTS/MARK DOWNS</v>
      </c>
      <c r="C83" s="12"/>
      <c r="D83" s="8"/>
      <c r="E83" s="3"/>
      <c r="F83" s="7">
        <f t="shared" si="12"/>
        <v>0</v>
      </c>
      <c r="G83" s="3"/>
      <c r="H83" s="8">
        <v>0</v>
      </c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1.35</v>
      </c>
      <c r="Q83" s="3"/>
      <c r="R83" s="7">
        <f t="shared" si="16"/>
        <v>7.8829653620575041E-7</v>
      </c>
      <c r="S83" s="3"/>
      <c r="T83" s="8">
        <v>0</v>
      </c>
      <c r="U83" s="3"/>
      <c r="V83" s="7">
        <f t="shared" si="17"/>
        <v>0</v>
      </c>
      <c r="W83" s="3"/>
      <c r="X83" s="8">
        <f t="shared" si="18"/>
        <v>1.35</v>
      </c>
      <c r="Y83" s="3"/>
      <c r="Z83" s="7">
        <f t="shared" si="19"/>
        <v>0</v>
      </c>
    </row>
    <row r="84" spans="1:26" s="69" customFormat="1" ht="15" hidden="1" customHeight="1" outlineLevel="2" x14ac:dyDescent="0.3">
      <c r="A84" s="25"/>
      <c r="B84" s="12" t="str">
        <f>CONCATENATE("          ","9175"," - ","EARNED DISCOUNTS")</f>
        <v xml:space="preserve">          9175 - EARNED DISCOUNTS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/>
      <c r="Q84" s="3"/>
      <c r="R84" s="7">
        <f t="shared" si="16"/>
        <v>0</v>
      </c>
      <c r="S84" s="3"/>
      <c r="T84" s="8">
        <v>0</v>
      </c>
      <c r="U84" s="3"/>
      <c r="V84" s="7">
        <f t="shared" si="17"/>
        <v>0</v>
      </c>
      <c r="W84" s="3"/>
      <c r="X84" s="8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6"/>
      <c r="B85" s="14" t="str">
        <f>CONCATENATE("     ","Employees' Appreciation                           ")</f>
        <v xml:space="preserve">     Employees' Appreciation                           </v>
      </c>
      <c r="C85" s="14"/>
      <c r="D85" s="2">
        <f>SUM(OSRRefD22_4x_0)</f>
        <v>0</v>
      </c>
      <c r="E85" s="2"/>
      <c r="F85" s="6">
        <f t="shared" si="12"/>
        <v>0</v>
      </c>
      <c r="G85" s="2"/>
      <c r="H85" s="2">
        <f>SUM(OSRRefH22_4x_0)</f>
        <v>0</v>
      </c>
      <c r="I85" s="2"/>
      <c r="J85" s="6">
        <f t="shared" si="13"/>
        <v>0</v>
      </c>
      <c r="K85" s="2"/>
      <c r="L85" s="2">
        <f t="shared" si="14"/>
        <v>0</v>
      </c>
      <c r="M85" s="2"/>
      <c r="N85" s="6">
        <f t="shared" si="15"/>
        <v>0</v>
      </c>
      <c r="O85" s="14"/>
      <c r="P85" s="2">
        <f>SUM(OSRRefP22_4x_0)</f>
        <v>0</v>
      </c>
      <c r="Q85" s="2"/>
      <c r="R85" s="6">
        <f t="shared" si="16"/>
        <v>0</v>
      </c>
      <c r="S85" s="2"/>
      <c r="T85" s="2">
        <f>SUM(OSRRefT22_4x_0)</f>
        <v>107.7</v>
      </c>
      <c r="U85" s="2"/>
      <c r="V85" s="6">
        <f t="shared" si="17"/>
        <v>5.73557741927135E-5</v>
      </c>
      <c r="W85" s="2"/>
      <c r="X85" s="2">
        <f t="shared" si="18"/>
        <v>-107.7</v>
      </c>
      <c r="Y85" s="2"/>
      <c r="Z85" s="6">
        <f t="shared" si="19"/>
        <v>-1</v>
      </c>
    </row>
    <row r="86" spans="1:26" s="69" customFormat="1" ht="15" hidden="1" customHeight="1" outlineLevel="2" x14ac:dyDescent="0.3">
      <c r="A86" s="25"/>
      <c r="B86" s="12" t="str">
        <f>CONCATENATE("          ","6277"," - ","EMPLOYEE APPRECIATION")</f>
        <v xml:space="preserve">          6277 - EMPLOYEE APPRECIATION</v>
      </c>
      <c r="C86" s="12"/>
      <c r="D86" s="8"/>
      <c r="E86" s="3"/>
      <c r="F86" s="7">
        <f t="shared" si="12"/>
        <v>0</v>
      </c>
      <c r="G86" s="3"/>
      <c r="H86" s="8"/>
      <c r="I86" s="3"/>
      <c r="J86" s="7">
        <f t="shared" si="13"/>
        <v>0</v>
      </c>
      <c r="K86" s="3"/>
      <c r="L86" s="8">
        <f t="shared" si="14"/>
        <v>0</v>
      </c>
      <c r="M86" s="3"/>
      <c r="N86" s="7">
        <f t="shared" si="15"/>
        <v>0</v>
      </c>
      <c r="O86" s="12"/>
      <c r="P86" s="8"/>
      <c r="Q86" s="3"/>
      <c r="R86" s="7">
        <f t="shared" si="16"/>
        <v>0</v>
      </c>
      <c r="S86" s="3"/>
      <c r="T86" s="8">
        <v>107.7</v>
      </c>
      <c r="U86" s="3"/>
      <c r="V86" s="7">
        <f t="shared" si="17"/>
        <v>5.73557741927135E-5</v>
      </c>
      <c r="W86" s="3"/>
      <c r="X86" s="8">
        <f t="shared" si="18"/>
        <v>-107.7</v>
      </c>
      <c r="Y86" s="3"/>
      <c r="Z86" s="7">
        <f t="shared" si="19"/>
        <v>-1</v>
      </c>
    </row>
    <row r="87" spans="1:26" s="68" customFormat="1" ht="15" customHeight="1" outlineLevel="1" collapsed="1" x14ac:dyDescent="0.3">
      <c r="A87" s="26"/>
      <c r="B87" s="14" t="str">
        <f>CONCATENATE("     ","Equipment Rental                                  ")</f>
        <v xml:space="preserve">     Equipment Rental                                  </v>
      </c>
      <c r="C87" s="14"/>
      <c r="D87" s="2">
        <f>SUM(OSRRefD22_5x_0)</f>
        <v>91.26</v>
      </c>
      <c r="E87" s="2"/>
      <c r="F87" s="6">
        <f t="shared" si="12"/>
        <v>4.5368090016335702E-3</v>
      </c>
      <c r="G87" s="2"/>
      <c r="H87" s="2">
        <f>SUM(OSRRefH22_5x_0)</f>
        <v>91.26</v>
      </c>
      <c r="I87" s="2"/>
      <c r="J87" s="6">
        <f t="shared" si="13"/>
        <v>7.8133896121130673E-3</v>
      </c>
      <c r="K87" s="2"/>
      <c r="L87" s="2">
        <f t="shared" si="14"/>
        <v>0</v>
      </c>
      <c r="M87" s="2"/>
      <c r="N87" s="6">
        <f t="shared" si="15"/>
        <v>0</v>
      </c>
      <c r="O87" s="14"/>
      <c r="P87" s="2">
        <f>SUM(OSRRefP22_5x_0)</f>
        <v>821.34</v>
      </c>
      <c r="Q87" s="2"/>
      <c r="R87" s="6">
        <f t="shared" si="16"/>
        <v>4.7959961262757854E-4</v>
      </c>
      <c r="S87" s="2"/>
      <c r="T87" s="2">
        <f>SUM(OSRRefT22_5x_0)</f>
        <v>821.34</v>
      </c>
      <c r="U87" s="2"/>
      <c r="V87" s="6">
        <f t="shared" si="17"/>
        <v>4.374056785092229E-4</v>
      </c>
      <c r="W87" s="2"/>
      <c r="X87" s="2">
        <f t="shared" si="18"/>
        <v>0</v>
      </c>
      <c r="Y87" s="2"/>
      <c r="Z87" s="6">
        <f t="shared" si="19"/>
        <v>0</v>
      </c>
    </row>
    <row r="88" spans="1:26" s="69" customFormat="1" ht="15" hidden="1" customHeight="1" outlineLevel="2" x14ac:dyDescent="0.3">
      <c r="A88" s="25"/>
      <c r="B88" s="12" t="str">
        <f>CONCATENATE("          ","6351"," - ","EQUIPMENT RENTAL")</f>
        <v xml:space="preserve">          6351 - EQUIPMENT RENTAL</v>
      </c>
      <c r="C88" s="12"/>
      <c r="D88" s="8">
        <v>91.26</v>
      </c>
      <c r="E88" s="3"/>
      <c r="F88" s="7">
        <f t="shared" si="12"/>
        <v>4.5368090016335702E-3</v>
      </c>
      <c r="G88" s="3"/>
      <c r="H88" s="8">
        <v>91.26</v>
      </c>
      <c r="I88" s="3"/>
      <c r="J88" s="7">
        <f t="shared" si="13"/>
        <v>7.8133896121130673E-3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821.34</v>
      </c>
      <c r="Q88" s="3"/>
      <c r="R88" s="7">
        <f t="shared" si="16"/>
        <v>4.7959961262757854E-4</v>
      </c>
      <c r="S88" s="3"/>
      <c r="T88" s="8">
        <v>821.34</v>
      </c>
      <c r="U88" s="3"/>
      <c r="V88" s="7">
        <f t="shared" si="17"/>
        <v>4.374056785092229E-4</v>
      </c>
      <c r="W88" s="3"/>
      <c r="X88" s="8">
        <f t="shared" si="18"/>
        <v>0</v>
      </c>
      <c r="Y88" s="3"/>
      <c r="Z88" s="7">
        <f t="shared" si="19"/>
        <v>0</v>
      </c>
    </row>
    <row r="89" spans="1:26" s="68" customFormat="1" ht="15" customHeight="1" outlineLevel="1" collapsed="1" x14ac:dyDescent="0.3">
      <c r="A89" s="26"/>
      <c r="B89" s="14" t="str">
        <f>CONCATENATE("     ","Freight out/Postage                               ")</f>
        <v xml:space="preserve">     Freight out/Postage                               </v>
      </c>
      <c r="C89" s="14"/>
      <c r="D89" s="2">
        <f>SUM(OSRRefD22_6x_0)</f>
        <v>0</v>
      </c>
      <c r="E89" s="2"/>
      <c r="F89" s="6">
        <f t="shared" si="12"/>
        <v>0</v>
      </c>
      <c r="G89" s="2"/>
      <c r="H89" s="2">
        <f>SUM(OSRRefH22_6x_0)</f>
        <v>7217.53</v>
      </c>
      <c r="I89" s="2"/>
      <c r="J89" s="6">
        <f t="shared" si="13"/>
        <v>0.61794185762781528</v>
      </c>
      <c r="K89" s="2"/>
      <c r="L89" s="2">
        <f t="shared" si="14"/>
        <v>-7217.53</v>
      </c>
      <c r="M89" s="2"/>
      <c r="N89" s="6">
        <f t="shared" si="15"/>
        <v>-1</v>
      </c>
      <c r="O89" s="14"/>
      <c r="P89" s="2">
        <f>SUM(OSRRefP22_6x_0)</f>
        <v>5623.17</v>
      </c>
      <c r="Q89" s="2"/>
      <c r="R89" s="6">
        <f t="shared" si="16"/>
        <v>3.2835003211082142E-3</v>
      </c>
      <c r="S89" s="2"/>
      <c r="T89" s="2">
        <f>SUM(OSRRefT22_6x_0)</f>
        <v>17681.86</v>
      </c>
      <c r="U89" s="2"/>
      <c r="V89" s="6">
        <f t="shared" si="17"/>
        <v>9.4164973952383761E-3</v>
      </c>
      <c r="W89" s="2"/>
      <c r="X89" s="2">
        <f t="shared" si="18"/>
        <v>-12058.69</v>
      </c>
      <c r="Y89" s="2"/>
      <c r="Z89" s="6">
        <f t="shared" si="19"/>
        <v>-0.68198085495530447</v>
      </c>
    </row>
    <row r="90" spans="1:26" s="69" customFormat="1" ht="15" hidden="1" customHeight="1" outlineLevel="2" x14ac:dyDescent="0.3">
      <c r="A90" s="25"/>
      <c r="B90" s="12" t="str">
        <f>CONCATENATE("          ","6305"," - ","FREIGHT OUT")</f>
        <v xml:space="preserve">          6305 - FREIGHT OUT</v>
      </c>
      <c r="C90" s="12"/>
      <c r="D90" s="8">
        <v>0</v>
      </c>
      <c r="E90" s="3"/>
      <c r="F90" s="7">
        <f t="shared" si="12"/>
        <v>0</v>
      </c>
      <c r="G90" s="3"/>
      <c r="H90" s="8">
        <v>7217.53</v>
      </c>
      <c r="I90" s="3"/>
      <c r="J90" s="7">
        <f t="shared" si="13"/>
        <v>0.61794185762781528</v>
      </c>
      <c r="K90" s="3"/>
      <c r="L90" s="8">
        <f t="shared" si="14"/>
        <v>-7217.53</v>
      </c>
      <c r="M90" s="3"/>
      <c r="N90" s="7">
        <f t="shared" si="15"/>
        <v>-1</v>
      </c>
      <c r="O90" s="12"/>
      <c r="P90" s="8">
        <v>5621.58</v>
      </c>
      <c r="Q90" s="3"/>
      <c r="R90" s="7">
        <f t="shared" si="16"/>
        <v>3.2825718829655719E-3</v>
      </c>
      <c r="S90" s="3"/>
      <c r="T90" s="8">
        <v>17681.36</v>
      </c>
      <c r="U90" s="3"/>
      <c r="V90" s="7">
        <f t="shared" si="17"/>
        <v>9.4162311195921718E-3</v>
      </c>
      <c r="W90" s="3"/>
      <c r="X90" s="8">
        <f t="shared" si="18"/>
        <v>-12059.78</v>
      </c>
      <c r="Y90" s="3"/>
      <c r="Z90" s="7">
        <f t="shared" si="19"/>
        <v>-0.68206178710234966</v>
      </c>
    </row>
    <row r="91" spans="1:26" s="69" customFormat="1" ht="15" hidden="1" customHeight="1" outlineLevel="2" x14ac:dyDescent="0.3">
      <c r="A91" s="25"/>
      <c r="B91" s="12" t="str">
        <f>CONCATENATE("          ","6307"," - ","POSTAGE")</f>
        <v xml:space="preserve">          6307 - POSTAGE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1.59</v>
      </c>
      <c r="Q91" s="3"/>
      <c r="R91" s="7">
        <f t="shared" si="16"/>
        <v>9.2843814264232822E-7</v>
      </c>
      <c r="S91" s="3"/>
      <c r="T91" s="8">
        <v>0.5</v>
      </c>
      <c r="U91" s="3"/>
      <c r="V91" s="7">
        <f t="shared" si="17"/>
        <v>2.6627564620572658E-7</v>
      </c>
      <c r="W91" s="3"/>
      <c r="X91" s="8">
        <f t="shared" si="18"/>
        <v>1.0900000000000001</v>
      </c>
      <c r="Y91" s="3"/>
      <c r="Z91" s="7">
        <f t="shared" si="19"/>
        <v>2.1800000000000002</v>
      </c>
    </row>
    <row r="92" spans="1:26" s="68" customFormat="1" ht="15" customHeight="1" outlineLevel="1" collapsed="1" x14ac:dyDescent="0.3">
      <c r="A92" s="26"/>
      <c r="B92" s="14" t="str">
        <f>CONCATENATE("     ","General                                           ")</f>
        <v xml:space="preserve">     General                                           </v>
      </c>
      <c r="C92" s="14"/>
      <c r="D92" s="2">
        <f>SUM(OSRRefD22_7x_0)</f>
        <v>0</v>
      </c>
      <c r="E92" s="2"/>
      <c r="F92" s="6">
        <f t="shared" si="12"/>
        <v>0</v>
      </c>
      <c r="G92" s="2"/>
      <c r="H92" s="2">
        <f>SUM(OSRRefH22_7x_0)</f>
        <v>0</v>
      </c>
      <c r="I92" s="2"/>
      <c r="J92" s="6">
        <f t="shared" si="13"/>
        <v>0</v>
      </c>
      <c r="K92" s="2"/>
      <c r="L92" s="2">
        <f t="shared" si="14"/>
        <v>0</v>
      </c>
      <c r="M92" s="2"/>
      <c r="N92" s="6">
        <f t="shared" si="15"/>
        <v>0</v>
      </c>
      <c r="O92" s="14"/>
      <c r="P92" s="2">
        <f>SUM(OSRRefP22_7x_0)</f>
        <v>0</v>
      </c>
      <c r="Q92" s="2"/>
      <c r="R92" s="6">
        <f t="shared" si="16"/>
        <v>0</v>
      </c>
      <c r="S92" s="2"/>
      <c r="T92" s="2">
        <f>SUM(OSRRefT22_7x_0)</f>
        <v>-1042.03</v>
      </c>
      <c r="U92" s="2"/>
      <c r="V92" s="6">
        <f t="shared" si="17"/>
        <v>-5.5493442323150646E-4</v>
      </c>
      <c r="W92" s="2"/>
      <c r="X92" s="2">
        <f t="shared" si="18"/>
        <v>1042.03</v>
      </c>
      <c r="Y92" s="2"/>
      <c r="Z92" s="6">
        <f t="shared" si="19"/>
        <v>-1</v>
      </c>
    </row>
    <row r="93" spans="1:26" s="69" customFormat="1" ht="15" hidden="1" customHeight="1" outlineLevel="2" x14ac:dyDescent="0.3">
      <c r="A93" s="25"/>
      <c r="B93" s="12" t="str">
        <f>CONCATENATE("          ","6279"," - ","GENERAL EXPENSE")</f>
        <v xml:space="preserve">          6279 - GENERAL EXPENSE</v>
      </c>
      <c r="C93" s="12"/>
      <c r="D93" s="8"/>
      <c r="E93" s="3"/>
      <c r="F93" s="7">
        <f t="shared" ref="F93:F110" si="20">IF(D$12=0,0,D93/D$12)</f>
        <v>0</v>
      </c>
      <c r="G93" s="3"/>
      <c r="H93" s="8">
        <v>0</v>
      </c>
      <c r="I93" s="3"/>
      <c r="J93" s="7">
        <f t="shared" ref="J93:J110" si="21">IF(H$12=0,0,H93/H$12)</f>
        <v>0</v>
      </c>
      <c r="K93" s="3"/>
      <c r="L93" s="8">
        <f t="shared" ref="L93:L110" si="22">+D93-H93</f>
        <v>0</v>
      </c>
      <c r="M93" s="3"/>
      <c r="N93" s="7">
        <f t="shared" ref="N93:N110" si="23">IF(H93=0,0,L93/H93)</f>
        <v>0</v>
      </c>
      <c r="O93" s="12"/>
      <c r="P93" s="8"/>
      <c r="Q93" s="3"/>
      <c r="R93" s="7">
        <f t="shared" ref="R93:R110" si="24">IF(P$12=0,0,P93/P$12)</f>
        <v>0</v>
      </c>
      <c r="S93" s="3"/>
      <c r="T93" s="8">
        <v>-1042.03</v>
      </c>
      <c r="U93" s="3"/>
      <c r="V93" s="7">
        <f t="shared" ref="V93:V110" si="25">IF(T$12=0,0,T93/T$12)</f>
        <v>-5.5493442323150646E-4</v>
      </c>
      <c r="W93" s="3"/>
      <c r="X93" s="8">
        <f t="shared" ref="X93:X110" si="26">+P93-T93</f>
        <v>1042.03</v>
      </c>
      <c r="Y93" s="3"/>
      <c r="Z93" s="7">
        <f t="shared" ref="Z93:Z110" si="27">IF(T93=0,0,X93/T93)</f>
        <v>-1</v>
      </c>
    </row>
    <row r="94" spans="1:26" s="68" customFormat="1" ht="15" customHeight="1" outlineLevel="1" collapsed="1" x14ac:dyDescent="0.3">
      <c r="A94" s="26"/>
      <c r="B94" s="14" t="str">
        <f>CONCATENATE("     ","Inventory Adjustment                              ")</f>
        <v xml:space="preserve">     Inventory Adjustment                              </v>
      </c>
      <c r="C94" s="14"/>
      <c r="D94" s="2">
        <f>SUM(OSRRefD22_8x_0)</f>
        <v>1000</v>
      </c>
      <c r="E94" s="2"/>
      <c r="F94" s="6">
        <f t="shared" si="20"/>
        <v>4.9713006811676196E-2</v>
      </c>
      <c r="G94" s="2"/>
      <c r="H94" s="2">
        <f>SUM(OSRRefH22_8x_0)</f>
        <v>1000</v>
      </c>
      <c r="I94" s="2"/>
      <c r="J94" s="6">
        <f t="shared" si="21"/>
        <v>8.5616804866459215E-2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SUM(OSRRefP22_8x_0)</f>
        <v>13000</v>
      </c>
      <c r="Q94" s="2"/>
      <c r="R94" s="6">
        <f t="shared" si="24"/>
        <v>7.5910036819812994E-3</v>
      </c>
      <c r="S94" s="2"/>
      <c r="T94" s="2">
        <f>SUM(OSRRefT22_8x_0)</f>
        <v>14000</v>
      </c>
      <c r="U94" s="2"/>
      <c r="V94" s="6">
        <f t="shared" si="25"/>
        <v>7.4557180937603433E-3</v>
      </c>
      <c r="W94" s="2"/>
      <c r="X94" s="2">
        <f t="shared" si="26"/>
        <v>-1000</v>
      </c>
      <c r="Y94" s="2"/>
      <c r="Z94" s="6">
        <f t="shared" si="27"/>
        <v>-7.1428571428571425E-2</v>
      </c>
    </row>
    <row r="95" spans="1:26" s="69" customFormat="1" ht="15" hidden="1" customHeight="1" outlineLevel="2" x14ac:dyDescent="0.3">
      <c r="A95" s="25"/>
      <c r="B95" s="12" t="str">
        <f>CONCATENATE("          ","6408"," - ","INVENTORY ADJUSTMENT")</f>
        <v xml:space="preserve">          6408 - INVENTORY ADJUSTMENT</v>
      </c>
      <c r="C95" s="12"/>
      <c r="D95" s="8">
        <v>1000</v>
      </c>
      <c r="E95" s="3"/>
      <c r="F95" s="7">
        <f t="shared" si="20"/>
        <v>4.9713006811676196E-2</v>
      </c>
      <c r="G95" s="3"/>
      <c r="H95" s="8">
        <v>1000</v>
      </c>
      <c r="I95" s="3"/>
      <c r="J95" s="7">
        <f t="shared" si="21"/>
        <v>8.5616804866459215E-2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13000</v>
      </c>
      <c r="Q95" s="3"/>
      <c r="R95" s="7">
        <f t="shared" si="24"/>
        <v>7.5910036819812994E-3</v>
      </c>
      <c r="S95" s="3"/>
      <c r="T95" s="8">
        <v>14000</v>
      </c>
      <c r="U95" s="3"/>
      <c r="V95" s="7">
        <f t="shared" si="25"/>
        <v>7.4557180937603433E-3</v>
      </c>
      <c r="W95" s="3"/>
      <c r="X95" s="8">
        <f t="shared" si="26"/>
        <v>-1000</v>
      </c>
      <c r="Y95" s="3"/>
      <c r="Z95" s="7">
        <f t="shared" si="27"/>
        <v>-7.1428571428571425E-2</v>
      </c>
    </row>
    <row r="96" spans="1:26" s="68" customFormat="1" ht="15" customHeight="1" outlineLevel="1" collapsed="1" x14ac:dyDescent="0.3">
      <c r="A96" s="26"/>
      <c r="B96" s="14" t="str">
        <f>CONCATENATE("     ","Repair and Maintenance                            ")</f>
        <v xml:space="preserve">     Repair and Maintenance                            </v>
      </c>
      <c r="C96" s="14"/>
      <c r="D96" s="2">
        <f>SUM(OSRRefD22_9x_0)</f>
        <v>149.29999999999998</v>
      </c>
      <c r="E96" s="2"/>
      <c r="F96" s="6">
        <f t="shared" si="20"/>
        <v>7.422151916983255E-3</v>
      </c>
      <c r="G96" s="2"/>
      <c r="H96" s="2">
        <f>SUM(OSRRefH22_9x_0)</f>
        <v>24.47</v>
      </c>
      <c r="I96" s="2"/>
      <c r="J96" s="6">
        <f t="shared" si="21"/>
        <v>2.0950432150822567E-3</v>
      </c>
      <c r="K96" s="2"/>
      <c r="L96" s="2">
        <f t="shared" si="22"/>
        <v>124.82999999999998</v>
      </c>
      <c r="M96" s="2"/>
      <c r="N96" s="6">
        <f t="shared" si="23"/>
        <v>5.101348590110339</v>
      </c>
      <c r="O96" s="14"/>
      <c r="P96" s="2">
        <f>SUM(OSRRefP22_9x_0)</f>
        <v>6045.15</v>
      </c>
      <c r="Q96" s="2"/>
      <c r="R96" s="6">
        <f t="shared" si="24"/>
        <v>3.5299043006253271E-3</v>
      </c>
      <c r="S96" s="2"/>
      <c r="T96" s="2">
        <f>SUM(OSRRefT22_9x_0)</f>
        <v>207.32</v>
      </c>
      <c r="U96" s="2"/>
      <c r="V96" s="6">
        <f t="shared" si="25"/>
        <v>1.1040853394274245E-4</v>
      </c>
      <c r="W96" s="2"/>
      <c r="X96" s="2">
        <f t="shared" si="26"/>
        <v>5837.83</v>
      </c>
      <c r="Y96" s="2"/>
      <c r="Z96" s="6">
        <f t="shared" si="27"/>
        <v>28.158547173451669</v>
      </c>
    </row>
    <row r="97" spans="1:26" s="69" customFormat="1" ht="15" hidden="1" customHeight="1" outlineLevel="2" x14ac:dyDescent="0.3">
      <c r="A97" s="25"/>
      <c r="B97" s="12" t="str">
        <f>CONCATENATE("          ","6371"," - ","COMPUTER SOFTWARE MAINTENANCE")</f>
        <v xml:space="preserve">          6371 - COMPUTER SOFTWARE MAINTENANCE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5775</v>
      </c>
      <c r="Q97" s="3"/>
      <c r="R97" s="7">
        <f t="shared" si="24"/>
        <v>3.3721574048801543E-3</v>
      </c>
      <c r="S97" s="3"/>
      <c r="T97" s="8"/>
      <c r="U97" s="3"/>
      <c r="V97" s="7">
        <f t="shared" si="25"/>
        <v>0</v>
      </c>
      <c r="W97" s="3"/>
      <c r="X97" s="8">
        <f t="shared" si="26"/>
        <v>5775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5"/>
      <c r="B98" s="12" t="str">
        <f>CONCATENATE("          ","6373"," - ","MAINTENANCE CONTRACTS")</f>
        <v xml:space="preserve">          6373 - MAINTENANCE CONTRACTS</v>
      </c>
      <c r="C98" s="12"/>
      <c r="D98" s="8">
        <v>11.88</v>
      </c>
      <c r="E98" s="3"/>
      <c r="F98" s="7">
        <f t="shared" si="20"/>
        <v>5.9059052092271327E-4</v>
      </c>
      <c r="G98" s="3"/>
      <c r="H98" s="8">
        <v>24.47</v>
      </c>
      <c r="I98" s="3"/>
      <c r="J98" s="7">
        <f t="shared" si="21"/>
        <v>2.0950432150822567E-3</v>
      </c>
      <c r="K98" s="3"/>
      <c r="L98" s="8">
        <f t="shared" si="22"/>
        <v>-12.589999999999998</v>
      </c>
      <c r="M98" s="3"/>
      <c r="N98" s="7">
        <f t="shared" si="23"/>
        <v>-0.51450756027789124</v>
      </c>
      <c r="O98" s="12"/>
      <c r="P98" s="8">
        <v>132.72999999999999</v>
      </c>
      <c r="Q98" s="3"/>
      <c r="R98" s="7">
        <f t="shared" si="24"/>
        <v>7.7504147593029062E-5</v>
      </c>
      <c r="S98" s="3"/>
      <c r="T98" s="8">
        <v>182.21</v>
      </c>
      <c r="U98" s="3"/>
      <c r="V98" s="7">
        <f t="shared" si="25"/>
        <v>9.703617099029088E-5</v>
      </c>
      <c r="W98" s="3"/>
      <c r="X98" s="8">
        <f t="shared" si="26"/>
        <v>-49.480000000000018</v>
      </c>
      <c r="Y98" s="3"/>
      <c r="Z98" s="7">
        <f t="shared" si="27"/>
        <v>-0.27155479940727739</v>
      </c>
    </row>
    <row r="99" spans="1:26" s="69" customFormat="1" ht="15" hidden="1" customHeight="1" outlineLevel="2" x14ac:dyDescent="0.3">
      <c r="A99" s="25"/>
      <c r="B99" s="12" t="str">
        <f>CONCATENATE("          ","6375"," - ","OUTSIDE REPAIRS &amp; MAINTENANCE")</f>
        <v xml:space="preserve">          6375 - OUTSIDE REPAIRS &amp; MAINTENANCE</v>
      </c>
      <c r="C99" s="12"/>
      <c r="D99" s="8">
        <v>137.41999999999999</v>
      </c>
      <c r="E99" s="3"/>
      <c r="F99" s="7">
        <f t="shared" si="20"/>
        <v>6.8315613960605419E-3</v>
      </c>
      <c r="G99" s="3"/>
      <c r="H99" s="8"/>
      <c r="I99" s="3"/>
      <c r="J99" s="7">
        <f t="shared" si="21"/>
        <v>0</v>
      </c>
      <c r="K99" s="3"/>
      <c r="L99" s="8">
        <f t="shared" si="22"/>
        <v>137.41999999999999</v>
      </c>
      <c r="M99" s="3"/>
      <c r="N99" s="7">
        <f t="shared" si="23"/>
        <v>0</v>
      </c>
      <c r="O99" s="12"/>
      <c r="P99" s="8">
        <v>137.41999999999999</v>
      </c>
      <c r="Q99" s="3"/>
      <c r="R99" s="7">
        <f t="shared" si="24"/>
        <v>8.0242748152143856E-5</v>
      </c>
      <c r="S99" s="3"/>
      <c r="T99" s="8">
        <v>25.11</v>
      </c>
      <c r="U99" s="3"/>
      <c r="V99" s="7">
        <f t="shared" si="25"/>
        <v>1.3372362952451588E-5</v>
      </c>
      <c r="W99" s="3"/>
      <c r="X99" s="8">
        <f t="shared" si="26"/>
        <v>112.30999999999999</v>
      </c>
      <c r="Y99" s="3"/>
      <c r="Z99" s="7">
        <f t="shared" si="27"/>
        <v>4.4727200318598168</v>
      </c>
    </row>
    <row r="100" spans="1:26" s="68" customFormat="1" ht="15" customHeight="1" outlineLevel="1" collapsed="1" x14ac:dyDescent="0.3">
      <c r="A100" s="26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SUM(OSRRefD22_10x_0)</f>
        <v>476.65</v>
      </c>
      <c r="E100" s="2"/>
      <c r="F100" s="6">
        <f t="shared" si="20"/>
        <v>2.3695704696785457E-2</v>
      </c>
      <c r="G100" s="2"/>
      <c r="H100" s="2">
        <f>SUM(OSRRefH22_10x_0)</f>
        <v>232.79</v>
      </c>
      <c r="I100" s="2"/>
      <c r="J100" s="6">
        <f t="shared" si="21"/>
        <v>1.9930736004863038E-2</v>
      </c>
      <c r="K100" s="2"/>
      <c r="L100" s="2">
        <f t="shared" si="22"/>
        <v>243.85999999999999</v>
      </c>
      <c r="M100" s="2"/>
      <c r="N100" s="6">
        <f t="shared" si="23"/>
        <v>1.0475535890716956</v>
      </c>
      <c r="O100" s="14"/>
      <c r="P100" s="2">
        <f>SUM(OSRRefP22_10x_0)</f>
        <v>2422.1</v>
      </c>
      <c r="Q100" s="2"/>
      <c r="R100" s="6">
        <f t="shared" si="24"/>
        <v>1.4143207706251465E-3</v>
      </c>
      <c r="S100" s="2"/>
      <c r="T100" s="2">
        <f>SUM(OSRRefT22_10x_0)</f>
        <v>4326.63</v>
      </c>
      <c r="U100" s="2"/>
      <c r="V100" s="6">
        <f t="shared" si="25"/>
        <v>2.3041523982861656E-3</v>
      </c>
      <c r="W100" s="2"/>
      <c r="X100" s="2">
        <f t="shared" si="26"/>
        <v>-1904.5300000000002</v>
      </c>
      <c r="Y100" s="2"/>
      <c r="Z100" s="6">
        <f t="shared" si="27"/>
        <v>-0.44018785983548403</v>
      </c>
    </row>
    <row r="101" spans="1:26" s="69" customFormat="1" ht="15" hidden="1" customHeight="1" outlineLevel="2" x14ac:dyDescent="0.3">
      <c r="A101" s="25"/>
      <c r="B101" s="12" t="str">
        <f>CONCATENATE("          ","6258"," - ","MEMBERSHIP DUES")</f>
        <v xml:space="preserve">          6258 - MEMBERSHIP DUES</v>
      </c>
      <c r="C101" s="12"/>
      <c r="D101" s="8">
        <v>476.65</v>
      </c>
      <c r="E101" s="3"/>
      <c r="F101" s="7">
        <f t="shared" si="20"/>
        <v>2.3695704696785457E-2</v>
      </c>
      <c r="G101" s="3"/>
      <c r="H101" s="8">
        <v>232.79</v>
      </c>
      <c r="I101" s="3"/>
      <c r="J101" s="7">
        <f t="shared" si="21"/>
        <v>1.9930736004863038E-2</v>
      </c>
      <c r="K101" s="3"/>
      <c r="L101" s="8">
        <f t="shared" si="22"/>
        <v>243.85999999999999</v>
      </c>
      <c r="M101" s="3"/>
      <c r="N101" s="7">
        <f t="shared" si="23"/>
        <v>1.0475535890716956</v>
      </c>
      <c r="O101" s="12"/>
      <c r="P101" s="8">
        <v>2422.1</v>
      </c>
      <c r="Q101" s="3"/>
      <c r="R101" s="7">
        <f t="shared" si="24"/>
        <v>1.4143207706251465E-3</v>
      </c>
      <c r="S101" s="3"/>
      <c r="T101" s="8">
        <v>2474.5500000000002</v>
      </c>
      <c r="U101" s="3"/>
      <c r="V101" s="7">
        <f t="shared" si="25"/>
        <v>1.3178248006367615E-3</v>
      </c>
      <c r="W101" s="3"/>
      <c r="X101" s="8">
        <f t="shared" si="26"/>
        <v>-52.450000000000273</v>
      </c>
      <c r="Y101" s="3"/>
      <c r="Z101" s="7">
        <f t="shared" si="27"/>
        <v>-2.1195772968822722E-2</v>
      </c>
    </row>
    <row r="102" spans="1:26" s="69" customFormat="1" ht="15" hidden="1" customHeight="1" outlineLevel="2" x14ac:dyDescent="0.3">
      <c r="A102" s="25"/>
      <c r="B102" s="12" t="str">
        <f>CONCATENATE("          ","6275"," - ","SUBSCRIPTIONS")</f>
        <v xml:space="preserve">          6275 - SUBSCRIPTIONS</v>
      </c>
      <c r="C102" s="12"/>
      <c r="D102" s="8"/>
      <c r="E102" s="3"/>
      <c r="F102" s="7">
        <f t="shared" si="20"/>
        <v>0</v>
      </c>
      <c r="G102" s="3"/>
      <c r="H102" s="8"/>
      <c r="I102" s="3"/>
      <c r="J102" s="7">
        <f t="shared" si="21"/>
        <v>0</v>
      </c>
      <c r="K102" s="3"/>
      <c r="L102" s="8">
        <f t="shared" si="22"/>
        <v>0</v>
      </c>
      <c r="M102" s="3"/>
      <c r="N102" s="7">
        <f t="shared" si="23"/>
        <v>0</v>
      </c>
      <c r="O102" s="12"/>
      <c r="P102" s="8"/>
      <c r="Q102" s="3"/>
      <c r="R102" s="7">
        <f t="shared" si="24"/>
        <v>0</v>
      </c>
      <c r="S102" s="3"/>
      <c r="T102" s="8">
        <v>1852.08</v>
      </c>
      <c r="U102" s="3"/>
      <c r="V102" s="7">
        <f t="shared" si="25"/>
        <v>9.8632759764940409E-4</v>
      </c>
      <c r="W102" s="3"/>
      <c r="X102" s="8">
        <f t="shared" si="26"/>
        <v>-1852.08</v>
      </c>
      <c r="Y102" s="3"/>
      <c r="Z102" s="7">
        <f t="shared" si="27"/>
        <v>-1</v>
      </c>
    </row>
    <row r="103" spans="1:26" s="68" customFormat="1" ht="15" customHeight="1" outlineLevel="1" collapsed="1" x14ac:dyDescent="0.3">
      <c r="A103" s="26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SUM(OSRRefD22_11x_0)</f>
        <v>282.11</v>
      </c>
      <c r="E103" s="2"/>
      <c r="F103" s="6">
        <f t="shared" si="20"/>
        <v>1.4024536351641971E-2</v>
      </c>
      <c r="G103" s="2"/>
      <c r="H103" s="2">
        <f>SUM(OSRRefH22_11x_0)</f>
        <v>175.16</v>
      </c>
      <c r="I103" s="2"/>
      <c r="J103" s="6">
        <f t="shared" si="21"/>
        <v>1.4996639540408994E-2</v>
      </c>
      <c r="K103" s="2"/>
      <c r="L103" s="2">
        <f t="shared" si="22"/>
        <v>106.95000000000002</v>
      </c>
      <c r="M103" s="2"/>
      <c r="N103" s="6">
        <f t="shared" si="23"/>
        <v>0.61058460835807271</v>
      </c>
      <c r="O103" s="14"/>
      <c r="P103" s="2">
        <f>SUM(OSRRefP22_11x_0)</f>
        <v>1480.36</v>
      </c>
      <c r="Q103" s="2"/>
      <c r="R103" s="6">
        <f t="shared" si="24"/>
        <v>8.6441678543521818E-4</v>
      </c>
      <c r="S103" s="2"/>
      <c r="T103" s="2">
        <f>SUM(OSRRefT22_11x_0)</f>
        <v>5010.66</v>
      </c>
      <c r="U103" s="2"/>
      <c r="V103" s="6">
        <f t="shared" si="25"/>
        <v>2.6684334588343715E-3</v>
      </c>
      <c r="W103" s="2"/>
      <c r="X103" s="2">
        <f t="shared" si="26"/>
        <v>-3530.3</v>
      </c>
      <c r="Y103" s="2"/>
      <c r="Z103" s="6">
        <f t="shared" si="27"/>
        <v>-0.70455788259430896</v>
      </c>
    </row>
    <row r="104" spans="1:26" s="69" customFormat="1" ht="15" hidden="1" customHeight="1" outlineLevel="2" x14ac:dyDescent="0.3">
      <c r="A104" s="25"/>
      <c r="B104" s="12" t="str">
        <f>CONCATENATE("          ","6241"," - ","OFFICE EXPENSE")</f>
        <v xml:space="preserve">          6241 - OFFICE EXPENSE</v>
      </c>
      <c r="C104" s="12"/>
      <c r="D104" s="8">
        <v>93.57</v>
      </c>
      <c r="E104" s="3"/>
      <c r="F104" s="7">
        <f t="shared" si="20"/>
        <v>4.6516460473685411E-3</v>
      </c>
      <c r="G104" s="3"/>
      <c r="H104" s="8">
        <v>160.69999999999999</v>
      </c>
      <c r="I104" s="3"/>
      <c r="J104" s="7">
        <f t="shared" si="21"/>
        <v>1.3758620542039994E-2</v>
      </c>
      <c r="K104" s="3"/>
      <c r="L104" s="8">
        <f t="shared" si="22"/>
        <v>-67.13</v>
      </c>
      <c r="M104" s="3"/>
      <c r="N104" s="7">
        <f t="shared" si="23"/>
        <v>-0.4177349097697573</v>
      </c>
      <c r="O104" s="12"/>
      <c r="P104" s="8">
        <v>1285.33</v>
      </c>
      <c r="Q104" s="3"/>
      <c r="R104" s="7">
        <f t="shared" si="24"/>
        <v>7.5053421250469404E-4</v>
      </c>
      <c r="S104" s="3"/>
      <c r="T104" s="8">
        <v>1415.3</v>
      </c>
      <c r="U104" s="3"/>
      <c r="V104" s="7">
        <f t="shared" si="25"/>
        <v>7.5371984414992956E-4</v>
      </c>
      <c r="W104" s="3"/>
      <c r="X104" s="8">
        <f t="shared" si="26"/>
        <v>-129.97000000000003</v>
      </c>
      <c r="Y104" s="3"/>
      <c r="Z104" s="7">
        <f t="shared" si="27"/>
        <v>-9.183212039850211E-2</v>
      </c>
    </row>
    <row r="105" spans="1:26" s="69" customFormat="1" ht="15" hidden="1" customHeight="1" outlineLevel="2" x14ac:dyDescent="0.3">
      <c r="A105" s="25"/>
      <c r="B105" s="12" t="str">
        <f>CONCATENATE("          ","6247"," - ","STORE SUPPLIES")</f>
        <v xml:space="preserve">          6247 - STORE SUPPLIES</v>
      </c>
      <c r="C105" s="12"/>
      <c r="D105" s="8">
        <v>188.54</v>
      </c>
      <c r="E105" s="3"/>
      <c r="F105" s="7">
        <f t="shared" si="20"/>
        <v>9.3728903042734294E-3</v>
      </c>
      <c r="G105" s="3"/>
      <c r="H105" s="8">
        <v>14.46</v>
      </c>
      <c r="I105" s="3"/>
      <c r="J105" s="7">
        <f t="shared" si="21"/>
        <v>1.2380189983690003E-3</v>
      </c>
      <c r="K105" s="3"/>
      <c r="L105" s="8">
        <f t="shared" si="22"/>
        <v>174.07999999999998</v>
      </c>
      <c r="M105" s="3"/>
      <c r="N105" s="7">
        <f t="shared" si="23"/>
        <v>12.038727524204701</v>
      </c>
      <c r="O105" s="12"/>
      <c r="P105" s="8">
        <v>195.03</v>
      </c>
      <c r="Q105" s="3"/>
      <c r="R105" s="7">
        <f t="shared" si="24"/>
        <v>1.1388257293052406E-4</v>
      </c>
      <c r="S105" s="3"/>
      <c r="T105" s="8">
        <v>3595.36</v>
      </c>
      <c r="U105" s="3"/>
      <c r="V105" s="7">
        <f t="shared" si="25"/>
        <v>1.9147136146844422E-3</v>
      </c>
      <c r="W105" s="3"/>
      <c r="X105" s="8">
        <f t="shared" si="26"/>
        <v>-3400.33</v>
      </c>
      <c r="Y105" s="3"/>
      <c r="Z105" s="7">
        <f t="shared" si="27"/>
        <v>-0.94575508433091537</v>
      </c>
    </row>
    <row r="106" spans="1:26" s="68" customFormat="1" ht="15" customHeight="1" outlineLevel="1" collapsed="1" x14ac:dyDescent="0.3">
      <c r="A106" s="26"/>
      <c r="B106" s="14" t="str">
        <f>CONCATENATE("     ","Telephone/Data Lines                              ")</f>
        <v xml:space="preserve">     Telephone/Data Lines                              </v>
      </c>
      <c r="C106" s="14"/>
      <c r="D106" s="2">
        <f>SUM(OSRRefD22_12x_0)</f>
        <v>473.5</v>
      </c>
      <c r="E106" s="2"/>
      <c r="F106" s="6">
        <f t="shared" si="20"/>
        <v>2.3539108725328679E-2</v>
      </c>
      <c r="G106" s="2"/>
      <c r="H106" s="2">
        <f>SUM(OSRRefH22_12x_0)</f>
        <v>418.4</v>
      </c>
      <c r="I106" s="2"/>
      <c r="J106" s="6">
        <f t="shared" si="21"/>
        <v>3.5822071156126532E-2</v>
      </c>
      <c r="K106" s="2"/>
      <c r="L106" s="2">
        <f t="shared" si="22"/>
        <v>55.100000000000023</v>
      </c>
      <c r="M106" s="2"/>
      <c r="N106" s="6">
        <f t="shared" si="23"/>
        <v>0.13169216061185474</v>
      </c>
      <c r="O106" s="14"/>
      <c r="P106" s="2">
        <f>SUM(OSRRefP22_12x_0)</f>
        <v>4950.05</v>
      </c>
      <c r="Q106" s="2"/>
      <c r="R106" s="6">
        <f t="shared" si="24"/>
        <v>2.8904498289224257E-3</v>
      </c>
      <c r="S106" s="2"/>
      <c r="T106" s="2">
        <f>SUM(OSRRefT22_12x_0)</f>
        <v>7181.95</v>
      </c>
      <c r="U106" s="2"/>
      <c r="V106" s="6">
        <f t="shared" si="25"/>
        <v>3.8247567545344357E-3</v>
      </c>
      <c r="W106" s="2"/>
      <c r="X106" s="2">
        <f t="shared" si="26"/>
        <v>-2231.8999999999996</v>
      </c>
      <c r="Y106" s="2"/>
      <c r="Z106" s="6">
        <f t="shared" si="27"/>
        <v>-0.31076518215804894</v>
      </c>
    </row>
    <row r="107" spans="1:26" s="69" customFormat="1" ht="15" hidden="1" customHeight="1" outlineLevel="2" x14ac:dyDescent="0.3">
      <c r="A107" s="25"/>
      <c r="B107" s="12" t="str">
        <f>CONCATENATE("          ","6303"," - ","DATA PHONE LINES")</f>
        <v xml:space="preserve">          6303 - DATA PHONE LINES</v>
      </c>
      <c r="C107" s="12"/>
      <c r="D107" s="8"/>
      <c r="E107" s="3"/>
      <c r="F107" s="7">
        <f t="shared" si="20"/>
        <v>0</v>
      </c>
      <c r="G107" s="3"/>
      <c r="H107" s="8"/>
      <c r="I107" s="3"/>
      <c r="J107" s="7">
        <f t="shared" si="21"/>
        <v>0</v>
      </c>
      <c r="K107" s="3"/>
      <c r="L107" s="8">
        <f t="shared" si="22"/>
        <v>0</v>
      </c>
      <c r="M107" s="3"/>
      <c r="N107" s="7">
        <f t="shared" si="23"/>
        <v>0</v>
      </c>
      <c r="O107" s="12"/>
      <c r="P107" s="8">
        <v>295</v>
      </c>
      <c r="Q107" s="3"/>
      <c r="R107" s="7">
        <f t="shared" si="24"/>
        <v>1.7225739124496024E-4</v>
      </c>
      <c r="S107" s="3"/>
      <c r="T107" s="8">
        <v>2950</v>
      </c>
      <c r="U107" s="3"/>
      <c r="V107" s="7">
        <f t="shared" si="25"/>
        <v>1.5710263126137867E-3</v>
      </c>
      <c r="W107" s="3"/>
      <c r="X107" s="8">
        <f t="shared" si="26"/>
        <v>-2655</v>
      </c>
      <c r="Y107" s="3"/>
      <c r="Z107" s="7">
        <f t="shared" si="27"/>
        <v>-0.9</v>
      </c>
    </row>
    <row r="108" spans="1:26" s="69" customFormat="1" ht="15" hidden="1" customHeight="1" outlineLevel="2" x14ac:dyDescent="0.3">
      <c r="A108" s="25"/>
      <c r="B108" s="12" t="str">
        <f>CONCATENATE("          ","6309"," - ","TELEPHONE")</f>
        <v xml:space="preserve">          6309 - TELEPHONE</v>
      </c>
      <c r="C108" s="12"/>
      <c r="D108" s="8">
        <v>473.5</v>
      </c>
      <c r="E108" s="3"/>
      <c r="F108" s="7">
        <f t="shared" si="20"/>
        <v>2.3539108725328679E-2</v>
      </c>
      <c r="G108" s="3"/>
      <c r="H108" s="8">
        <v>418.4</v>
      </c>
      <c r="I108" s="3"/>
      <c r="J108" s="7">
        <f t="shared" si="21"/>
        <v>3.5822071156126532E-2</v>
      </c>
      <c r="K108" s="3"/>
      <c r="L108" s="8">
        <f t="shared" si="22"/>
        <v>55.100000000000023</v>
      </c>
      <c r="M108" s="3"/>
      <c r="N108" s="7">
        <f t="shared" si="23"/>
        <v>0.13169216061185474</v>
      </c>
      <c r="O108" s="12"/>
      <c r="P108" s="8">
        <v>4655.05</v>
      </c>
      <c r="Q108" s="3"/>
      <c r="R108" s="7">
        <f t="shared" si="24"/>
        <v>2.7181924376774654E-3</v>
      </c>
      <c r="S108" s="3"/>
      <c r="T108" s="8">
        <v>4231.95</v>
      </c>
      <c r="U108" s="3"/>
      <c r="V108" s="7">
        <f t="shared" si="25"/>
        <v>2.2537304419206487E-3</v>
      </c>
      <c r="W108" s="3"/>
      <c r="X108" s="8">
        <f t="shared" si="26"/>
        <v>423.10000000000036</v>
      </c>
      <c r="Y108" s="3"/>
      <c r="Z108" s="7">
        <f t="shared" si="27"/>
        <v>9.9977551719656513E-2</v>
      </c>
    </row>
    <row r="109" spans="1:26" s="68" customFormat="1" ht="15" customHeight="1" outlineLevel="1" collapsed="1" x14ac:dyDescent="0.3">
      <c r="A109" s="26"/>
      <c r="B109" s="14" t="str">
        <f>CONCATENATE("     ","Travel                                            ")</f>
        <v xml:space="preserve">     Travel                                            </v>
      </c>
      <c r="C109" s="14"/>
      <c r="D109" s="2">
        <f>SUM(OSRRefD22_13x_0)</f>
        <v>0</v>
      </c>
      <c r="E109" s="2"/>
      <c r="F109" s="6">
        <f t="shared" si="20"/>
        <v>0</v>
      </c>
      <c r="G109" s="2"/>
      <c r="H109" s="2">
        <f>SUM(OSRRefH22_13x_0)</f>
        <v>0</v>
      </c>
      <c r="I109" s="2"/>
      <c r="J109" s="6">
        <f t="shared" si="21"/>
        <v>0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SUM(OSRRefP22_13x_0)</f>
        <v>0</v>
      </c>
      <c r="Q109" s="2"/>
      <c r="R109" s="6">
        <f t="shared" si="24"/>
        <v>0</v>
      </c>
      <c r="S109" s="2"/>
      <c r="T109" s="2">
        <f>SUM(OSRRefT22_13x_0)</f>
        <v>0.16</v>
      </c>
      <c r="U109" s="2"/>
      <c r="V109" s="6">
        <f t="shared" si="25"/>
        <v>8.5208206785832498E-8</v>
      </c>
      <c r="W109" s="2"/>
      <c r="X109" s="2">
        <f t="shared" si="26"/>
        <v>-0.16</v>
      </c>
      <c r="Y109" s="2"/>
      <c r="Z109" s="6">
        <f t="shared" si="27"/>
        <v>-1</v>
      </c>
    </row>
    <row r="110" spans="1:26" s="69" customFormat="1" ht="15" hidden="1" customHeight="1" outlineLevel="2" x14ac:dyDescent="0.3">
      <c r="A110" s="25"/>
      <c r="B110" s="12" t="str">
        <f>CONCATENATE("          ","6292"," - ","TRAVEL/CONFERENCE")</f>
        <v xml:space="preserve">          6292 - TRAVEL/CONFERENCE</v>
      </c>
      <c r="C110" s="12"/>
      <c r="D110" s="8"/>
      <c r="E110" s="3"/>
      <c r="F110" s="7">
        <f t="shared" si="20"/>
        <v>0</v>
      </c>
      <c r="G110" s="3"/>
      <c r="H110" s="8"/>
      <c r="I110" s="3"/>
      <c r="J110" s="7">
        <f t="shared" si="21"/>
        <v>0</v>
      </c>
      <c r="K110" s="3"/>
      <c r="L110" s="8">
        <f t="shared" si="22"/>
        <v>0</v>
      </c>
      <c r="M110" s="3"/>
      <c r="N110" s="7">
        <f t="shared" si="23"/>
        <v>0</v>
      </c>
      <c r="O110" s="12"/>
      <c r="P110" s="8"/>
      <c r="Q110" s="3"/>
      <c r="R110" s="7">
        <f t="shared" si="24"/>
        <v>0</v>
      </c>
      <c r="S110" s="3"/>
      <c r="T110" s="8">
        <v>0.16</v>
      </c>
      <c r="U110" s="3"/>
      <c r="V110" s="7">
        <f t="shared" si="25"/>
        <v>8.5208206785832498E-8</v>
      </c>
      <c r="W110" s="3"/>
      <c r="X110" s="8">
        <f t="shared" si="26"/>
        <v>-0.16</v>
      </c>
      <c r="Y110" s="3"/>
      <c r="Z110" s="7">
        <f t="shared" si="27"/>
        <v>-1</v>
      </c>
    </row>
    <row r="111" spans="1:26" s="64" customFormat="1" ht="15" customHeight="1" x14ac:dyDescent="0.3">
      <c r="A111" s="36"/>
      <c r="B111" s="36"/>
      <c r="C111" s="36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O111" s="36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62" customFormat="1" ht="15" customHeight="1" collapsed="1" x14ac:dyDescent="0.3">
      <c r="A112" s="11"/>
      <c r="B112" s="28" t="s">
        <v>290</v>
      </c>
      <c r="C112" s="11"/>
      <c r="D112" s="5">
        <f>SUM(OSRRefD25x_0)</f>
        <v>516.89</v>
      </c>
      <c r="E112" s="5"/>
      <c r="F112" s="13">
        <f>IF(D$12=0,0,D112/D$12)</f>
        <v>2.5696156090887309E-2</v>
      </c>
      <c r="G112" s="5"/>
      <c r="H112" s="5">
        <f>SUM(OSRRefH25x_0)</f>
        <v>4864.2299999999996</v>
      </c>
      <c r="I112" s="5"/>
      <c r="J112" s="13">
        <f>IF(H$12=0,0,H112/H$12)</f>
        <v>0.41645983073557685</v>
      </c>
      <c r="K112" s="5"/>
      <c r="L112" s="5">
        <f>+D112-H112</f>
        <v>-4347.3399999999992</v>
      </c>
      <c r="M112" s="5"/>
      <c r="N112" s="13">
        <f>IF(H112=0,0,L112/H112)</f>
        <v>-0.8937365215049452</v>
      </c>
      <c r="O112" s="11"/>
      <c r="P112" s="5">
        <f>SUM(OSRRefP25x_0)</f>
        <v>350404.44000000006</v>
      </c>
      <c r="Q112" s="5"/>
      <c r="R112" s="13">
        <f>IF(P$12=0,0,P112/P$12)</f>
        <v>0.20460933801712275</v>
      </c>
      <c r="S112" s="5"/>
      <c r="T112" s="5">
        <f>SUM(OSRRefT25x_0)</f>
        <v>330802.13</v>
      </c>
      <c r="U112" s="5"/>
      <c r="V112" s="13">
        <f>IF(T$12=0,0,T112/T$12)</f>
        <v>0.17616910186396154</v>
      </c>
      <c r="W112" s="5"/>
      <c r="X112" s="5">
        <f>+P112-T112</f>
        <v>19602.310000000056</v>
      </c>
      <c r="Y112" s="5"/>
      <c r="Z112" s="13">
        <f>IF(T112=0,0,X112/T112)</f>
        <v>5.925690381739699E-2</v>
      </c>
    </row>
    <row r="113" spans="1:26" s="69" customFormat="1" ht="15" hidden="1" customHeight="1" outlineLevel="1" x14ac:dyDescent="0.3">
      <c r="A113" s="42"/>
      <c r="B113" s="12" t="str">
        <f>CONCATENATE("          ","9150"," - ","MISC. INCOME")</f>
        <v xml:space="preserve">          9150 -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f>--6749.36</f>
        <v>6749.36</v>
      </c>
      <c r="I113" s="3"/>
      <c r="J113" s="20">
        <f>IF(H$12=0,0,H113/H$12)</f>
        <v>0.57785863809348514</v>
      </c>
      <c r="K113" s="3"/>
      <c r="L113" s="3">
        <f>+D113-H113</f>
        <v>-6749.36</v>
      </c>
      <c r="M113" s="3"/>
      <c r="N113" s="20">
        <f>IF(H113=0,0,L113/H113)</f>
        <v>-1</v>
      </c>
      <c r="O113" s="12"/>
      <c r="P113" s="3">
        <f>--22258.22</f>
        <v>22258.22</v>
      </c>
      <c r="Q113" s="3"/>
      <c r="R113" s="20">
        <f>IF(P$12=0,0,P113/P$12)</f>
        <v>1.2997094613411524E-2</v>
      </c>
      <c r="S113" s="3"/>
      <c r="T113" s="3">
        <f>--31463.11</f>
        <v>31463.11</v>
      </c>
      <c r="U113" s="3"/>
      <c r="V113" s="20">
        <f>IF(T$12=0,0,T113/T$12)</f>
        <v>1.6755719893783716E-2</v>
      </c>
      <c r="W113" s="3"/>
      <c r="X113" s="3">
        <f>+P113-T113</f>
        <v>-9204.89</v>
      </c>
      <c r="Y113" s="3"/>
      <c r="Z113" s="20">
        <f>IF(T113=0,0,X113/T113)</f>
        <v>-0.29256135200874928</v>
      </c>
    </row>
    <row r="114" spans="1:26" s="69" customFormat="1" ht="15" hidden="1" customHeight="1" outlineLevel="1" x14ac:dyDescent="0.3">
      <c r="A114" s="42"/>
      <c r="B114" s="12" t="str">
        <f>CONCATENATE("          ","9151"," - ","MISC. INCOME")</f>
        <v xml:space="preserve">          9151 - MISC.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>
        <f>-2282.24</f>
        <v>-2282.2399999999998</v>
      </c>
      <c r="I114" s="3"/>
      <c r="J114" s="20">
        <f>IF(H$12=0,0,H114/H$12)</f>
        <v>-0.19539809673842784</v>
      </c>
      <c r="K114" s="3"/>
      <c r="L114" s="3">
        <f>+D114-H114</f>
        <v>2282.2399999999998</v>
      </c>
      <c r="M114" s="3"/>
      <c r="N114" s="20">
        <f>IF(H114=0,0,L114/H114)</f>
        <v>-1</v>
      </c>
      <c r="O114" s="12"/>
      <c r="P114" s="3">
        <f>--323761.7</f>
        <v>323761.7</v>
      </c>
      <c r="Q114" s="3"/>
      <c r="R114" s="20">
        <f>IF(P$12=0,0,P114/P$12)</f>
        <v>0.18905201975265576</v>
      </c>
      <c r="S114" s="3"/>
      <c r="T114" s="3">
        <f>--295628.46</f>
        <v>295628.46000000002</v>
      </c>
      <c r="U114" s="3"/>
      <c r="V114" s="20">
        <f>IF(T$12=0,0,T114/T$12)</f>
        <v>0.15743731844660758</v>
      </c>
      <c r="W114" s="3"/>
      <c r="X114" s="3">
        <f>+P114-T114</f>
        <v>28133.239999999991</v>
      </c>
      <c r="Y114" s="3"/>
      <c r="Z114" s="20">
        <f>IF(T114=0,0,X114/T114)</f>
        <v>9.5164180065748699E-2</v>
      </c>
    </row>
    <row r="115" spans="1:26" s="69" customFormat="1" ht="15" hidden="1" customHeight="1" outlineLevel="1" x14ac:dyDescent="0.3">
      <c r="A115" s="42"/>
      <c r="B115" s="12" t="str">
        <f>CONCATENATE("          ","9152"," - ","MISC. INCOME")</f>
        <v xml:space="preserve">          9152 - MISC. INCOME</v>
      </c>
      <c r="C115" s="12"/>
      <c r="D115" s="3">
        <f>--516.89</f>
        <v>516.89</v>
      </c>
      <c r="E115" s="3"/>
      <c r="F115" s="20">
        <f>IF(D$12=0,0,D115/D$12)</f>
        <v>2.5696156090887309E-2</v>
      </c>
      <c r="G115" s="3"/>
      <c r="H115" s="3">
        <f>--397.11</f>
        <v>397.11</v>
      </c>
      <c r="I115" s="3"/>
      <c r="J115" s="20">
        <f>IF(H$12=0,0,H115/H$12)</f>
        <v>3.3999289380519618E-2</v>
      </c>
      <c r="K115" s="3"/>
      <c r="L115" s="3">
        <f>+D115-H115</f>
        <v>119.77999999999997</v>
      </c>
      <c r="M115" s="3"/>
      <c r="N115" s="20">
        <f>IF(H115=0,0,L115/H115)</f>
        <v>0.30162927148648983</v>
      </c>
      <c r="O115" s="12"/>
      <c r="P115" s="3">
        <f>--4384.52</f>
        <v>4384.5200000000004</v>
      </c>
      <c r="Q115" s="3"/>
      <c r="R115" s="20">
        <f>IF(P$12=0,0,P115/P$12)</f>
        <v>2.5602236510554348E-3</v>
      </c>
      <c r="S115" s="3"/>
      <c r="T115" s="3">
        <f>--3710.56</f>
        <v>3710.56</v>
      </c>
      <c r="U115" s="3"/>
      <c r="V115" s="20">
        <f>IF(T$12=0,0,T115/T$12)</f>
        <v>1.9760635235702415E-3</v>
      </c>
      <c r="W115" s="3"/>
      <c r="X115" s="3">
        <f>+P115-T115</f>
        <v>673.96000000000049</v>
      </c>
      <c r="Y115" s="3"/>
      <c r="Z115" s="20">
        <f>IF(T115=0,0,X115/T115)</f>
        <v>0.18163296106248128</v>
      </c>
    </row>
    <row r="116" spans="1:26" ht="15" customHeight="1" x14ac:dyDescent="0.3">
      <c r="A116" s="10"/>
      <c r="B116" s="11"/>
      <c r="C116" s="11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O116" s="11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11"/>
      <c r="B117" s="27" t="s">
        <v>291</v>
      </c>
      <c r="C117" s="27"/>
      <c r="D117" s="22">
        <f>+D59-D61+D112</f>
        <v>-30081.729999999963</v>
      </c>
      <c r="E117" s="15"/>
      <c r="F117" s="21">
        <f>IF(D$12=0,0,D117/D$12)</f>
        <v>-1.4954532483970022</v>
      </c>
      <c r="G117" s="15"/>
      <c r="H117" s="22">
        <f>+H59-H61+H112</f>
        <v>-39385.770000000019</v>
      </c>
      <c r="I117" s="15"/>
      <c r="J117" s="21">
        <f>IF(H$12=0,0,H117/H$12)</f>
        <v>-3.3720837846052447</v>
      </c>
      <c r="K117" s="17"/>
      <c r="L117" s="22">
        <f>+D117-H117</f>
        <v>9304.0400000000554</v>
      </c>
      <c r="M117" s="17"/>
      <c r="N117" s="21">
        <f>IF(H117=0,0,L117/H117)</f>
        <v>-0.23622846525534605</v>
      </c>
      <c r="O117" s="28"/>
      <c r="P117" s="22">
        <f>+P59-P61+P112</f>
        <v>335941.18000000023</v>
      </c>
      <c r="Q117" s="15"/>
      <c r="R117" s="21">
        <f>IF(P$12=0,0,P117/P$12)</f>
        <v>0.19616390263916494</v>
      </c>
      <c r="S117" s="15"/>
      <c r="T117" s="22">
        <f>+T59-T61+T112</f>
        <v>468957.33999999944</v>
      </c>
      <c r="U117" s="15"/>
      <c r="V117" s="21">
        <f>IF(T$12=0,0,T117/T$12)</f>
        <v>0.24974383750283694</v>
      </c>
      <c r="W117" s="17"/>
      <c r="X117" s="22">
        <f>+P117-T117</f>
        <v>-133016.15999999922</v>
      </c>
      <c r="Y117" s="17"/>
      <c r="Z117" s="21">
        <f>IF(T117=0,0,X117/T117)</f>
        <v>-0.2836423458048431</v>
      </c>
    </row>
    <row r="118" spans="1:26" ht="15" customHeight="1" x14ac:dyDescent="0.3">
      <c r="A118" s="10"/>
      <c r="B118" s="11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3">
      <c r="A119" s="48"/>
      <c r="B119" s="11" t="s">
        <v>292</v>
      </c>
      <c r="C119" s="11"/>
      <c r="D119" s="5">
        <v>-6865.63</v>
      </c>
      <c r="E119" s="5"/>
      <c r="F119" s="13">
        <f>IF(D$12=0,0,D119/D$12)</f>
        <v>-0.34131111095644845</v>
      </c>
      <c r="G119" s="5"/>
      <c r="H119" s="5">
        <v>17439.740000000002</v>
      </c>
      <c r="I119" s="5"/>
      <c r="J119" s="13">
        <f>IF(H$12=0,0,H119/H$12)</f>
        <v>1.4931348165017835</v>
      </c>
      <c r="K119" s="5"/>
      <c r="L119" s="5">
        <f>+D119-H119</f>
        <v>-24305.370000000003</v>
      </c>
      <c r="M119" s="5"/>
      <c r="N119" s="13">
        <f>IF(H119=0,0,L119/H119)</f>
        <v>-1.3936773139966536</v>
      </c>
      <c r="O119" s="11"/>
      <c r="P119" s="5">
        <v>204389.06</v>
      </c>
      <c r="Q119" s="5"/>
      <c r="R119" s="13">
        <f>IF(P$12=0,0,P119/P$12)</f>
        <v>0.11934754669359206</v>
      </c>
      <c r="S119" s="5"/>
      <c r="T119" s="5">
        <v>386989.03</v>
      </c>
      <c r="U119" s="5"/>
      <c r="V119" s="13">
        <f>IF(T$12=0,0,T119/T$12)</f>
        <v>0.20609150807555462</v>
      </c>
      <c r="W119" s="5"/>
      <c r="X119" s="5">
        <f>+P119-T119</f>
        <v>-182599.97000000003</v>
      </c>
      <c r="Y119" s="5"/>
      <c r="Z119" s="13">
        <f>IF(T119=0,0,X119/T119)</f>
        <v>-0.47184792292432687</v>
      </c>
    </row>
    <row r="120" spans="1:26" ht="15" customHeight="1" x14ac:dyDescent="0.3">
      <c r="A120" s="10"/>
      <c r="B120" s="11"/>
      <c r="C120" s="11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O120" s="11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3">
      <c r="A121" s="11"/>
      <c r="B121" s="27" t="s">
        <v>293</v>
      </c>
      <c r="C121" s="27"/>
      <c r="D121" s="34">
        <f>+D117-D119</f>
        <v>-23216.099999999962</v>
      </c>
      <c r="E121" s="15"/>
      <c r="F121" s="33">
        <f>IF(D$12=0,0,D121/D$12)</f>
        <v>-1.1541421374405538</v>
      </c>
      <c r="G121" s="15"/>
      <c r="H121" s="34">
        <f>+H117-H119</f>
        <v>-56825.510000000024</v>
      </c>
      <c r="I121" s="15"/>
      <c r="J121" s="33">
        <f>IF(H$12=0,0,H121/H$12)</f>
        <v>-4.8652186011070286</v>
      </c>
      <c r="K121" s="17"/>
      <c r="L121" s="34">
        <f>D121-H121</f>
        <v>33609.410000000062</v>
      </c>
      <c r="M121" s="17"/>
      <c r="N121" s="33">
        <f>IF(H121=0,0,L121/H121)</f>
        <v>-0.59144933323079807</v>
      </c>
      <c r="O121" s="28"/>
      <c r="P121" s="34">
        <f>+P117-P119</f>
        <v>131552.12000000023</v>
      </c>
      <c r="Q121" s="15"/>
      <c r="R121" s="33">
        <f>IF(P$12=0,0,P121/P$12)</f>
        <v>7.6816355945572887E-2</v>
      </c>
      <c r="S121" s="15"/>
      <c r="T121" s="34">
        <f>+T117-T119</f>
        <v>81968.309999999416</v>
      </c>
      <c r="U121" s="15"/>
      <c r="V121" s="33">
        <f>IF(T$12=0,0,T121/T$12)</f>
        <v>4.3652329427282324E-2</v>
      </c>
      <c r="W121" s="17"/>
      <c r="X121" s="34">
        <f>P121-T121</f>
        <v>49583.810000000813</v>
      </c>
      <c r="Y121" s="17"/>
      <c r="Z121" s="33">
        <f>IF(T121=0,0,X121/T121)</f>
        <v>0.6049143870356869</v>
      </c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ht="15" customHeight="1" x14ac:dyDescent="0.3">
      <c r="A123" s="10"/>
      <c r="B123" s="10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2" customFormat="1" ht="15" customHeight="1" x14ac:dyDescent="0.3">
      <c r="A124" s="11"/>
      <c r="B124" s="27" t="s">
        <v>296</v>
      </c>
      <c r="C124" s="27"/>
      <c r="D124" s="31">
        <f>SUM(D121:D123)</f>
        <v>-23216.099999999962</v>
      </c>
      <c r="E124" s="15"/>
      <c r="F124" s="32">
        <f>IF(D$12=0,0,D124/D$12)</f>
        <v>-1.1541421374405538</v>
      </c>
      <c r="G124" s="15"/>
      <c r="H124" s="31">
        <f>SUM(H121:H123)</f>
        <v>-56825.510000000024</v>
      </c>
      <c r="I124" s="15"/>
      <c r="J124" s="32">
        <f>IF(H$12=0,0,H124/H$12)</f>
        <v>-4.8652186011070286</v>
      </c>
      <c r="K124" s="17"/>
      <c r="L124" s="31">
        <f>+D124-H124</f>
        <v>33609.410000000062</v>
      </c>
      <c r="M124" s="17"/>
      <c r="N124" s="32">
        <f>IF(H124=0,0,L124/H124)</f>
        <v>-0.59144933323079807</v>
      </c>
      <c r="O124" s="28"/>
      <c r="P124" s="31">
        <f>SUM(P121:P123)</f>
        <v>131552.12000000023</v>
      </c>
      <c r="Q124" s="15"/>
      <c r="R124" s="32">
        <f>IF(P$12=0,0,P124/P$12)</f>
        <v>7.6816355945572887E-2</v>
      </c>
      <c r="S124" s="15"/>
      <c r="T124" s="31">
        <f>SUM(T121:T123)</f>
        <v>81968.309999999416</v>
      </c>
      <c r="U124" s="15"/>
      <c r="V124" s="32">
        <f>IF(T$12=0,0,T124/T$12)</f>
        <v>4.3652329427282324E-2</v>
      </c>
      <c r="W124" s="17"/>
      <c r="X124" s="31">
        <f>+P124-T124</f>
        <v>49583.810000000813</v>
      </c>
      <c r="Y124" s="17"/>
      <c r="Z124" s="32">
        <f>IF(T124=0,0,X124/T124)</f>
        <v>0.6049143870356869</v>
      </c>
    </row>
    <row r="125" spans="1:26" ht="15" customHeight="1" x14ac:dyDescent="0.3">
      <c r="A125" s="10"/>
      <c r="C125" s="10"/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A126" s="10"/>
      <c r="B126" s="56">
        <v>44663.03859679398</v>
      </c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  <row r="127" spans="1:26" ht="15" customHeight="1" x14ac:dyDescent="0.3">
      <c r="A127" s="10"/>
      <c r="B127" s="57" t="s">
        <v>297</v>
      </c>
      <c r="D127" s="19"/>
      <c r="E127" s="19"/>
      <c r="G127" s="19"/>
      <c r="H127" s="19"/>
      <c r="I127" s="19"/>
      <c r="J127" s="40"/>
      <c r="K127" s="19"/>
      <c r="L127" s="19"/>
      <c r="M127" s="19"/>
      <c r="P127" s="19"/>
      <c r="Q127" s="19"/>
      <c r="R127" s="40"/>
      <c r="S127" s="19"/>
      <c r="T127" s="19"/>
      <c r="U127" s="19"/>
      <c r="V127" s="40"/>
      <c r="W127" s="19"/>
      <c r="X127" s="19"/>
    </row>
    <row r="128" spans="1:26" ht="15" customHeight="1" x14ac:dyDescent="0.3">
      <c r="A128" s="10"/>
      <c r="B128" s="58"/>
      <c r="D128" s="19"/>
      <c r="E128" s="19"/>
      <c r="G128" s="19"/>
      <c r="H128" s="19"/>
      <c r="I128" s="19"/>
      <c r="J128" s="40"/>
      <c r="K128" s="19"/>
      <c r="L128" s="19"/>
      <c r="M128" s="19"/>
      <c r="P128" s="19"/>
      <c r="Q128" s="19"/>
      <c r="R128" s="40"/>
      <c r="S128" s="19"/>
      <c r="T128" s="19"/>
      <c r="U128" s="19"/>
      <c r="V128" s="40"/>
      <c r="W128" s="19"/>
      <c r="X128" s="19"/>
    </row>
    <row r="129" spans="4:24" ht="15" customHeight="1" x14ac:dyDescent="0.3">
      <c r="D129" s="19"/>
      <c r="E129" s="19"/>
      <c r="G129" s="19"/>
      <c r="H129" s="19"/>
      <c r="I129" s="19"/>
      <c r="J129" s="40"/>
      <c r="K129" s="19"/>
      <c r="L129" s="19"/>
      <c r="M129" s="19"/>
      <c r="P129" s="19"/>
      <c r="Q129" s="19"/>
      <c r="R129" s="40"/>
      <c r="S129" s="19"/>
      <c r="T129" s="19"/>
      <c r="U129" s="19"/>
      <c r="V129" s="40"/>
      <c r="W129" s="19"/>
      <c r="X12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B7995-8349-3B01-1DE7-79CE29132599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","324"," - ","Textbook Rental")</f>
        <v>Department 324 - Textbook Rental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2779.8599999999997</v>
      </c>
      <c r="E12" s="5"/>
      <c r="F12" s="13"/>
      <c r="G12" s="5"/>
      <c r="H12" s="5">
        <f>SUM(OSRRefH13x_0)</f>
        <v>3314.99</v>
      </c>
      <c r="I12" s="5"/>
      <c r="J12" s="13"/>
      <c r="K12" s="5"/>
      <c r="L12" s="5">
        <f>+D12-H12</f>
        <v>-535.13000000000011</v>
      </c>
      <c r="M12" s="5"/>
      <c r="N12" s="13">
        <f>IF(H12=0,0,L12/H12)</f>
        <v>-0.16142733462242725</v>
      </c>
      <c r="O12" s="11"/>
      <c r="P12" s="5">
        <f>SUM(OSRRefP13x_0)</f>
        <v>438811.64</v>
      </c>
      <c r="Q12" s="5"/>
      <c r="R12" s="13"/>
      <c r="S12" s="5"/>
      <c r="T12" s="5">
        <f>SUM(OSRRefT13x_0)</f>
        <v>776231.99</v>
      </c>
      <c r="U12" s="5"/>
      <c r="V12" s="13"/>
      <c r="W12" s="5"/>
      <c r="X12" s="5">
        <f>+P12-T12</f>
        <v>-337420.35</v>
      </c>
      <c r="Y12" s="5"/>
      <c r="Z12" s="13">
        <f>IF(T12=0,0,X12/T12)</f>
        <v>-0.43469008536996778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--1625.55</f>
        <v>1625.55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1625.55</v>
      </c>
      <c r="M13" s="3"/>
      <c r="N13" s="20">
        <f>IF(H13=0,0,L13/H13)</f>
        <v>0</v>
      </c>
      <c r="O13" s="12"/>
      <c r="P13" s="3">
        <f>--271103.42</f>
        <v>271103.42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271103.42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--747</f>
        <v>747</v>
      </c>
      <c r="I14" s="3"/>
      <c r="J14" s="20"/>
      <c r="K14" s="3"/>
      <c r="L14" s="3">
        <f>+D14-H14</f>
        <v>-747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--263452.93</f>
        <v>263452.93</v>
      </c>
      <c r="U14" s="3"/>
      <c r="V14" s="20"/>
      <c r="W14" s="3"/>
      <c r="X14" s="3">
        <f>+P14-T14</f>
        <v>-263452.93</v>
      </c>
      <c r="Y14" s="3"/>
      <c r="Z14" s="20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--517.45</f>
        <v>517.45000000000005</v>
      </c>
      <c r="I15" s="3"/>
      <c r="J15" s="20"/>
      <c r="K15" s="3"/>
      <c r="L15" s="3">
        <f>+D15-H15</f>
        <v>-517.45000000000005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f>--226554.96</f>
        <v>226554.96</v>
      </c>
      <c r="U15" s="3"/>
      <c r="V15" s="20"/>
      <c r="W15" s="3"/>
      <c r="X15" s="3">
        <f>+P15-T15</f>
        <v>-226554.96</v>
      </c>
      <c r="Y15" s="3"/>
      <c r="Z15" s="20">
        <f>IF(T15=0,0,X15/T15)</f>
        <v>-1</v>
      </c>
    </row>
    <row r="16" spans="1:26" s="69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--1154.31</f>
        <v>1154.31</v>
      </c>
      <c r="E16" s="3"/>
      <c r="F16" s="20"/>
      <c r="G16" s="3"/>
      <c r="H16" s="3">
        <f>--2050.54</f>
        <v>2050.54</v>
      </c>
      <c r="I16" s="3"/>
      <c r="J16" s="20"/>
      <c r="K16" s="3"/>
      <c r="L16" s="3">
        <f>+D16-H16</f>
        <v>-896.23</v>
      </c>
      <c r="M16" s="3"/>
      <c r="N16" s="20">
        <f>IF(H16=0,0,L16/H16)</f>
        <v>-0.43707023515756827</v>
      </c>
      <c r="O16" s="12"/>
      <c r="P16" s="3">
        <f>--167708.22</f>
        <v>167708.22</v>
      </c>
      <c r="Q16" s="3"/>
      <c r="R16" s="20"/>
      <c r="S16" s="3"/>
      <c r="T16" s="3">
        <f>--286224.1</f>
        <v>286224.09999999998</v>
      </c>
      <c r="U16" s="3"/>
      <c r="V16" s="20"/>
      <c r="W16" s="3"/>
      <c r="X16" s="3">
        <f>+P16-T16</f>
        <v>-118515.87999999998</v>
      </c>
      <c r="Y16" s="3"/>
      <c r="Z16" s="20">
        <f>IF(T16=0,0,X16/T16)</f>
        <v>-0.41406674001245874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8" t="s">
        <v>287</v>
      </c>
      <c r="C18" s="11"/>
      <c r="D18" s="5">
        <f>SUM(OSRRefD16x_0)</f>
        <v>2120.33</v>
      </c>
      <c r="E18" s="5"/>
      <c r="F18" s="13">
        <f>IF(D$12=0,0,D18/D$12)</f>
        <v>0.76274704481520661</v>
      </c>
      <c r="G18" s="5"/>
      <c r="H18" s="5">
        <f>SUM(OSRRefH16x_0)</f>
        <v>823.37</v>
      </c>
      <c r="I18" s="5"/>
      <c r="J18" s="13">
        <f>IF(H$12=0,0,H18/H$12)</f>
        <v>0.24837782316085419</v>
      </c>
      <c r="K18" s="5"/>
      <c r="L18" s="5">
        <f>+D18-H18</f>
        <v>1296.96</v>
      </c>
      <c r="M18" s="5"/>
      <c r="N18" s="13">
        <f>IF(H18=0,0,L18/H18)</f>
        <v>1.5751849107934466</v>
      </c>
      <c r="O18" s="11"/>
      <c r="P18" s="5">
        <f>SUM(OSRRefP16x_0)</f>
        <v>325226.18</v>
      </c>
      <c r="Q18" s="5"/>
      <c r="R18" s="13">
        <f>IF(P$12=0,0,P18/P$12)</f>
        <v>0.74115212622892135</v>
      </c>
      <c r="S18" s="5"/>
      <c r="T18" s="5">
        <f>SUM(OSRRefT16x_0)</f>
        <v>542922.72</v>
      </c>
      <c r="U18" s="5"/>
      <c r="V18" s="13">
        <f>IF(T$12=0,0,T18/T$12)</f>
        <v>0.69943358041711212</v>
      </c>
      <c r="W18" s="5"/>
      <c r="X18" s="5">
        <f>+P18-T18</f>
        <v>-217696.53999999998</v>
      </c>
      <c r="Y18" s="5"/>
      <c r="Z18" s="13">
        <f>IF(T18=0,0,X18/T18)</f>
        <v>-0.40097150474748966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2120.33</v>
      </c>
      <c r="E19" s="3"/>
      <c r="F19" s="20">
        <f>IF(D$12=0,0,D19/D$12)</f>
        <v>0.76274704481520661</v>
      </c>
      <c r="G19" s="3"/>
      <c r="H19" s="3"/>
      <c r="I19" s="3"/>
      <c r="J19" s="20">
        <f>IF(H$12=0,0,H19/H$12)</f>
        <v>0</v>
      </c>
      <c r="K19" s="3"/>
      <c r="L19" s="3">
        <f>+D19-H19</f>
        <v>2120.33</v>
      </c>
      <c r="M19" s="3"/>
      <c r="N19" s="20">
        <f>IF(H19=0,0,L19/H19)</f>
        <v>0</v>
      </c>
      <c r="O19" s="12"/>
      <c r="P19" s="3">
        <v>325226.18</v>
      </c>
      <c r="Q19" s="3"/>
      <c r="R19" s="20">
        <f>IF(P$12=0,0,P19/P$12)</f>
        <v>0.74115212622892135</v>
      </c>
      <c r="S19" s="3"/>
      <c r="T19" s="3"/>
      <c r="U19" s="3"/>
      <c r="V19" s="20">
        <f>IF(T$12=0,0,T19/T$12)</f>
        <v>0</v>
      </c>
      <c r="W19" s="3"/>
      <c r="X19" s="3">
        <f>+P19-T19</f>
        <v>325226.18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","5001"," - ","PURCHASES @ COST-NEW TEXT")</f>
        <v xml:space="preserve">          5001 - PURCHASES @ COST-NEW TEXT</v>
      </c>
      <c r="C20" s="12"/>
      <c r="D20" s="3"/>
      <c r="E20" s="3"/>
      <c r="F20" s="20">
        <f>IF(D$12=0,0,D20/D$12)</f>
        <v>0</v>
      </c>
      <c r="G20" s="3"/>
      <c r="H20" s="3">
        <v>225.24</v>
      </c>
      <c r="I20" s="3"/>
      <c r="J20" s="20">
        <f>IF(H$12=0,0,H20/H$12)</f>
        <v>6.7945906322492686E-2</v>
      </c>
      <c r="K20" s="3"/>
      <c r="L20" s="3">
        <f>+D20-H20</f>
        <v>-225.24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300430.14</v>
      </c>
      <c r="U20" s="3"/>
      <c r="V20" s="20">
        <f>IF(T$12=0,0,T20/T$12)</f>
        <v>0.38703653530177234</v>
      </c>
      <c r="W20" s="3"/>
      <c r="X20" s="3">
        <f>+P20-T20</f>
        <v>-300430.14</v>
      </c>
      <c r="Y20" s="3"/>
      <c r="Z20" s="20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","5002"," - ","PURCHASES @ COST-USED TEXT")</f>
        <v xml:space="preserve">          5002 - PURCHASES @ COST-USED TEXT</v>
      </c>
      <c r="C21" s="12"/>
      <c r="D21" s="3"/>
      <c r="E21" s="3"/>
      <c r="F21" s="20">
        <f>IF(D$12=0,0,D21/D$12)</f>
        <v>0</v>
      </c>
      <c r="G21" s="3"/>
      <c r="H21" s="3">
        <v>598.13</v>
      </c>
      <c r="I21" s="3"/>
      <c r="J21" s="20">
        <f>IF(H$12=0,0,H21/H$12)</f>
        <v>0.18043191683836152</v>
      </c>
      <c r="K21" s="3"/>
      <c r="L21" s="3">
        <f>+D21-H21</f>
        <v>-598.13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242492.58</v>
      </c>
      <c r="U21" s="3"/>
      <c r="V21" s="20">
        <f>IF(T$12=0,0,T21/T$12)</f>
        <v>0.31239704511533978</v>
      </c>
      <c r="W21" s="3"/>
      <c r="X21" s="3">
        <f>+P21-T21</f>
        <v>-242492.58</v>
      </c>
      <c r="Y21" s="3"/>
      <c r="Z21" s="20">
        <f>IF(T21=0,0,X21/T21)</f>
        <v>-1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7" t="s">
        <v>288</v>
      </c>
      <c r="C23" s="27"/>
      <c r="D23" s="22">
        <f>D12-D18</f>
        <v>659.52999999999975</v>
      </c>
      <c r="E23" s="15"/>
      <c r="F23" s="21">
        <f>IF(D$12=0,0,D23/D$12)</f>
        <v>0.23725295518479342</v>
      </c>
      <c r="G23" s="15"/>
      <c r="H23" s="22">
        <f>H12-H18</f>
        <v>2491.62</v>
      </c>
      <c r="I23" s="15"/>
      <c r="J23" s="21">
        <f>IF(H$12=0,0,H23/H$12)</f>
        <v>0.75162217683914578</v>
      </c>
      <c r="K23" s="17"/>
      <c r="L23" s="22">
        <f>+D23-H23</f>
        <v>-1832.0900000000001</v>
      </c>
      <c r="M23" s="17"/>
      <c r="N23" s="21">
        <f>IF(H23=0,0,L23/H23)</f>
        <v>-0.73530072804039148</v>
      </c>
      <c r="O23" s="28"/>
      <c r="P23" s="22">
        <f>P12-P18</f>
        <v>113585.46000000002</v>
      </c>
      <c r="Q23" s="15"/>
      <c r="R23" s="21">
        <f>IF(P$12=0,0,P23/P$12)</f>
        <v>0.25884787377107865</v>
      </c>
      <c r="S23" s="15"/>
      <c r="T23" s="22">
        <f>T12-T18</f>
        <v>233309.27000000002</v>
      </c>
      <c r="U23" s="15"/>
      <c r="V23" s="21">
        <f>IF(T$12=0,0,T23/T$12)</f>
        <v>0.30056641958288788</v>
      </c>
      <c r="W23" s="17"/>
      <c r="X23" s="22">
        <f>+P23-T23</f>
        <v>-119723.81</v>
      </c>
      <c r="Y23" s="17"/>
      <c r="Z23" s="21">
        <f>IF(T23=0,0,X23/T23)</f>
        <v>-0.51315496379548053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8" t="s">
        <v>289</v>
      </c>
      <c r="C25" s="11"/>
      <c r="D25" s="23">
        <f>SUM(0)</f>
        <v>0</v>
      </c>
      <c r="E25" s="23"/>
      <c r="F25" s="35">
        <f>IF(D$12=0,0,D25/D$12)</f>
        <v>0</v>
      </c>
      <c r="G25" s="23"/>
      <c r="H25" s="23">
        <f>SUM(0)</f>
        <v>0</v>
      </c>
      <c r="I25" s="23"/>
      <c r="J25" s="35">
        <f>IF(H$12=0,0,H25/H$12)</f>
        <v>0</v>
      </c>
      <c r="K25" s="5"/>
      <c r="L25" s="23">
        <f>+D25-H25</f>
        <v>0</v>
      </c>
      <c r="M25" s="5"/>
      <c r="N25" s="35">
        <f>IF(H25=0,0,L25/H25)</f>
        <v>0</v>
      </c>
      <c r="O25" s="11"/>
      <c r="P25" s="23">
        <f>SUM(0)</f>
        <v>0</v>
      </c>
      <c r="Q25" s="23"/>
      <c r="R25" s="35">
        <f>IF(P$12=0,0,P25/P$12)</f>
        <v>0</v>
      </c>
      <c r="S25" s="23"/>
      <c r="T25" s="23">
        <f>SUM(0)</f>
        <v>0</v>
      </c>
      <c r="U25" s="23"/>
      <c r="V25" s="35">
        <f>IF(T$12=0,0,T25/T$12)</f>
        <v>0</v>
      </c>
      <c r="W25" s="5"/>
      <c r="X25" s="23">
        <f>+P25-T25</f>
        <v>0</v>
      </c>
      <c r="Y25" s="5"/>
      <c r="Z25" s="35">
        <f>IF(T25=0,0,X25/T25)</f>
        <v>0</v>
      </c>
    </row>
    <row r="26" spans="1:26" s="64" customFormat="1" ht="15" customHeight="1" x14ac:dyDescent="0.3">
      <c r="A26" s="36"/>
      <c r="B26" s="36"/>
      <c r="C26" s="36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2" customFormat="1" ht="15" customHeight="1" x14ac:dyDescent="0.3">
      <c r="A27" s="11"/>
      <c r="B27" s="28" t="s">
        <v>290</v>
      </c>
      <c r="C27" s="11"/>
      <c r="D27" s="5">
        <f>SUM(0)</f>
        <v>0</v>
      </c>
      <c r="E27" s="5"/>
      <c r="F27" s="13">
        <f>IF(D$12=0,0,D27/D$12)</f>
        <v>0</v>
      </c>
      <c r="G27" s="5"/>
      <c r="H27" s="5">
        <f>SUM(0)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SUM(0)</f>
        <v>0</v>
      </c>
      <c r="Q27" s="5"/>
      <c r="R27" s="13">
        <f>IF(P$12=0,0,P27/P$12)</f>
        <v>0</v>
      </c>
      <c r="S27" s="5"/>
      <c r="T27" s="5">
        <f>SUM(0)</f>
        <v>0</v>
      </c>
      <c r="U27" s="5"/>
      <c r="V27" s="13">
        <f>IF(T$12=0,0,T27/T$12)</f>
        <v>0</v>
      </c>
      <c r="W27" s="5"/>
      <c r="X27" s="5">
        <f>+P27-T27</f>
        <v>0</v>
      </c>
      <c r="Y27" s="5"/>
      <c r="Z27" s="13">
        <f>IF(T27=0,0,X27/T27)</f>
        <v>0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11"/>
      <c r="B29" s="27" t="s">
        <v>291</v>
      </c>
      <c r="C29" s="27"/>
      <c r="D29" s="22">
        <f>+D23-D25+D27</f>
        <v>659.52999999999975</v>
      </c>
      <c r="E29" s="15"/>
      <c r="F29" s="21">
        <f>IF(D$12=0,0,D29/D$12)</f>
        <v>0.23725295518479342</v>
      </c>
      <c r="G29" s="15"/>
      <c r="H29" s="22">
        <f>+H23-H25+H27</f>
        <v>2491.62</v>
      </c>
      <c r="I29" s="15"/>
      <c r="J29" s="21">
        <f>IF(H$12=0,0,H29/H$12)</f>
        <v>0.75162217683914578</v>
      </c>
      <c r="K29" s="17"/>
      <c r="L29" s="22">
        <f>+D29-H29</f>
        <v>-1832.0900000000001</v>
      </c>
      <c r="M29" s="17"/>
      <c r="N29" s="21">
        <f>IF(H29=0,0,L29/H29)</f>
        <v>-0.73530072804039148</v>
      </c>
      <c r="O29" s="28"/>
      <c r="P29" s="22">
        <f>+P23-P25+P27</f>
        <v>113585.46000000002</v>
      </c>
      <c r="Q29" s="15"/>
      <c r="R29" s="21">
        <f>IF(P$12=0,0,P29/P$12)</f>
        <v>0.25884787377107865</v>
      </c>
      <c r="S29" s="15"/>
      <c r="T29" s="22">
        <f>+T23-T25+T27</f>
        <v>233309.27000000002</v>
      </c>
      <c r="U29" s="15"/>
      <c r="V29" s="21">
        <f>IF(T$12=0,0,T29/T$12)</f>
        <v>0.30056641958288788</v>
      </c>
      <c r="W29" s="17"/>
      <c r="X29" s="22">
        <f>+P29-T29</f>
        <v>-119723.81</v>
      </c>
      <c r="Y29" s="17"/>
      <c r="Z29" s="21">
        <f>IF(T29=0,0,X29/T29)</f>
        <v>-0.51315496379548053</v>
      </c>
    </row>
    <row r="30" spans="1:26" ht="15" customHeight="1" x14ac:dyDescent="0.3">
      <c r="A30" s="10"/>
      <c r="B30" s="11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48"/>
      <c r="B31" s="11" t="s">
        <v>292</v>
      </c>
      <c r="C31" s="11"/>
      <c r="D31" s="5">
        <v>-2055.58</v>
      </c>
      <c r="E31" s="5"/>
      <c r="F31" s="13">
        <f>IF(D$12=0,0,D31/D$12)</f>
        <v>-0.7394545049031247</v>
      </c>
      <c r="G31" s="5"/>
      <c r="H31" s="5">
        <v>6909.61</v>
      </c>
      <c r="I31" s="5"/>
      <c r="J31" s="13">
        <f>IF(H$12=0,0,H31/H$12)</f>
        <v>2.0843531956355825</v>
      </c>
      <c r="K31" s="5"/>
      <c r="L31" s="5">
        <f>+D31-H31</f>
        <v>-8965.1899999999987</v>
      </c>
      <c r="M31" s="5"/>
      <c r="N31" s="13">
        <f>IF(H31=0,0,L31/H31)</f>
        <v>-1.2974958065650593</v>
      </c>
      <c r="O31" s="11"/>
      <c r="P31" s="5">
        <v>52371.09</v>
      </c>
      <c r="Q31" s="5"/>
      <c r="R31" s="13">
        <f>IF(P$12=0,0,P31/P$12)</f>
        <v>0.11934754055293519</v>
      </c>
      <c r="S31" s="5"/>
      <c r="T31" s="5">
        <v>159974.82</v>
      </c>
      <c r="U31" s="5"/>
      <c r="V31" s="13">
        <f>IF(T$12=0,0,T31/T$12)</f>
        <v>0.20609150622612193</v>
      </c>
      <c r="W31" s="5"/>
      <c r="X31" s="5">
        <f>+P31-T31</f>
        <v>-107603.73000000001</v>
      </c>
      <c r="Y31" s="5"/>
      <c r="Z31" s="13">
        <f>IF(T31=0,0,X31/T31)</f>
        <v>-0.67262916751523771</v>
      </c>
    </row>
    <row r="32" spans="1:26" ht="15" customHeight="1" x14ac:dyDescent="0.3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7" t="s">
        <v>293</v>
      </c>
      <c r="C33" s="27"/>
      <c r="D33" s="34">
        <f>+D29-D31</f>
        <v>2715.1099999999997</v>
      </c>
      <c r="E33" s="15"/>
      <c r="F33" s="33">
        <f>IF(D$12=0,0,D33/D$12)</f>
        <v>0.97670746008791809</v>
      </c>
      <c r="G33" s="15"/>
      <c r="H33" s="34">
        <f>+H29-H31</f>
        <v>-4417.99</v>
      </c>
      <c r="I33" s="15"/>
      <c r="J33" s="33">
        <f>IF(H$12=0,0,H33/H$12)</f>
        <v>-1.3327310187964367</v>
      </c>
      <c r="K33" s="17"/>
      <c r="L33" s="34">
        <f>D33-H33</f>
        <v>7133.0999999999995</v>
      </c>
      <c r="M33" s="17"/>
      <c r="N33" s="33">
        <f>IF(H33=0,0,L33/H33)</f>
        <v>-1.6145577513756255</v>
      </c>
      <c r="O33" s="28"/>
      <c r="P33" s="34">
        <f>+P29-P31</f>
        <v>61214.370000000024</v>
      </c>
      <c r="Q33" s="15"/>
      <c r="R33" s="33">
        <f>IF(P$12=0,0,P33/P$12)</f>
        <v>0.13950033321814348</v>
      </c>
      <c r="S33" s="15"/>
      <c r="T33" s="34">
        <f>+T29-T31</f>
        <v>73334.450000000012</v>
      </c>
      <c r="U33" s="15"/>
      <c r="V33" s="33">
        <f>IF(T$12=0,0,T33/T$12)</f>
        <v>9.4474913356765944E-2</v>
      </c>
      <c r="W33" s="17"/>
      <c r="X33" s="34">
        <f>P33-T33</f>
        <v>-12120.079999999987</v>
      </c>
      <c r="Y33" s="17"/>
      <c r="Z33" s="33">
        <f>IF(T33=0,0,X33/T33)</f>
        <v>-0.16527130155063527</v>
      </c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>
        <f>SUM(D33:D35)</f>
        <v>2715.1099999999997</v>
      </c>
      <c r="E36" s="15"/>
      <c r="F36" s="32">
        <f>IF(D$12=0,0,D36/D$12)</f>
        <v>0.97670746008791809</v>
      </c>
      <c r="G36" s="15"/>
      <c r="H36" s="31">
        <f>SUM(H33:H35)</f>
        <v>-4417.99</v>
      </c>
      <c r="I36" s="15"/>
      <c r="J36" s="32">
        <f>IF(H$12=0,0,H36/H$12)</f>
        <v>-1.3327310187964367</v>
      </c>
      <c r="K36" s="17"/>
      <c r="L36" s="31">
        <f>+D36-H36</f>
        <v>7133.0999999999995</v>
      </c>
      <c r="M36" s="17"/>
      <c r="N36" s="32">
        <f>IF(H36=0,0,L36/H36)</f>
        <v>-1.6145577513756255</v>
      </c>
      <c r="O36" s="28"/>
      <c r="P36" s="31">
        <f>SUM(P33:P35)</f>
        <v>61214.370000000024</v>
      </c>
      <c r="Q36" s="15"/>
      <c r="R36" s="32">
        <f>IF(P$12=0,0,P36/P$12)</f>
        <v>0.13950033321814348</v>
      </c>
      <c r="S36" s="15"/>
      <c r="T36" s="31">
        <f>SUM(T33:T35)</f>
        <v>73334.450000000012</v>
      </c>
      <c r="U36" s="15"/>
      <c r="V36" s="32">
        <f>IF(T$12=0,0,T36/T$12)</f>
        <v>9.4474913356765944E-2</v>
      </c>
      <c r="W36" s="17"/>
      <c r="X36" s="31">
        <f>+P36-T36</f>
        <v>-12120.079999999987</v>
      </c>
      <c r="Y36" s="17"/>
      <c r="Z36" s="32">
        <f>IF(T36=0,0,X36/T36)</f>
        <v>-0.16527130155063527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>
        <v>44663.03859679398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s">
        <v>297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E50B9-5954-BC9F-D3FA-7AAD39D464CF}">
  <sheetPr>
    <tabColor rgb="FFFFFF00"/>
    <outlinePr summaryBelow="0" summaryRight="0"/>
  </sheetPr>
  <dimension ref="A2:Z17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551768.97</v>
      </c>
      <c r="E12" s="5"/>
      <c r="F12" s="13"/>
      <c r="G12" s="5"/>
      <c r="H12" s="5">
        <f>SUM(OSRRefH13x_0)</f>
        <v>166752.73000000001</v>
      </c>
      <c r="I12" s="5"/>
      <c r="J12" s="13"/>
      <c r="K12" s="5"/>
      <c r="L12" s="5">
        <f t="shared" ref="L12:L56" si="0">+D12-H12</f>
        <v>385016.24</v>
      </c>
      <c r="M12" s="5"/>
      <c r="N12" s="13">
        <f t="shared" ref="N12:N56" si="1">IF(H12=0,0,L12/H12)</f>
        <v>2.3089051675495806</v>
      </c>
      <c r="O12" s="11"/>
      <c r="P12" s="5">
        <f>SUM(OSRRefP13x_0)</f>
        <v>3472233.6</v>
      </c>
      <c r="Q12" s="5"/>
      <c r="R12" s="13"/>
      <c r="S12" s="5"/>
      <c r="T12" s="5">
        <f>SUM(OSRRefT13x_0)</f>
        <v>1499192.7899999998</v>
      </c>
      <c r="U12" s="5"/>
      <c r="V12" s="13"/>
      <c r="W12" s="5"/>
      <c r="X12" s="5">
        <f t="shared" ref="X12:X56" si="2">+P12-T12</f>
        <v>1973040.8100000003</v>
      </c>
      <c r="Y12" s="5"/>
      <c r="Z12" s="13">
        <f t="shared" ref="Z12:Z56" si="3">IF(T12=0,0,X12/T12)</f>
        <v>1.3160687692474833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--488125.03</f>
        <v>488125.03</v>
      </c>
      <c r="E13" s="3"/>
      <c r="F13" s="20"/>
      <c r="G13" s="3"/>
      <c r="H13" s="3">
        <f>-11260.63</f>
        <v>-11260.63</v>
      </c>
      <c r="I13" s="3"/>
      <c r="J13" s="20"/>
      <c r="K13" s="3"/>
      <c r="L13" s="3">
        <f t="shared" si="0"/>
        <v>499385.66000000003</v>
      </c>
      <c r="M13" s="3"/>
      <c r="N13" s="20">
        <f t="shared" si="1"/>
        <v>-44.347932575708469</v>
      </c>
      <c r="O13" s="12"/>
      <c r="P13" s="3">
        <f>--3206597.5</f>
        <v>3206597.5</v>
      </c>
      <c r="Q13" s="3"/>
      <c r="R13" s="20"/>
      <c r="S13" s="3"/>
      <c r="T13" s="3">
        <f>-111555.17</f>
        <v>-111555.17</v>
      </c>
      <c r="U13" s="3"/>
      <c r="V13" s="20"/>
      <c r="W13" s="3"/>
      <c r="X13" s="3">
        <f t="shared" si="2"/>
        <v>3318152.67</v>
      </c>
      <c r="Y13" s="3"/>
      <c r="Z13" s="20">
        <f t="shared" si="3"/>
        <v>-29.744499246426678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--16.37</f>
        <v>16.37</v>
      </c>
      <c r="I14" s="3"/>
      <c r="J14" s="20"/>
      <c r="K14" s="3"/>
      <c r="L14" s="3">
        <f t="shared" si="0"/>
        <v>-16.37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--464.75</f>
        <v>464.75</v>
      </c>
      <c r="U14" s="3"/>
      <c r="V14" s="20"/>
      <c r="W14" s="3"/>
      <c r="X14" s="3">
        <f t="shared" si="2"/>
        <v>-464.75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--3028</f>
        <v>3028</v>
      </c>
      <c r="I15" s="3"/>
      <c r="J15" s="20"/>
      <c r="K15" s="3"/>
      <c r="L15" s="3">
        <f t="shared" si="0"/>
        <v>-3028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--57512.32</f>
        <v>57512.32</v>
      </c>
      <c r="U15" s="3"/>
      <c r="V15" s="20"/>
      <c r="W15" s="3"/>
      <c r="X15" s="3">
        <f t="shared" si="2"/>
        <v>-57512.32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--3372.76</f>
        <v>3372.76</v>
      </c>
      <c r="I16" s="3"/>
      <c r="J16" s="20"/>
      <c r="K16" s="3"/>
      <c r="L16" s="3">
        <f t="shared" si="0"/>
        <v>-3372.76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--44249.38</f>
        <v>44249.38</v>
      </c>
      <c r="U16" s="3"/>
      <c r="V16" s="20"/>
      <c r="W16" s="3"/>
      <c r="X16" s="3">
        <f t="shared" si="2"/>
        <v>-44249.38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--434.03</f>
        <v>434.03</v>
      </c>
      <c r="I17" s="3"/>
      <c r="J17" s="20"/>
      <c r="K17" s="3"/>
      <c r="L17" s="3">
        <f t="shared" si="0"/>
        <v>-434.03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--3614.87</f>
        <v>3614.87</v>
      </c>
      <c r="U17" s="3"/>
      <c r="V17" s="20"/>
      <c r="W17" s="3"/>
      <c r="X17" s="3">
        <f t="shared" si="2"/>
        <v>-3614.87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--82653.17</f>
        <v>82653.17</v>
      </c>
      <c r="I19" s="3"/>
      <c r="J19" s="20"/>
      <c r="K19" s="3"/>
      <c r="L19" s="3">
        <f t="shared" si="0"/>
        <v>-82653.17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--754001.15</f>
        <v>754001.15</v>
      </c>
      <c r="U19" s="3"/>
      <c r="V19" s="20"/>
      <c r="W19" s="3"/>
      <c r="X19" s="3">
        <f t="shared" si="2"/>
        <v>-754001.15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--47225.72</f>
        <v>47225.72</v>
      </c>
      <c r="I20" s="3"/>
      <c r="J20" s="20"/>
      <c r="K20" s="3"/>
      <c r="L20" s="3">
        <f t="shared" si="0"/>
        <v>-47225.72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--231358.81</f>
        <v>231358.81</v>
      </c>
      <c r="U20" s="3"/>
      <c r="V20" s="20"/>
      <c r="W20" s="3"/>
      <c r="X20" s="3">
        <f t="shared" si="2"/>
        <v>-231358.81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--10381.96</f>
        <v>10381.959999999999</v>
      </c>
      <c r="I21" s="3"/>
      <c r="J21" s="20"/>
      <c r="K21" s="3"/>
      <c r="L21" s="3">
        <f t="shared" si="0"/>
        <v>-10381.959999999999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--74228.25</f>
        <v>74228.25</v>
      </c>
      <c r="U21" s="3"/>
      <c r="V21" s="20"/>
      <c r="W21" s="3"/>
      <c r="X21" s="3">
        <f t="shared" si="2"/>
        <v>-74228.25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--8270.61</f>
        <v>8270.61</v>
      </c>
      <c r="I22" s="3"/>
      <c r="J22" s="20"/>
      <c r="K22" s="3"/>
      <c r="L22" s="3">
        <f t="shared" si="0"/>
        <v>-8270.61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--132383.49</f>
        <v>132383.49</v>
      </c>
      <c r="U22" s="3"/>
      <c r="V22" s="20"/>
      <c r="W22" s="3"/>
      <c r="X22" s="3">
        <f t="shared" si="2"/>
        <v>-132383.49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--1774.45</f>
        <v>1774.45</v>
      </c>
      <c r="I23" s="3"/>
      <c r="J23" s="20"/>
      <c r="K23" s="3"/>
      <c r="L23" s="3">
        <f t="shared" si="0"/>
        <v>-1774.45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--31346.85</f>
        <v>31346.85</v>
      </c>
      <c r="U23" s="3"/>
      <c r="V23" s="20"/>
      <c r="W23" s="3"/>
      <c r="X23" s="3">
        <f t="shared" si="2"/>
        <v>-31346.85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--8707.87</f>
        <v>8707.8700000000008</v>
      </c>
      <c r="I24" s="3"/>
      <c r="J24" s="20"/>
      <c r="K24" s="3"/>
      <c r="L24" s="3">
        <f t="shared" si="0"/>
        <v>-8707.8700000000008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--144197.44</f>
        <v>144197.44</v>
      </c>
      <c r="U24" s="3"/>
      <c r="V24" s="20"/>
      <c r="W24" s="3"/>
      <c r="X24" s="3">
        <f t="shared" si="2"/>
        <v>-144197.44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","4081"," - ","TAXABLE SALES-ELECTRONICS")</f>
        <v xml:space="preserve">          4081 - TAXABLE SALES-ELECTRONICS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--71.95</f>
        <v>71.95</v>
      </c>
      <c r="U25" s="3"/>
      <c r="V25" s="20"/>
      <c r="W25" s="3"/>
      <c r="X25" s="3">
        <f t="shared" si="2"/>
        <v>-71.95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","4083"," - ","TAXABLE SALES-COMPUTER EQUIPME")</f>
        <v xml:space="preserve">          4083 - TAXABLE SALES-COMPUTER EQUIPME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--9.99</f>
        <v>9.99</v>
      </c>
      <c r="U26" s="3"/>
      <c r="V26" s="20"/>
      <c r="W26" s="3"/>
      <c r="X26" s="3">
        <f t="shared" si="2"/>
        <v>-9.99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","4100"," - ","NON-TAXABLE SALES")</f>
        <v xml:space="preserve">          4100 - NON-TAXABLE SALES</v>
      </c>
      <c r="C27" s="12"/>
      <c r="D27" s="3">
        <f>--88000.95</f>
        <v>88000.95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88000.95</v>
      </c>
      <c r="M27" s="3"/>
      <c r="N27" s="20">
        <f t="shared" si="1"/>
        <v>0</v>
      </c>
      <c r="O27" s="12"/>
      <c r="P27" s="3">
        <f>--447219.79</f>
        <v>447219.79</v>
      </c>
      <c r="Q27" s="3"/>
      <c r="R27" s="20"/>
      <c r="S27" s="3"/>
      <c r="T27" s="3">
        <f>0</f>
        <v>0</v>
      </c>
      <c r="U27" s="3"/>
      <c r="V27" s="20"/>
      <c r="W27" s="3"/>
      <c r="X27" s="3">
        <f t="shared" si="2"/>
        <v>447219.79</v>
      </c>
      <c r="Y27" s="3"/>
      <c r="Z27" s="20">
        <f t="shared" si="3"/>
        <v>0</v>
      </c>
    </row>
    <row r="28" spans="1:26" s="69" customFormat="1" ht="15" hidden="1" customHeight="1" outlineLevel="1" x14ac:dyDescent="0.3">
      <c r="A28" s="42"/>
      <c r="B28" s="12" t="str">
        <f>CONCATENATE("          ","4126"," - ","NON-TAXABLE SALES-WRITING INST")</f>
        <v xml:space="preserve">          4126 - NON-TAXABLE SALES-WRITING INST</v>
      </c>
      <c r="C28" s="12"/>
      <c r="D28" s="3">
        <f>0</f>
        <v>0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0</v>
      </c>
      <c r="M28" s="3"/>
      <c r="N28" s="20">
        <f t="shared" si="1"/>
        <v>0</v>
      </c>
      <c r="O28" s="12"/>
      <c r="P28" s="3">
        <f>0</f>
        <v>0</v>
      </c>
      <c r="Q28" s="3"/>
      <c r="R28" s="20"/>
      <c r="S28" s="3"/>
      <c r="T28" s="3">
        <f>--52.68</f>
        <v>52.68</v>
      </c>
      <c r="U28" s="3"/>
      <c r="V28" s="20"/>
      <c r="W28" s="3"/>
      <c r="X28" s="3">
        <f t="shared" si="2"/>
        <v>-52.68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","4127"," - ","NON-TAXABLE SALES-SCHOOL SUPPL")</f>
        <v xml:space="preserve">          4127 - NON-TAXABLE SALES-SCHOOL SUPPL</v>
      </c>
      <c r="C29" s="12"/>
      <c r="D29" s="3">
        <f>0</f>
        <v>0</v>
      </c>
      <c r="E29" s="3"/>
      <c r="F29" s="20"/>
      <c r="G29" s="3"/>
      <c r="H29" s="3">
        <f>--389.95</f>
        <v>389.95</v>
      </c>
      <c r="I29" s="3"/>
      <c r="J29" s="20"/>
      <c r="K29" s="3"/>
      <c r="L29" s="3">
        <f t="shared" si="0"/>
        <v>-389.95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--6607.31</f>
        <v>6607.31</v>
      </c>
      <c r="U29" s="3"/>
      <c r="V29" s="20"/>
      <c r="W29" s="3"/>
      <c r="X29" s="3">
        <f t="shared" si="2"/>
        <v>-6607.31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","4128"," - ","NON-TAXABLE SALES-ART/TECH")</f>
        <v xml:space="preserve">          4128 - NON-TAXABLE SALES-ART/TECH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--38.58</f>
        <v>38.58</v>
      </c>
      <c r="U30" s="3"/>
      <c r="V30" s="20"/>
      <c r="W30" s="3"/>
      <c r="X30" s="3">
        <f t="shared" si="2"/>
        <v>-38.58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","4131"," - ","NON-TAXABLE SALES-FOOD")</f>
        <v xml:space="preserve">          4131 - NON-TAXABLE SALES-FOOD</v>
      </c>
      <c r="C31" s="12"/>
      <c r="D31" s="3">
        <f>0</f>
        <v>0</v>
      </c>
      <c r="E31" s="3"/>
      <c r="F31" s="20"/>
      <c r="G31" s="3"/>
      <c r="H31" s="3">
        <f>--829.28</f>
        <v>829.28</v>
      </c>
      <c r="I31" s="3"/>
      <c r="J31" s="20"/>
      <c r="K31" s="3"/>
      <c r="L31" s="3">
        <f t="shared" si="0"/>
        <v>-829.28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--10404.43</f>
        <v>10404.43</v>
      </c>
      <c r="U31" s="3"/>
      <c r="V31" s="20"/>
      <c r="W31" s="3"/>
      <c r="X31" s="3">
        <f t="shared" si="2"/>
        <v>-10404.43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","4132"," - ","NON-TAXABLE SALES-JUICE")</f>
        <v xml:space="preserve">          4132 - NON-TAXABLE SALES-JUICE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--22.49</f>
        <v>22.49</v>
      </c>
      <c r="U32" s="3"/>
      <c r="V32" s="20"/>
      <c r="W32" s="3"/>
      <c r="X32" s="3">
        <f t="shared" si="2"/>
        <v>-22.49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","4133"," - ","NON-TAXABLE SALES-CANDY")</f>
        <v xml:space="preserve">          4133 - NON-TAXABLE SALES-CANDY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--80.71</f>
        <v>80.709999999999994</v>
      </c>
      <c r="U33" s="3"/>
      <c r="V33" s="20"/>
      <c r="W33" s="3"/>
      <c r="X33" s="3">
        <f t="shared" si="2"/>
        <v>-80.709999999999994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","4134"," - ","NON-TAXABLE SALES-SODA")</f>
        <v xml:space="preserve">          4134 - NON-TAXABLE SALES-SODA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0</f>
        <v>0</v>
      </c>
      <c r="Q34" s="3"/>
      <c r="R34" s="20"/>
      <c r="S34" s="3"/>
      <c r="T34" s="3">
        <f>--45.53</f>
        <v>45.53</v>
      </c>
      <c r="U34" s="3"/>
      <c r="V34" s="20"/>
      <c r="W34" s="3"/>
      <c r="X34" s="3">
        <f t="shared" si="2"/>
        <v>-45.53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","4137"," - ","NON-TAXABLE SALES-WATER")</f>
        <v xml:space="preserve">          4137 - NON-TAXABLE SALES-WATER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--68.25</f>
        <v>68.25</v>
      </c>
      <c r="U35" s="3"/>
      <c r="V35" s="20"/>
      <c r="W35" s="3"/>
      <c r="X35" s="3">
        <f t="shared" si="2"/>
        <v>-68.25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","4140"," - ","NON-TAXABLE SALES-LOGO CLOTHIN")</f>
        <v xml:space="preserve">          4140 - NON-TAXABLE SALES-LOGO CLOTHIN</v>
      </c>
      <c r="C36" s="12"/>
      <c r="D36" s="3">
        <f>0</f>
        <v>0</v>
      </c>
      <c r="E36" s="3"/>
      <c r="F36" s="20"/>
      <c r="G36" s="3"/>
      <c r="H36" s="3">
        <f>--16626.41</f>
        <v>16626.41</v>
      </c>
      <c r="I36" s="3"/>
      <c r="J36" s="20"/>
      <c r="K36" s="3"/>
      <c r="L36" s="3">
        <f t="shared" si="0"/>
        <v>-16626.41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--131751.69</f>
        <v>131751.69</v>
      </c>
      <c r="U36" s="3"/>
      <c r="V36" s="20"/>
      <c r="W36" s="3"/>
      <c r="X36" s="3">
        <f t="shared" si="2"/>
        <v>-131751.69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","4141"," - ","NON-TAXABLE SALES-LOGO GIFTS")</f>
        <v xml:space="preserve">          4141 - NON-TAXABLE SALES-LOGO GIFTS</v>
      </c>
      <c r="C37" s="12"/>
      <c r="D37" s="3">
        <f>0</f>
        <v>0</v>
      </c>
      <c r="E37" s="3"/>
      <c r="F37" s="20"/>
      <c r="G37" s="3"/>
      <c r="H37" s="3">
        <f>--1055.22</f>
        <v>1055.22</v>
      </c>
      <c r="I37" s="3"/>
      <c r="J37" s="20"/>
      <c r="K37" s="3"/>
      <c r="L37" s="3">
        <f t="shared" si="0"/>
        <v>-1055.22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--8289.6</f>
        <v>8289.6</v>
      </c>
      <c r="U37" s="3"/>
      <c r="V37" s="20"/>
      <c r="W37" s="3"/>
      <c r="X37" s="3">
        <f t="shared" si="2"/>
        <v>-8289.6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","4142"," - ","NON-TAXABLE SALES-EVERYDAY GIF")</f>
        <v xml:space="preserve">          4142 - NON-TAXABLE SALES-EVERYDAY GIF</v>
      </c>
      <c r="C38" s="12"/>
      <c r="D38" s="3">
        <f>0</f>
        <v>0</v>
      </c>
      <c r="E38" s="3"/>
      <c r="F38" s="20"/>
      <c r="G38" s="3"/>
      <c r="H38" s="3">
        <f>--16.9</f>
        <v>16.899999999999999</v>
      </c>
      <c r="I38" s="3"/>
      <c r="J38" s="20"/>
      <c r="K38" s="3"/>
      <c r="L38" s="3">
        <f t="shared" si="0"/>
        <v>-16.899999999999999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--1170.78</f>
        <v>1170.78</v>
      </c>
      <c r="U38" s="3"/>
      <c r="V38" s="20"/>
      <c r="W38" s="3"/>
      <c r="X38" s="3">
        <f t="shared" si="2"/>
        <v>-1170.78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","4143"," - ","NON-TAXABLE SALES-CARDS")</f>
        <v xml:space="preserve">          4143 - NON-TAXABLE SALES-CARDS</v>
      </c>
      <c r="C39" s="12"/>
      <c r="D39" s="3">
        <f>0</f>
        <v>0</v>
      </c>
      <c r="E39" s="3"/>
      <c r="F39" s="20"/>
      <c r="G39" s="3"/>
      <c r="H39" s="3">
        <f>--261.82</f>
        <v>261.82</v>
      </c>
      <c r="I39" s="3"/>
      <c r="J39" s="20"/>
      <c r="K39" s="3"/>
      <c r="L39" s="3">
        <f t="shared" si="0"/>
        <v>-261.82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--2381.48</f>
        <v>2381.48</v>
      </c>
      <c r="U39" s="3"/>
      <c r="V39" s="20"/>
      <c r="W39" s="3"/>
      <c r="X39" s="3">
        <f t="shared" si="2"/>
        <v>-2381.48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","4144"," - ","NON-TAXABLE SALES-ACCESSORIES")</f>
        <v xml:space="preserve">          4144 - NON-TAXABLE SALES-ACCESSORIES</v>
      </c>
      <c r="C40" s="12"/>
      <c r="D40" s="3">
        <f>0</f>
        <v>0</v>
      </c>
      <c r="E40" s="3"/>
      <c r="F40" s="20"/>
      <c r="G40" s="3"/>
      <c r="H40" s="3">
        <f>--29.9</f>
        <v>29.9</v>
      </c>
      <c r="I40" s="3"/>
      <c r="J40" s="20"/>
      <c r="K40" s="3"/>
      <c r="L40" s="3">
        <f t="shared" si="0"/>
        <v>-29.9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--679.25</f>
        <v>679.25</v>
      </c>
      <c r="U40" s="3"/>
      <c r="V40" s="20"/>
      <c r="W40" s="3"/>
      <c r="X40" s="3">
        <f t="shared" si="2"/>
        <v>-679.25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","4145"," - ","NON-TAXABLE SALES-SPECIAL ORDE")</f>
        <v xml:space="preserve">          4145 - NON-TAXABLE SALES-SPECIAL ORDE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--53716.09</f>
        <v>53716.09</v>
      </c>
      <c r="U41" s="3"/>
      <c r="V41" s="20"/>
      <c r="W41" s="3"/>
      <c r="X41" s="3">
        <f t="shared" si="2"/>
        <v>-53716.09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","4200"," - ","TAXABLE RETURNS")</f>
        <v xml:space="preserve">          4200 - TAXABLE RETURNS</v>
      </c>
      <c r="C42" s="12"/>
      <c r="D42" s="3">
        <f>-15213.21</f>
        <v>-15213.21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-15213.21</v>
      </c>
      <c r="M42" s="3"/>
      <c r="N42" s="20">
        <f t="shared" si="1"/>
        <v>0</v>
      </c>
      <c r="O42" s="12"/>
      <c r="P42" s="3">
        <f>-95206.98</f>
        <v>-95206.98</v>
      </c>
      <c r="Q42" s="3"/>
      <c r="R42" s="20"/>
      <c r="S42" s="3"/>
      <c r="T42" s="3">
        <f>0</f>
        <v>0</v>
      </c>
      <c r="U42" s="3"/>
      <c r="V42" s="20"/>
      <c r="W42" s="3"/>
      <c r="X42" s="3">
        <f t="shared" si="2"/>
        <v>-95206.98</v>
      </c>
      <c r="Y42" s="3"/>
      <c r="Z42" s="20">
        <f t="shared" si="3"/>
        <v>0</v>
      </c>
    </row>
    <row r="43" spans="1:26" s="69" customFormat="1" ht="15" hidden="1" customHeight="1" outlineLevel="1" x14ac:dyDescent="0.3">
      <c r="A43" s="42"/>
      <c r="B43" s="12" t="str">
        <f>CONCATENATE("          ","4226"," - ","SALES RETURN TAXABLE-WRITING I")</f>
        <v xml:space="preserve">          4226 - SALES RETURN TAXABLE-WRITING I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-34.23</f>
        <v>-34.229999999999997</v>
      </c>
      <c r="U43" s="3"/>
      <c r="V43" s="20"/>
      <c r="W43" s="3"/>
      <c r="X43" s="3">
        <f t="shared" si="2"/>
        <v>34.229999999999997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","4227"," - ","SALES RETURN TAXABLE-SCHOOL SU")</f>
        <v xml:space="preserve">          4227 - SALES RETURN TAXABLE-SCHOOL SU</v>
      </c>
      <c r="C44" s="12"/>
      <c r="D44" s="3">
        <f>0</f>
        <v>0</v>
      </c>
      <c r="E44" s="3"/>
      <c r="F44" s="20"/>
      <c r="G44" s="3"/>
      <c r="H44" s="3">
        <f>-64.39</f>
        <v>-64.39</v>
      </c>
      <c r="I44" s="3"/>
      <c r="J44" s="20"/>
      <c r="K44" s="3"/>
      <c r="L44" s="3">
        <f t="shared" si="0"/>
        <v>64.39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-846.12</f>
        <v>-846.12</v>
      </c>
      <c r="U44" s="3"/>
      <c r="V44" s="20"/>
      <c r="W44" s="3"/>
      <c r="X44" s="3">
        <f t="shared" si="2"/>
        <v>846.12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","4228"," - ","SALES RETURN TAXABLE-ART/TECH")</f>
        <v xml:space="preserve">          4228 - SALES RETURN TAXABLE-ART/TECH</v>
      </c>
      <c r="C45" s="12"/>
      <c r="D45" s="3">
        <f>0</f>
        <v>0</v>
      </c>
      <c r="E45" s="3"/>
      <c r="F45" s="20"/>
      <c r="G45" s="3"/>
      <c r="H45" s="3">
        <f>-98.38</f>
        <v>-98.38</v>
      </c>
      <c r="I45" s="3"/>
      <c r="J45" s="20"/>
      <c r="K45" s="3"/>
      <c r="L45" s="3">
        <f t="shared" si="0"/>
        <v>98.38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-12837.62</f>
        <v>-12837.62</v>
      </c>
      <c r="U45" s="3"/>
      <c r="V45" s="20"/>
      <c r="W45" s="3"/>
      <c r="X45" s="3">
        <f t="shared" si="2"/>
        <v>12837.62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","4240"," - ","SALES RETURN TAXABLE-LOGO CLOT")</f>
        <v xml:space="preserve">          4240 - SALES RETURN TAXABLE-LOGO CLOT</v>
      </c>
      <c r="C46" s="12"/>
      <c r="D46" s="3">
        <f>0</f>
        <v>0</v>
      </c>
      <c r="E46" s="3"/>
      <c r="F46" s="20"/>
      <c r="G46" s="3"/>
      <c r="H46" s="3">
        <f>-3924.84</f>
        <v>-3924.84</v>
      </c>
      <c r="I46" s="3"/>
      <c r="J46" s="20"/>
      <c r="K46" s="3"/>
      <c r="L46" s="3">
        <f t="shared" si="0"/>
        <v>3924.84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-35054.35</f>
        <v>-35054.35</v>
      </c>
      <c r="U46" s="3"/>
      <c r="V46" s="20"/>
      <c r="W46" s="3"/>
      <c r="X46" s="3">
        <f t="shared" si="2"/>
        <v>35054.35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","4241"," - ","SALES RETURN TAXABLE-LOGO GIFT")</f>
        <v xml:space="preserve">          4241 - SALES RETURN TAXABLE-LOGO GIFT</v>
      </c>
      <c r="C47" s="12"/>
      <c r="D47" s="3">
        <f>0</f>
        <v>0</v>
      </c>
      <c r="E47" s="3"/>
      <c r="F47" s="20"/>
      <c r="G47" s="3"/>
      <c r="H47" s="3">
        <f>-1214.87</f>
        <v>-1214.8699999999999</v>
      </c>
      <c r="I47" s="3"/>
      <c r="J47" s="20"/>
      <c r="K47" s="3"/>
      <c r="L47" s="3">
        <f t="shared" si="0"/>
        <v>1214.8699999999999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-5256.29</f>
        <v>-5256.29</v>
      </c>
      <c r="U47" s="3"/>
      <c r="V47" s="20"/>
      <c r="W47" s="3"/>
      <c r="X47" s="3">
        <f t="shared" si="2"/>
        <v>5256.29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","4242"," - ","SALES RETURN TAXABLE-EVERYDAY")</f>
        <v xml:space="preserve">          4242 - SALES RETURN TAXABLE-EVERYDAY</v>
      </c>
      <c r="C48" s="12"/>
      <c r="D48" s="3">
        <f>0</f>
        <v>0</v>
      </c>
      <c r="E48" s="3"/>
      <c r="F48" s="20"/>
      <c r="G48" s="3"/>
      <c r="H48" s="3">
        <f>-565.08</f>
        <v>-565.08000000000004</v>
      </c>
      <c r="I48" s="3"/>
      <c r="J48" s="20"/>
      <c r="K48" s="3"/>
      <c r="L48" s="3">
        <f t="shared" si="0"/>
        <v>565.08000000000004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-2303.82</f>
        <v>-2303.8200000000002</v>
      </c>
      <c r="U48" s="3"/>
      <c r="V48" s="20"/>
      <c r="W48" s="3"/>
      <c r="X48" s="3">
        <f t="shared" si="2"/>
        <v>2303.8200000000002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","4243"," - ","SALES RETURN TAXABLE-CARDS")</f>
        <v xml:space="preserve">          4243 - SALES RETURN TAXABLE-CARDS</v>
      </c>
      <c r="C49" s="12"/>
      <c r="D49" s="3">
        <f>0</f>
        <v>0</v>
      </c>
      <c r="E49" s="3"/>
      <c r="F49" s="20"/>
      <c r="G49" s="3"/>
      <c r="H49" s="3">
        <f>-572.63</f>
        <v>-572.63</v>
      </c>
      <c r="I49" s="3"/>
      <c r="J49" s="20"/>
      <c r="K49" s="3"/>
      <c r="L49" s="3">
        <f t="shared" si="0"/>
        <v>572.63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-5942.23</f>
        <v>-5942.23</v>
      </c>
      <c r="U49" s="3"/>
      <c r="V49" s="20"/>
      <c r="W49" s="3"/>
      <c r="X49" s="3">
        <f t="shared" si="2"/>
        <v>5942.23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","4244"," - ","SALES RETURN TAXABLE-ACCESSORI")</f>
        <v xml:space="preserve">          4244 - SALES RETURN TAXABLE-ACCESSORI</v>
      </c>
      <c r="C50" s="12"/>
      <c r="D50" s="3">
        <f>0</f>
        <v>0</v>
      </c>
      <c r="E50" s="3"/>
      <c r="F50" s="20"/>
      <c r="G50" s="3"/>
      <c r="H50" s="3">
        <f>-240.42</f>
        <v>-240.42</v>
      </c>
      <c r="I50" s="3"/>
      <c r="J50" s="20"/>
      <c r="K50" s="3"/>
      <c r="L50" s="3">
        <f t="shared" si="0"/>
        <v>240.42</v>
      </c>
      <c r="M50" s="3"/>
      <c r="N50" s="20">
        <f t="shared" si="1"/>
        <v>-1</v>
      </c>
      <c r="O50" s="12"/>
      <c r="P50" s="3">
        <f>0</f>
        <v>0</v>
      </c>
      <c r="Q50" s="3"/>
      <c r="R50" s="20"/>
      <c r="S50" s="3"/>
      <c r="T50" s="3">
        <f>-1235.26</f>
        <v>-1235.26</v>
      </c>
      <c r="U50" s="3"/>
      <c r="V50" s="20"/>
      <c r="W50" s="3"/>
      <c r="X50" s="3">
        <f t="shared" si="2"/>
        <v>1235.26</v>
      </c>
      <c r="Y50" s="3"/>
      <c r="Z50" s="20">
        <f t="shared" si="3"/>
        <v>-1</v>
      </c>
    </row>
    <row r="51" spans="1:26" s="69" customFormat="1" ht="15" hidden="1" customHeight="1" outlineLevel="1" x14ac:dyDescent="0.3">
      <c r="A51" s="42"/>
      <c r="B51" s="12" t="str">
        <f>CONCATENATE("          ","4245"," - ","SALES RETURN TAXABLE-SPECIAL O")</f>
        <v xml:space="preserve">          4245 - SALES RETURN TAXABLE-SPECIAL O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0"/>
        <v>0</v>
      </c>
      <c r="M51" s="3"/>
      <c r="N51" s="20">
        <f t="shared" si="1"/>
        <v>0</v>
      </c>
      <c r="O51" s="12"/>
      <c r="P51" s="3">
        <f>0</f>
        <v>0</v>
      </c>
      <c r="Q51" s="3"/>
      <c r="R51" s="20"/>
      <c r="S51" s="3"/>
      <c r="T51" s="3">
        <f>-11353.59</f>
        <v>-11353.59</v>
      </c>
      <c r="U51" s="3"/>
      <c r="V51" s="20"/>
      <c r="W51" s="3"/>
      <c r="X51" s="3">
        <f t="shared" si="2"/>
        <v>11353.59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","4300"," - ","NON-TAX RETURNS")</f>
        <v xml:space="preserve">          4300 - NON-TAX RETURNS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0"/>
        <v>0</v>
      </c>
      <c r="M52" s="3"/>
      <c r="N52" s="20">
        <f t="shared" si="1"/>
        <v>0</v>
      </c>
      <c r="O52" s="12"/>
      <c r="P52" s="3">
        <f>-1898.53</f>
        <v>-1898.53</v>
      </c>
      <c r="Q52" s="3"/>
      <c r="R52" s="20"/>
      <c r="S52" s="3"/>
      <c r="T52" s="3">
        <f>0</f>
        <v>0</v>
      </c>
      <c r="U52" s="3"/>
      <c r="V52" s="20"/>
      <c r="W52" s="3"/>
      <c r="X52" s="3">
        <f t="shared" si="2"/>
        <v>-1898.53</v>
      </c>
      <c r="Y52" s="3"/>
      <c r="Z52" s="20">
        <f t="shared" si="3"/>
        <v>0</v>
      </c>
    </row>
    <row r="53" spans="1:26" s="69" customFormat="1" ht="15" hidden="1" customHeight="1" outlineLevel="1" x14ac:dyDescent="0.3">
      <c r="A53" s="42"/>
      <c r="B53" s="12" t="str">
        <f>CONCATENATE("          ","4340"," - ","SALES RETURN NON TAXABLE-LOGO")</f>
        <v xml:space="preserve">          4340 - SALES RETURN NON TAXABLE-LOGO</v>
      </c>
      <c r="C53" s="12"/>
      <c r="D53" s="3">
        <f>0</f>
        <v>0</v>
      </c>
      <c r="E53" s="3"/>
      <c r="F53" s="20"/>
      <c r="G53" s="3"/>
      <c r="H53" s="3">
        <f>-350.55</f>
        <v>-350.55</v>
      </c>
      <c r="I53" s="3"/>
      <c r="J53" s="20"/>
      <c r="K53" s="3"/>
      <c r="L53" s="3">
        <f t="shared" si="0"/>
        <v>350.55</v>
      </c>
      <c r="M53" s="3"/>
      <c r="N53" s="20">
        <f t="shared" si="1"/>
        <v>-1</v>
      </c>
      <c r="O53" s="12"/>
      <c r="P53" s="3">
        <f>0</f>
        <v>0</v>
      </c>
      <c r="Q53" s="3"/>
      <c r="R53" s="20"/>
      <c r="S53" s="3"/>
      <c r="T53" s="3">
        <f>-2643.39</f>
        <v>-2643.39</v>
      </c>
      <c r="U53" s="3"/>
      <c r="V53" s="20"/>
      <c r="W53" s="3"/>
      <c r="X53" s="3">
        <f t="shared" si="2"/>
        <v>2643.39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","4341"," - ","SALES RETURN NON TAXABLE-LOGO")</f>
        <v xml:space="preserve">          4341 - SALES RETURN NON TAXABLE-LOGO</v>
      </c>
      <c r="C54" s="12"/>
      <c r="D54" s="3">
        <f>0</f>
        <v>0</v>
      </c>
      <c r="E54" s="3"/>
      <c r="F54" s="20"/>
      <c r="G54" s="3"/>
      <c r="H54" s="3">
        <f>-29.9</f>
        <v>-29.9</v>
      </c>
      <c r="I54" s="3"/>
      <c r="J54" s="20"/>
      <c r="K54" s="3"/>
      <c r="L54" s="3">
        <f t="shared" si="0"/>
        <v>29.9</v>
      </c>
      <c r="M54" s="3"/>
      <c r="N54" s="20">
        <f t="shared" si="1"/>
        <v>-1</v>
      </c>
      <c r="O54" s="12"/>
      <c r="P54" s="3">
        <f>0</f>
        <v>0</v>
      </c>
      <c r="Q54" s="3"/>
      <c r="R54" s="20"/>
      <c r="S54" s="3"/>
      <c r="T54" s="3">
        <f>-381.34</f>
        <v>-381.34</v>
      </c>
      <c r="U54" s="3"/>
      <c r="V54" s="20"/>
      <c r="W54" s="3"/>
      <c r="X54" s="3">
        <f t="shared" si="2"/>
        <v>381.34</v>
      </c>
      <c r="Y54" s="3"/>
      <c r="Z54" s="20">
        <f t="shared" si="3"/>
        <v>-1</v>
      </c>
    </row>
    <row r="55" spans="1:26" s="69" customFormat="1" ht="15" hidden="1" customHeight="1" outlineLevel="1" x14ac:dyDescent="0.3">
      <c r="A55" s="42"/>
      <c r="B55" s="12" t="str">
        <f>CONCATENATE("          ","4342"," - ","SALES RETURN NON TAXABLE-EVERY")</f>
        <v xml:space="preserve">          4342 - SALES RETURN NON TAXABLE-EVERY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0"/>
        <v>0</v>
      </c>
      <c r="M55" s="3"/>
      <c r="N55" s="20">
        <f t="shared" si="1"/>
        <v>0</v>
      </c>
      <c r="O55" s="12"/>
      <c r="P55" s="3">
        <f>0</f>
        <v>0</v>
      </c>
      <c r="Q55" s="3"/>
      <c r="R55" s="20"/>
      <c r="S55" s="3"/>
      <c r="T55" s="3">
        <f>-118.7</f>
        <v>-118.7</v>
      </c>
      <c r="U55" s="3"/>
      <c r="V55" s="20"/>
      <c r="W55" s="3"/>
      <c r="X55" s="3">
        <f t="shared" si="2"/>
        <v>118.7</v>
      </c>
      <c r="Y55" s="3"/>
      <c r="Z55" s="20">
        <f t="shared" si="3"/>
        <v>-1</v>
      </c>
    </row>
    <row r="56" spans="1:26" s="69" customFormat="1" ht="15" hidden="1" customHeight="1" outlineLevel="1" x14ac:dyDescent="0.3">
      <c r="A56" s="42"/>
      <c r="B56" s="12" t="str">
        <f>CONCATENATE("          ","4500"," - ","SALES DISCOUNT")</f>
        <v xml:space="preserve">          4500 - SALES DISCOUNT</v>
      </c>
      <c r="C56" s="12"/>
      <c r="D56" s="3">
        <f>-9143.8</f>
        <v>-9143.7999999999993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0"/>
        <v>-9143.7999999999993</v>
      </c>
      <c r="M56" s="3"/>
      <c r="N56" s="20">
        <f t="shared" si="1"/>
        <v>0</v>
      </c>
      <c r="O56" s="12"/>
      <c r="P56" s="3">
        <f>-84478.18</f>
        <v>-84478.18</v>
      </c>
      <c r="Q56" s="3"/>
      <c r="R56" s="20"/>
      <c r="S56" s="3"/>
      <c r="T56" s="3">
        <f>0</f>
        <v>0</v>
      </c>
      <c r="U56" s="3"/>
      <c r="V56" s="20"/>
      <c r="W56" s="3"/>
      <c r="X56" s="3">
        <f t="shared" si="2"/>
        <v>-84478.18</v>
      </c>
      <c r="Y56" s="3"/>
      <c r="Z56" s="20">
        <f t="shared" si="3"/>
        <v>0</v>
      </c>
    </row>
    <row r="57" spans="1:26" ht="15" customHeight="1" x14ac:dyDescent="0.3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collapsed="1" x14ac:dyDescent="0.3">
      <c r="A58" s="11"/>
      <c r="B58" s="28" t="s">
        <v>287</v>
      </c>
      <c r="C58" s="11"/>
      <c r="D58" s="5">
        <f>SUM(OSRRefD16x_0)</f>
        <v>242840.08000000002</v>
      </c>
      <c r="E58" s="5"/>
      <c r="F58" s="13">
        <f t="shared" ref="F58:F84" si="4">IF(D$12=0,0,D58/D$12)</f>
        <v>0.44011188233365139</v>
      </c>
      <c r="G58" s="5"/>
      <c r="H58" s="5">
        <f>SUM(OSRRefH16x_0)</f>
        <v>88705.48000000001</v>
      </c>
      <c r="I58" s="5"/>
      <c r="J58" s="13">
        <f t="shared" ref="J58:J84" si="5">IF(H$12=0,0,H58/H$12)</f>
        <v>0.53195818743117429</v>
      </c>
      <c r="K58" s="5"/>
      <c r="L58" s="5">
        <f t="shared" ref="L58:L84" si="6">+D58-H58</f>
        <v>154134.6</v>
      </c>
      <c r="M58" s="5"/>
      <c r="N58" s="13">
        <f t="shared" ref="N58:N84" si="7">IF(H58=0,0,L58/H58)</f>
        <v>1.7375995259819348</v>
      </c>
      <c r="O58" s="11"/>
      <c r="P58" s="5">
        <f>SUM(OSRRefP16x_0)</f>
        <v>1665128.0600000003</v>
      </c>
      <c r="Q58" s="5"/>
      <c r="R58" s="13">
        <f t="shared" ref="R58:R84" si="8">IF(P$12=0,0,P58/P$12)</f>
        <v>0.4795553098731607</v>
      </c>
      <c r="S58" s="5"/>
      <c r="T58" s="5">
        <f>SUM(OSRRefT16x_0)</f>
        <v>847725.04</v>
      </c>
      <c r="U58" s="5"/>
      <c r="V58" s="13">
        <f t="shared" ref="V58:V84" si="9">IF(T$12=0,0,T58/T$12)</f>
        <v>0.56545432025456854</v>
      </c>
      <c r="W58" s="5"/>
      <c r="X58" s="5">
        <f t="shared" ref="X58:X84" si="10">+P58-T58</f>
        <v>817403.02000000025</v>
      </c>
      <c r="Y58" s="5"/>
      <c r="Z58" s="13">
        <f t="shared" ref="Z58:Z84" si="11">IF(T58=0,0,X58/T58)</f>
        <v>0.96423130311215088</v>
      </c>
    </row>
    <row r="59" spans="1:26" s="69" customFormat="1" ht="15" hidden="1" customHeight="1" outlineLevel="1" x14ac:dyDescent="0.3">
      <c r="A59" s="42"/>
      <c r="B59" s="12" t="str">
        <f>CONCATENATE("          ","5000"," - ","PURCHASES @ COST")</f>
        <v xml:space="preserve">          5000 - PURCHASES @ COST</v>
      </c>
      <c r="C59" s="12"/>
      <c r="D59" s="3">
        <v>387197.84</v>
      </c>
      <c r="E59" s="3"/>
      <c r="F59" s="20">
        <f t="shared" si="4"/>
        <v>0.70173906299950151</v>
      </c>
      <c r="G59" s="3"/>
      <c r="H59" s="3"/>
      <c r="I59" s="3"/>
      <c r="J59" s="20">
        <f t="shared" si="5"/>
        <v>0</v>
      </c>
      <c r="K59" s="3"/>
      <c r="L59" s="3">
        <f t="shared" si="6"/>
        <v>387197.84</v>
      </c>
      <c r="M59" s="3"/>
      <c r="N59" s="20">
        <f t="shared" si="7"/>
        <v>0</v>
      </c>
      <c r="O59" s="12"/>
      <c r="P59" s="3">
        <v>1916618.77</v>
      </c>
      <c r="Q59" s="3"/>
      <c r="R59" s="20">
        <f t="shared" si="8"/>
        <v>0.55198439701752788</v>
      </c>
      <c r="S59" s="3"/>
      <c r="T59" s="3"/>
      <c r="U59" s="3"/>
      <c r="V59" s="20">
        <f t="shared" si="9"/>
        <v>0</v>
      </c>
      <c r="W59" s="3"/>
      <c r="X59" s="3">
        <f t="shared" si="10"/>
        <v>1916618.77</v>
      </c>
      <c r="Y59" s="3"/>
      <c r="Z59" s="20">
        <f t="shared" si="11"/>
        <v>0</v>
      </c>
    </row>
    <row r="60" spans="1:26" s="69" customFormat="1" ht="15" hidden="1" customHeight="1" outlineLevel="1" x14ac:dyDescent="0.3">
      <c r="A60" s="42"/>
      <c r="B60" s="12" t="str">
        <f>CONCATENATE("          ","5025"," - ","PURCHASES @ COST-TEST FORMS")</f>
        <v xml:space="preserve">          5025 - PURCHASES @ COST-TEST FORMS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/>
      <c r="Q60" s="3"/>
      <c r="R60" s="20">
        <f t="shared" si="8"/>
        <v>0</v>
      </c>
      <c r="S60" s="3"/>
      <c r="T60" s="3">
        <v>599.29</v>
      </c>
      <c r="U60" s="3"/>
      <c r="V60" s="20">
        <f t="shared" si="9"/>
        <v>3.997417837101525E-4</v>
      </c>
      <c r="W60" s="3"/>
      <c r="X60" s="3">
        <f t="shared" si="10"/>
        <v>-599.29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","5026"," - ","PURCHASES @ COST-WRITING INSTR")</f>
        <v xml:space="preserve">          5026 - PURCHASES @ COST-WRITING INSTR</v>
      </c>
      <c r="C61" s="12"/>
      <c r="D61" s="3"/>
      <c r="E61" s="3"/>
      <c r="F61" s="20">
        <f t="shared" si="4"/>
        <v>0</v>
      </c>
      <c r="G61" s="3"/>
      <c r="H61" s="3">
        <v>209.64</v>
      </c>
      <c r="I61" s="3"/>
      <c r="J61" s="20">
        <f t="shared" si="5"/>
        <v>1.257190811808598E-3</v>
      </c>
      <c r="K61" s="3"/>
      <c r="L61" s="3">
        <f t="shared" si="6"/>
        <v>-209.64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584.54999999999995</v>
      </c>
      <c r="U61" s="3"/>
      <c r="V61" s="20">
        <f t="shared" si="9"/>
        <v>3.8990982607380335E-4</v>
      </c>
      <c r="W61" s="3"/>
      <c r="X61" s="3">
        <f t="shared" si="10"/>
        <v>-584.54999999999995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","5027"," - ","PURCHASES @ COST-SCHOOL SUPPLI")</f>
        <v xml:space="preserve">          5027 - PURCHASES @ COST-SCHOOL SUPPLI</v>
      </c>
      <c r="C62" s="12"/>
      <c r="D62" s="3"/>
      <c r="E62" s="3"/>
      <c r="F62" s="20">
        <f t="shared" si="4"/>
        <v>0</v>
      </c>
      <c r="G62" s="3"/>
      <c r="H62" s="3">
        <v>2824.53</v>
      </c>
      <c r="I62" s="3"/>
      <c r="J62" s="20">
        <f t="shared" si="5"/>
        <v>1.6938433331796128E-2</v>
      </c>
      <c r="K62" s="3"/>
      <c r="L62" s="3">
        <f t="shared" si="6"/>
        <v>-2824.53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21895.88</v>
      </c>
      <c r="U62" s="3"/>
      <c r="V62" s="20">
        <f t="shared" si="9"/>
        <v>1.4605112928804844E-2</v>
      </c>
      <c r="W62" s="3"/>
      <c r="X62" s="3">
        <f t="shared" si="10"/>
        <v>-21895.88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","5028"," - ","PURCHASES @ COST-ART/TECH")</f>
        <v xml:space="preserve">          5028 - PURCHASES @ COST-ART/TECH</v>
      </c>
      <c r="C63" s="12"/>
      <c r="D63" s="3"/>
      <c r="E63" s="3"/>
      <c r="F63" s="20">
        <f t="shared" si="4"/>
        <v>0</v>
      </c>
      <c r="G63" s="3"/>
      <c r="H63" s="3">
        <v>3443.78</v>
      </c>
      <c r="I63" s="3"/>
      <c r="J63" s="20">
        <f t="shared" si="5"/>
        <v>2.0652015712126572E-2</v>
      </c>
      <c r="K63" s="3"/>
      <c r="L63" s="3">
        <f t="shared" si="6"/>
        <v>-3443.78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45635.360000000001</v>
      </c>
      <c r="U63" s="3"/>
      <c r="V63" s="20">
        <f t="shared" si="9"/>
        <v>3.043995429033514E-2</v>
      </c>
      <c r="W63" s="3"/>
      <c r="X63" s="3">
        <f t="shared" si="10"/>
        <v>-45635.360000000001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","5031"," - ","PURCHASES @ COST-FOOD")</f>
        <v xml:space="preserve">          5031 - PURCHASES @ COST-FOOD</v>
      </c>
      <c r="C64" s="12"/>
      <c r="D64" s="3"/>
      <c r="E64" s="3"/>
      <c r="F64" s="20">
        <f t="shared" si="4"/>
        <v>0</v>
      </c>
      <c r="G64" s="3"/>
      <c r="H64" s="3"/>
      <c r="I64" s="3"/>
      <c r="J64" s="20">
        <f t="shared" si="5"/>
        <v>0</v>
      </c>
      <c r="K64" s="3"/>
      <c r="L64" s="3">
        <f t="shared" si="6"/>
        <v>0</v>
      </c>
      <c r="M64" s="3"/>
      <c r="N64" s="20">
        <f t="shared" si="7"/>
        <v>0</v>
      </c>
      <c r="O64" s="12"/>
      <c r="P64" s="3">
        <v>0</v>
      </c>
      <c r="Q64" s="3"/>
      <c r="R64" s="20">
        <f t="shared" si="8"/>
        <v>0</v>
      </c>
      <c r="S64" s="3"/>
      <c r="T64" s="3">
        <v>7785.72</v>
      </c>
      <c r="U64" s="3"/>
      <c r="V64" s="20">
        <f t="shared" si="9"/>
        <v>5.1932747088518222E-3</v>
      </c>
      <c r="W64" s="3"/>
      <c r="X64" s="3">
        <f t="shared" si="10"/>
        <v>-7785.72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","5040"," - ","PURCHASES @ COST-LOGO CLOTHING")</f>
        <v xml:space="preserve">          5040 - PURCHASES @ COST-LOGO CLOTHING</v>
      </c>
      <c r="C65" s="12"/>
      <c r="D65" s="3"/>
      <c r="E65" s="3"/>
      <c r="F65" s="20">
        <f t="shared" si="4"/>
        <v>0</v>
      </c>
      <c r="G65" s="3"/>
      <c r="H65" s="3">
        <v>45900.51</v>
      </c>
      <c r="I65" s="3"/>
      <c r="J65" s="20">
        <f t="shared" si="5"/>
        <v>0.275260920765735</v>
      </c>
      <c r="K65" s="3"/>
      <c r="L65" s="3">
        <f t="shared" si="6"/>
        <v>-45900.51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239871.6</v>
      </c>
      <c r="U65" s="3"/>
      <c r="V65" s="20">
        <f t="shared" si="9"/>
        <v>0.16000050267050714</v>
      </c>
      <c r="W65" s="3"/>
      <c r="X65" s="3">
        <f t="shared" si="10"/>
        <v>-239871.6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","5041"," - ","PURCHASES @ COST-LOGO GIFTS")</f>
        <v xml:space="preserve">          5041 - PURCHASES @ COST-LOGO GIFTS</v>
      </c>
      <c r="C66" s="12"/>
      <c r="D66" s="3"/>
      <c r="E66" s="3"/>
      <c r="F66" s="20">
        <f t="shared" si="4"/>
        <v>0</v>
      </c>
      <c r="G66" s="3"/>
      <c r="H66" s="3">
        <v>899.63</v>
      </c>
      <c r="I66" s="3"/>
      <c r="J66" s="20">
        <f t="shared" si="5"/>
        <v>5.3949941329296371E-3</v>
      </c>
      <c r="K66" s="3"/>
      <c r="L66" s="3">
        <f t="shared" si="6"/>
        <v>-899.63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68463.44</v>
      </c>
      <c r="U66" s="3"/>
      <c r="V66" s="20">
        <f t="shared" si="9"/>
        <v>4.5666868501948982E-2</v>
      </c>
      <c r="W66" s="3"/>
      <c r="X66" s="3">
        <f t="shared" si="10"/>
        <v>-68463.44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","5042"," - ","PURCHASES @ COST-EVERYDAY GIFT")</f>
        <v xml:space="preserve">          5042 - PURCHASES @ COST-EVERYDAY GIFT</v>
      </c>
      <c r="C67" s="12"/>
      <c r="D67" s="3"/>
      <c r="E67" s="3"/>
      <c r="F67" s="20">
        <f t="shared" si="4"/>
        <v>0</v>
      </c>
      <c r="G67" s="3"/>
      <c r="H67" s="3">
        <v>-270</v>
      </c>
      <c r="I67" s="3"/>
      <c r="J67" s="20">
        <f t="shared" si="5"/>
        <v>-1.6191638961473073E-3</v>
      </c>
      <c r="K67" s="3"/>
      <c r="L67" s="3">
        <f t="shared" si="6"/>
        <v>270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18748.18</v>
      </c>
      <c r="U67" s="3"/>
      <c r="V67" s="20">
        <f t="shared" si="9"/>
        <v>1.2505516385254229E-2</v>
      </c>
      <c r="W67" s="3"/>
      <c r="X67" s="3">
        <f t="shared" si="10"/>
        <v>-18748.18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","5043"," - ","PURCHASES @ COST-CARDS")</f>
        <v xml:space="preserve">          5043 - PURCHASES @ COST-CARDS</v>
      </c>
      <c r="C68" s="12"/>
      <c r="D68" s="3"/>
      <c r="E68" s="3"/>
      <c r="F68" s="20">
        <f t="shared" si="4"/>
        <v>0</v>
      </c>
      <c r="G68" s="3"/>
      <c r="H68" s="3"/>
      <c r="I68" s="3"/>
      <c r="J68" s="20">
        <f t="shared" si="5"/>
        <v>0</v>
      </c>
      <c r="K68" s="3"/>
      <c r="L68" s="3">
        <f t="shared" si="6"/>
        <v>0</v>
      </c>
      <c r="M68" s="3"/>
      <c r="N68" s="20">
        <f t="shared" si="7"/>
        <v>0</v>
      </c>
      <c r="O68" s="12"/>
      <c r="P68" s="3">
        <v>0</v>
      </c>
      <c r="Q68" s="3"/>
      <c r="R68" s="20">
        <f t="shared" si="8"/>
        <v>0</v>
      </c>
      <c r="S68" s="3"/>
      <c r="T68" s="3">
        <v>55364.33</v>
      </c>
      <c r="U68" s="3"/>
      <c r="V68" s="20">
        <f t="shared" si="9"/>
        <v>3.6929426534928846E-2</v>
      </c>
      <c r="W68" s="3"/>
      <c r="X68" s="3">
        <f t="shared" si="10"/>
        <v>-55364.33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","5044"," - ","PURCHASES @ COST-ACCESSORIES")</f>
        <v xml:space="preserve">          5044 - PURCHASES @ COST-ACCESSORIES</v>
      </c>
      <c r="C69" s="12"/>
      <c r="D69" s="3"/>
      <c r="E69" s="3"/>
      <c r="F69" s="20">
        <f t="shared" si="4"/>
        <v>0</v>
      </c>
      <c r="G69" s="3"/>
      <c r="H69" s="3"/>
      <c r="I69" s="3"/>
      <c r="J69" s="20">
        <f t="shared" si="5"/>
        <v>0</v>
      </c>
      <c r="K69" s="3"/>
      <c r="L69" s="3">
        <f t="shared" si="6"/>
        <v>0</v>
      </c>
      <c r="M69" s="3"/>
      <c r="N69" s="20">
        <f t="shared" si="7"/>
        <v>0</v>
      </c>
      <c r="O69" s="12"/>
      <c r="P69" s="3">
        <v>0</v>
      </c>
      <c r="Q69" s="3"/>
      <c r="R69" s="20">
        <f t="shared" si="8"/>
        <v>0</v>
      </c>
      <c r="S69" s="3"/>
      <c r="T69" s="3">
        <v>1064.83</v>
      </c>
      <c r="U69" s="3"/>
      <c r="V69" s="20">
        <f t="shared" si="9"/>
        <v>7.1026889076754437E-4</v>
      </c>
      <c r="W69" s="3"/>
      <c r="X69" s="3">
        <f t="shared" si="10"/>
        <v>-1064.83</v>
      </c>
      <c r="Y69" s="3"/>
      <c r="Z69" s="20">
        <f t="shared" si="11"/>
        <v>-1</v>
      </c>
    </row>
    <row r="70" spans="1:26" s="69" customFormat="1" ht="15" hidden="1" customHeight="1" outlineLevel="1" x14ac:dyDescent="0.3">
      <c r="A70" s="42"/>
      <c r="B70" s="12" t="str">
        <f>CONCATENATE("          ","5045"," - ","PURCHASES @ COST-SPECIAL ORDER")</f>
        <v xml:space="preserve">          5045 - PURCHASES @ COST-SPECIAL ORDER</v>
      </c>
      <c r="C70" s="12"/>
      <c r="D70" s="3"/>
      <c r="E70" s="3"/>
      <c r="F70" s="20">
        <f t="shared" si="4"/>
        <v>0</v>
      </c>
      <c r="G70" s="3"/>
      <c r="H70" s="3">
        <v>13853.18</v>
      </c>
      <c r="I70" s="3"/>
      <c r="J70" s="20">
        <f t="shared" si="5"/>
        <v>8.307618112159243E-2</v>
      </c>
      <c r="K70" s="3"/>
      <c r="L70" s="3">
        <f t="shared" si="6"/>
        <v>-13853.18</v>
      </c>
      <c r="M70" s="3"/>
      <c r="N70" s="20">
        <f t="shared" si="7"/>
        <v>-1</v>
      </c>
      <c r="O70" s="12"/>
      <c r="P70" s="3">
        <v>0</v>
      </c>
      <c r="Q70" s="3"/>
      <c r="R70" s="20">
        <f t="shared" si="8"/>
        <v>0</v>
      </c>
      <c r="S70" s="3"/>
      <c r="T70" s="3">
        <v>109226.69</v>
      </c>
      <c r="U70" s="3"/>
      <c r="V70" s="20">
        <f t="shared" si="9"/>
        <v>7.2857000599636026E-2</v>
      </c>
      <c r="W70" s="3"/>
      <c r="X70" s="3">
        <f t="shared" si="10"/>
        <v>-109226.69</v>
      </c>
      <c r="Y70" s="3"/>
      <c r="Z70" s="20">
        <f t="shared" si="11"/>
        <v>-1</v>
      </c>
    </row>
    <row r="71" spans="1:26" s="69" customFormat="1" ht="15" hidden="1" customHeight="1" outlineLevel="1" x14ac:dyDescent="0.3">
      <c r="A71" s="42"/>
      <c r="B71" s="12" t="str">
        <f>CONCATENATE("          ","5086"," - ","PURCHASES @ COST-COMPUTER SUPP")</f>
        <v xml:space="preserve">          5086 - PURCHASES @ COST-COMPUTER SUPP</v>
      </c>
      <c r="C71" s="12"/>
      <c r="D71" s="3"/>
      <c r="E71" s="3"/>
      <c r="F71" s="20">
        <f t="shared" si="4"/>
        <v>0</v>
      </c>
      <c r="G71" s="3"/>
      <c r="H71" s="3"/>
      <c r="I71" s="3"/>
      <c r="J71" s="20">
        <f t="shared" si="5"/>
        <v>0</v>
      </c>
      <c r="K71" s="3"/>
      <c r="L71" s="3">
        <f t="shared" si="6"/>
        <v>0</v>
      </c>
      <c r="M71" s="3"/>
      <c r="N71" s="20">
        <f t="shared" si="7"/>
        <v>0</v>
      </c>
      <c r="O71" s="12"/>
      <c r="P71" s="3"/>
      <c r="Q71" s="3"/>
      <c r="R71" s="20">
        <f t="shared" si="8"/>
        <v>0</v>
      </c>
      <c r="S71" s="3"/>
      <c r="T71" s="3">
        <v>13.21</v>
      </c>
      <c r="U71" s="3"/>
      <c r="V71" s="20">
        <f t="shared" si="9"/>
        <v>8.8114084380034952E-6</v>
      </c>
      <c r="W71" s="3"/>
      <c r="X71" s="3">
        <f t="shared" si="10"/>
        <v>-13.21</v>
      </c>
      <c r="Y71" s="3"/>
      <c r="Z71" s="20">
        <f t="shared" si="11"/>
        <v>-1</v>
      </c>
    </row>
    <row r="72" spans="1:26" s="69" customFormat="1" ht="15" hidden="1" customHeight="1" outlineLevel="1" x14ac:dyDescent="0.3">
      <c r="A72" s="42"/>
      <c r="B72" s="12" t="str">
        <f>CONCATENATE("          ","5200"," - ","PURCHASES OFFSET")</f>
        <v xml:space="preserve">          5200 - PURCHASES OFFSET</v>
      </c>
      <c r="C72" s="12"/>
      <c r="D72" s="3">
        <v>-408485.69</v>
      </c>
      <c r="E72" s="3"/>
      <c r="F72" s="20">
        <f t="shared" si="4"/>
        <v>-0.74032015609721591</v>
      </c>
      <c r="G72" s="3"/>
      <c r="H72" s="3">
        <v>-68518.25</v>
      </c>
      <c r="I72" s="3"/>
      <c r="J72" s="20">
        <f t="shared" si="5"/>
        <v>-0.41089732084146385</v>
      </c>
      <c r="K72" s="3"/>
      <c r="L72" s="3">
        <f t="shared" si="6"/>
        <v>-339967.44</v>
      </c>
      <c r="M72" s="3"/>
      <c r="N72" s="20">
        <f t="shared" si="7"/>
        <v>4.9617064066872691</v>
      </c>
      <c r="O72" s="12"/>
      <c r="P72" s="3">
        <v>-1991233.13</v>
      </c>
      <c r="Q72" s="3"/>
      <c r="R72" s="20">
        <f t="shared" si="8"/>
        <v>-0.57347326228281414</v>
      </c>
      <c r="S72" s="3"/>
      <c r="T72" s="3">
        <v>-589734.79</v>
      </c>
      <c r="U72" s="3"/>
      <c r="V72" s="20">
        <f t="shared" si="9"/>
        <v>-0.39336821383726112</v>
      </c>
      <c r="W72" s="3"/>
      <c r="X72" s="3">
        <f t="shared" si="10"/>
        <v>-1401498.3399999999</v>
      </c>
      <c r="Y72" s="3"/>
      <c r="Z72" s="20">
        <f t="shared" si="11"/>
        <v>2.3764891672746655</v>
      </c>
    </row>
    <row r="73" spans="1:26" s="69" customFormat="1" ht="15" hidden="1" customHeight="1" outlineLevel="1" x14ac:dyDescent="0.3">
      <c r="A73" s="42"/>
      <c r="B73" s="12" t="str">
        <f>CONCATENATE("          ","5300"," - ","COG$ OFFSET")</f>
        <v xml:space="preserve">          5300 - COG$ OFFSET</v>
      </c>
      <c r="C73" s="12"/>
      <c r="D73" s="3">
        <v>245840.08</v>
      </c>
      <c r="E73" s="3"/>
      <c r="F73" s="20">
        <f t="shared" si="4"/>
        <v>0.44554894052849692</v>
      </c>
      <c r="G73" s="3"/>
      <c r="H73" s="3">
        <v>88675</v>
      </c>
      <c r="I73" s="3"/>
      <c r="J73" s="20">
        <f t="shared" si="5"/>
        <v>0.5317754018180092</v>
      </c>
      <c r="K73" s="3"/>
      <c r="L73" s="3">
        <f t="shared" si="6"/>
        <v>157165.07999999999</v>
      </c>
      <c r="M73" s="3"/>
      <c r="N73" s="20">
        <f t="shared" si="7"/>
        <v>1.7723719199323371</v>
      </c>
      <c r="O73" s="12"/>
      <c r="P73" s="3">
        <v>1668128.06</v>
      </c>
      <c r="Q73" s="3"/>
      <c r="R73" s="20">
        <f t="shared" si="8"/>
        <v>0.48041930704201469</v>
      </c>
      <c r="S73" s="3"/>
      <c r="T73" s="3">
        <v>847180</v>
      </c>
      <c r="U73" s="3"/>
      <c r="V73" s="20">
        <f t="shared" si="9"/>
        <v>0.56509076461073438</v>
      </c>
      <c r="W73" s="3"/>
      <c r="X73" s="3">
        <f t="shared" si="10"/>
        <v>820948.06</v>
      </c>
      <c r="Y73" s="3"/>
      <c r="Z73" s="20">
        <f t="shared" si="11"/>
        <v>0.96903616704832507</v>
      </c>
    </row>
    <row r="74" spans="1:26" s="69" customFormat="1" ht="15" hidden="1" customHeight="1" outlineLevel="1" x14ac:dyDescent="0.3">
      <c r="A74" s="42"/>
      <c r="B74" s="12" t="str">
        <f>CONCATENATE("          ","5500"," - ","FREIGHT-IN")</f>
        <v xml:space="preserve">          5500 - FREIGHT-IN</v>
      </c>
      <c r="C74" s="12"/>
      <c r="D74" s="3">
        <v>18287.849999999999</v>
      </c>
      <c r="E74" s="3"/>
      <c r="F74" s="20">
        <f t="shared" si="4"/>
        <v>3.3144034902868859E-2</v>
      </c>
      <c r="G74" s="3"/>
      <c r="H74" s="3"/>
      <c r="I74" s="3"/>
      <c r="J74" s="20">
        <f t="shared" si="5"/>
        <v>0</v>
      </c>
      <c r="K74" s="3"/>
      <c r="L74" s="3">
        <f t="shared" si="6"/>
        <v>18287.849999999999</v>
      </c>
      <c r="M74" s="3"/>
      <c r="N74" s="20">
        <f t="shared" si="7"/>
        <v>0</v>
      </c>
      <c r="O74" s="12"/>
      <c r="P74" s="3">
        <v>71614.36</v>
      </c>
      <c r="Q74" s="3"/>
      <c r="R74" s="20">
        <f t="shared" si="8"/>
        <v>2.0624868096432221E-2</v>
      </c>
      <c r="S74" s="3"/>
      <c r="T74" s="3"/>
      <c r="U74" s="3"/>
      <c r="V74" s="20">
        <f t="shared" si="9"/>
        <v>0</v>
      </c>
      <c r="W74" s="3"/>
      <c r="X74" s="3">
        <f t="shared" si="10"/>
        <v>71614.36</v>
      </c>
      <c r="Y74" s="3"/>
      <c r="Z74" s="20">
        <f t="shared" si="11"/>
        <v>0</v>
      </c>
    </row>
    <row r="75" spans="1:26" s="69" customFormat="1" ht="15" hidden="1" customHeight="1" outlineLevel="1" x14ac:dyDescent="0.3">
      <c r="A75" s="42"/>
      <c r="B75" s="12" t="str">
        <f>CONCATENATE("          ","5525"," - ","FREIGHT-IN-TEST FORMS")</f>
        <v xml:space="preserve">          5525 - FREIGHT-IN-TEST FORMS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/>
      <c r="Q75" s="3"/>
      <c r="R75" s="20">
        <f t="shared" si="8"/>
        <v>0</v>
      </c>
      <c r="S75" s="3"/>
      <c r="T75" s="3">
        <v>48.14</v>
      </c>
      <c r="U75" s="3"/>
      <c r="V75" s="20">
        <f t="shared" si="9"/>
        <v>3.2110613338795479E-5</v>
      </c>
      <c r="W75" s="3"/>
      <c r="X75" s="3">
        <f t="shared" si="10"/>
        <v>-48.14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","5526"," - ","FREIGHT-IN-WRITING INSTRUMENTS")</f>
        <v xml:space="preserve">          5526 - FREIGHT-IN-WRITING INSTRUMENTS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/>
      <c r="Q76" s="3"/>
      <c r="R76" s="20">
        <f t="shared" si="8"/>
        <v>0</v>
      </c>
      <c r="S76" s="3"/>
      <c r="T76" s="3">
        <v>0</v>
      </c>
      <c r="U76" s="3"/>
      <c r="V76" s="20">
        <f t="shared" si="9"/>
        <v>0</v>
      </c>
      <c r="W76" s="3"/>
      <c r="X76" s="3">
        <f t="shared" si="10"/>
        <v>0</v>
      </c>
      <c r="Y76" s="3"/>
      <c r="Z76" s="20">
        <f t="shared" si="11"/>
        <v>0</v>
      </c>
    </row>
    <row r="77" spans="1:26" s="69" customFormat="1" ht="15" hidden="1" customHeight="1" outlineLevel="1" x14ac:dyDescent="0.3">
      <c r="A77" s="42"/>
      <c r="B77" s="12" t="str">
        <f>CONCATENATE("          ","5527"," - ","FREIGHT-IN-SCHOOL SUPPLIES")</f>
        <v xml:space="preserve">          5527 - FREIGHT-IN-SCHOOL SUPPLIES</v>
      </c>
      <c r="C77" s="12"/>
      <c r="D77" s="3"/>
      <c r="E77" s="3"/>
      <c r="F77" s="20">
        <f t="shared" si="4"/>
        <v>0</v>
      </c>
      <c r="G77" s="3"/>
      <c r="H77" s="3">
        <v>41.12</v>
      </c>
      <c r="I77" s="3"/>
      <c r="J77" s="20">
        <f t="shared" si="5"/>
        <v>2.4659266447991582E-4</v>
      </c>
      <c r="K77" s="3"/>
      <c r="L77" s="3">
        <f t="shared" si="6"/>
        <v>-41.12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218.62</v>
      </c>
      <c r="U77" s="3"/>
      <c r="V77" s="20">
        <f t="shared" si="9"/>
        <v>1.4582514100804875E-4</v>
      </c>
      <c r="W77" s="3"/>
      <c r="X77" s="3">
        <f t="shared" si="10"/>
        <v>-218.62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","5528"," - ","FREIGHT-IN-ART/TECH")</f>
        <v xml:space="preserve">          5528 - FREIGHT-IN-ART/TECH</v>
      </c>
      <c r="C78" s="12"/>
      <c r="D78" s="3"/>
      <c r="E78" s="3"/>
      <c r="F78" s="20">
        <f t="shared" si="4"/>
        <v>0</v>
      </c>
      <c r="G78" s="3"/>
      <c r="H78" s="3">
        <v>103.71</v>
      </c>
      <c r="I78" s="3"/>
      <c r="J78" s="20">
        <f t="shared" si="5"/>
        <v>6.2193884322013786E-4</v>
      </c>
      <c r="K78" s="3"/>
      <c r="L78" s="3">
        <f t="shared" si="6"/>
        <v>-103.71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455.21</v>
      </c>
      <c r="U78" s="3"/>
      <c r="V78" s="20">
        <f t="shared" si="9"/>
        <v>3.0363673240450952E-4</v>
      </c>
      <c r="W78" s="3"/>
      <c r="X78" s="3">
        <f t="shared" si="10"/>
        <v>-455.21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","5540"," - ","FREIGHT-IN-LOGO CLOTHING")</f>
        <v xml:space="preserve">          5540 - FREIGHT-IN-LOGO CLOTHING</v>
      </c>
      <c r="C79" s="12"/>
      <c r="D79" s="3"/>
      <c r="E79" s="3"/>
      <c r="F79" s="20">
        <f t="shared" si="4"/>
        <v>0</v>
      </c>
      <c r="G79" s="3"/>
      <c r="H79" s="3">
        <v>1167.1400000000001</v>
      </c>
      <c r="I79" s="3"/>
      <c r="J79" s="20">
        <f t="shared" si="5"/>
        <v>6.9992257398124756E-3</v>
      </c>
      <c r="K79" s="3"/>
      <c r="L79" s="3">
        <f t="shared" si="6"/>
        <v>-1167.1400000000001</v>
      </c>
      <c r="M79" s="3"/>
      <c r="N79" s="20">
        <f t="shared" si="7"/>
        <v>-1</v>
      </c>
      <c r="O79" s="12"/>
      <c r="P79" s="3">
        <v>0</v>
      </c>
      <c r="Q79" s="3"/>
      <c r="R79" s="20">
        <f t="shared" si="8"/>
        <v>0</v>
      </c>
      <c r="S79" s="3"/>
      <c r="T79" s="3">
        <v>7108.37</v>
      </c>
      <c r="U79" s="3"/>
      <c r="V79" s="20">
        <f t="shared" si="9"/>
        <v>4.7414649052574488E-3</v>
      </c>
      <c r="W79" s="3"/>
      <c r="X79" s="3">
        <f t="shared" si="10"/>
        <v>-7108.37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","5541"," - ","FREIGHT-IN-LOGO GIFTS")</f>
        <v xml:space="preserve">          5541 - FREIGHT-IN-LOGO GIFTS</v>
      </c>
      <c r="C80" s="12"/>
      <c r="D80" s="3"/>
      <c r="E80" s="3"/>
      <c r="F80" s="20">
        <f t="shared" si="4"/>
        <v>0</v>
      </c>
      <c r="G80" s="3"/>
      <c r="H80" s="3">
        <v>60.07</v>
      </c>
      <c r="I80" s="3"/>
      <c r="J80" s="20">
        <f t="shared" si="5"/>
        <v>3.6023398237618057E-4</v>
      </c>
      <c r="K80" s="3"/>
      <c r="L80" s="3">
        <f t="shared" si="6"/>
        <v>-60.07</v>
      </c>
      <c r="M80" s="3"/>
      <c r="N80" s="20">
        <f t="shared" si="7"/>
        <v>-1</v>
      </c>
      <c r="O80" s="12"/>
      <c r="P80" s="3">
        <v>0</v>
      </c>
      <c r="Q80" s="3"/>
      <c r="R80" s="20">
        <f t="shared" si="8"/>
        <v>0</v>
      </c>
      <c r="S80" s="3"/>
      <c r="T80" s="3">
        <v>2138</v>
      </c>
      <c r="U80" s="3"/>
      <c r="V80" s="20">
        <f t="shared" si="9"/>
        <v>1.4261007752045022E-3</v>
      </c>
      <c r="W80" s="3"/>
      <c r="X80" s="3">
        <f t="shared" si="10"/>
        <v>-2138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","5542"," - ","FREIGHT-IN-EVERYDAY GIFTS")</f>
        <v xml:space="preserve">          5542 - FREIGHT-IN-EVERYDAY GIFTS</v>
      </c>
      <c r="C81" s="12"/>
      <c r="D81" s="3"/>
      <c r="E81" s="3"/>
      <c r="F81" s="20">
        <f t="shared" si="4"/>
        <v>0</v>
      </c>
      <c r="G81" s="3"/>
      <c r="H81" s="3">
        <v>297.79000000000002</v>
      </c>
      <c r="I81" s="3"/>
      <c r="J81" s="20">
        <f t="shared" si="5"/>
        <v>1.7858178393840988E-3</v>
      </c>
      <c r="K81" s="3"/>
      <c r="L81" s="3">
        <f t="shared" si="6"/>
        <v>-297.79000000000002</v>
      </c>
      <c r="M81" s="3"/>
      <c r="N81" s="20">
        <f t="shared" si="7"/>
        <v>-1</v>
      </c>
      <c r="O81" s="12"/>
      <c r="P81" s="3">
        <v>0</v>
      </c>
      <c r="Q81" s="3"/>
      <c r="R81" s="20">
        <f t="shared" si="8"/>
        <v>0</v>
      </c>
      <c r="S81" s="3"/>
      <c r="T81" s="3">
        <v>681.72</v>
      </c>
      <c r="U81" s="3"/>
      <c r="V81" s="20">
        <f t="shared" si="9"/>
        <v>4.5472470555304637E-4</v>
      </c>
      <c r="W81" s="3"/>
      <c r="X81" s="3">
        <f t="shared" si="10"/>
        <v>-681.72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","5543"," - ","FREIGHT-IN-CARDS")</f>
        <v xml:space="preserve">          5543 - FREIGHT-IN-CARDS</v>
      </c>
      <c r="C82" s="12"/>
      <c r="D82" s="3"/>
      <c r="E82" s="3"/>
      <c r="F82" s="20">
        <f t="shared" si="4"/>
        <v>0</v>
      </c>
      <c r="G82" s="3"/>
      <c r="H82" s="3"/>
      <c r="I82" s="3"/>
      <c r="J82" s="20">
        <f t="shared" si="5"/>
        <v>0</v>
      </c>
      <c r="K82" s="3"/>
      <c r="L82" s="3">
        <f t="shared" si="6"/>
        <v>0</v>
      </c>
      <c r="M82" s="3"/>
      <c r="N82" s="20">
        <f t="shared" si="7"/>
        <v>0</v>
      </c>
      <c r="O82" s="12"/>
      <c r="P82" s="3"/>
      <c r="Q82" s="3"/>
      <c r="R82" s="20">
        <f t="shared" si="8"/>
        <v>0</v>
      </c>
      <c r="S82" s="3"/>
      <c r="T82" s="3">
        <v>9110.5300000000007</v>
      </c>
      <c r="U82" s="3"/>
      <c r="V82" s="20">
        <f t="shared" si="9"/>
        <v>6.076956920263739E-3</v>
      </c>
      <c r="W82" s="3"/>
      <c r="X82" s="3">
        <f t="shared" si="10"/>
        <v>-9110.5300000000007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","5544"," - ","FREIGHT-IN-ACCESSORIES")</f>
        <v xml:space="preserve">          5544 - FREIGHT-IN-ACCESSORIES</v>
      </c>
      <c r="C83" s="12"/>
      <c r="D83" s="3"/>
      <c r="E83" s="3"/>
      <c r="F83" s="20">
        <f t="shared" si="4"/>
        <v>0</v>
      </c>
      <c r="G83" s="3"/>
      <c r="H83" s="3"/>
      <c r="I83" s="3"/>
      <c r="J83" s="20">
        <f t="shared" si="5"/>
        <v>0</v>
      </c>
      <c r="K83" s="3"/>
      <c r="L83" s="3">
        <f t="shared" si="6"/>
        <v>0</v>
      </c>
      <c r="M83" s="3"/>
      <c r="N83" s="20">
        <f t="shared" si="7"/>
        <v>0</v>
      </c>
      <c r="O83" s="12"/>
      <c r="P83" s="3">
        <v>0</v>
      </c>
      <c r="Q83" s="3"/>
      <c r="R83" s="20">
        <f t="shared" si="8"/>
        <v>0</v>
      </c>
      <c r="S83" s="3"/>
      <c r="T83" s="3"/>
      <c r="U83" s="3"/>
      <c r="V83" s="20">
        <f t="shared" si="9"/>
        <v>0</v>
      </c>
      <c r="W83" s="3"/>
      <c r="X83" s="3">
        <f t="shared" si="10"/>
        <v>0</v>
      </c>
      <c r="Y83" s="3"/>
      <c r="Z83" s="20">
        <f t="shared" si="11"/>
        <v>0</v>
      </c>
    </row>
    <row r="84" spans="1:26" s="69" customFormat="1" ht="15" hidden="1" customHeight="1" outlineLevel="1" x14ac:dyDescent="0.3">
      <c r="A84" s="42"/>
      <c r="B84" s="12" t="str">
        <f>CONCATENATE("          ","5545"," - ","FREIGHT-IN-SPECIAL ORDERS")</f>
        <v xml:space="preserve">          5545 - FREIGHT-IN-SPECIAL ORDERS</v>
      </c>
      <c r="C84" s="12"/>
      <c r="D84" s="3"/>
      <c r="E84" s="3"/>
      <c r="F84" s="20">
        <f t="shared" si="4"/>
        <v>0</v>
      </c>
      <c r="G84" s="3"/>
      <c r="H84" s="3">
        <v>17.63</v>
      </c>
      <c r="I84" s="3"/>
      <c r="J84" s="20">
        <f t="shared" si="5"/>
        <v>1.057254055151001E-4</v>
      </c>
      <c r="K84" s="3"/>
      <c r="L84" s="3">
        <f t="shared" si="6"/>
        <v>-17.63</v>
      </c>
      <c r="M84" s="3"/>
      <c r="N84" s="20">
        <f t="shared" si="7"/>
        <v>-1</v>
      </c>
      <c r="O84" s="12"/>
      <c r="P84" s="3">
        <v>0</v>
      </c>
      <c r="Q84" s="3"/>
      <c r="R84" s="20">
        <f t="shared" si="8"/>
        <v>0</v>
      </c>
      <c r="S84" s="3"/>
      <c r="T84" s="3">
        <v>1266.1600000000001</v>
      </c>
      <c r="U84" s="3"/>
      <c r="V84" s="20">
        <f t="shared" si="9"/>
        <v>8.4456115880866811E-4</v>
      </c>
      <c r="W84" s="3"/>
      <c r="X84" s="3">
        <f t="shared" si="10"/>
        <v>-1266.1600000000001</v>
      </c>
      <c r="Y84" s="3"/>
      <c r="Z84" s="20">
        <f t="shared" si="11"/>
        <v>-1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7" t="s">
        <v>288</v>
      </c>
      <c r="C86" s="27"/>
      <c r="D86" s="22">
        <f>D12-D58</f>
        <v>308928.88999999996</v>
      </c>
      <c r="E86" s="15"/>
      <c r="F86" s="21">
        <f>IF(D$12=0,0,D86/D$12)</f>
        <v>0.55988811766634861</v>
      </c>
      <c r="G86" s="15"/>
      <c r="H86" s="22">
        <f>H12-H58</f>
        <v>78047.25</v>
      </c>
      <c r="I86" s="15"/>
      <c r="J86" s="21">
        <f>IF(H$12=0,0,H86/H$12)</f>
        <v>0.46804181256882565</v>
      </c>
      <c r="K86" s="17"/>
      <c r="L86" s="22">
        <f>+D86-H86</f>
        <v>230881.63999999996</v>
      </c>
      <c r="M86" s="17"/>
      <c r="N86" s="21">
        <f>IF(H86=0,0,L86/H86)</f>
        <v>2.9582290215222184</v>
      </c>
      <c r="O86" s="28"/>
      <c r="P86" s="22">
        <f>P12-P58</f>
        <v>1807105.5399999998</v>
      </c>
      <c r="Q86" s="15"/>
      <c r="R86" s="21">
        <f>IF(P$12=0,0,P86/P$12)</f>
        <v>0.52044469012683936</v>
      </c>
      <c r="S86" s="15"/>
      <c r="T86" s="22">
        <f>T12-T58</f>
        <v>651467.74999999977</v>
      </c>
      <c r="U86" s="15"/>
      <c r="V86" s="21">
        <f>IF(T$12=0,0,T86/T$12)</f>
        <v>0.43454567974543146</v>
      </c>
      <c r="W86" s="17"/>
      <c r="X86" s="22">
        <f>+P86-T86</f>
        <v>1155637.79</v>
      </c>
      <c r="Y86" s="17"/>
      <c r="Z86" s="21">
        <f>IF(T86=0,0,X86/T86)</f>
        <v>1.7738986926060429</v>
      </c>
    </row>
    <row r="87" spans="1:26" ht="15" customHeight="1" x14ac:dyDescent="0.3">
      <c r="A87" s="10"/>
      <c r="B87" s="11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3">
      <c r="A88" s="11"/>
      <c r="B88" s="28" t="s">
        <v>289</v>
      </c>
      <c r="C88" s="11"/>
      <c r="D88" s="23" cm="1">
        <f t="array" ref="D88">SUM(OSRRefD22x_0)</f>
        <v>111062.01000000002</v>
      </c>
      <c r="E88" s="23"/>
      <c r="F88" s="35">
        <f t="shared" ref="F88:F119" si="12">IF(D$12=0,0,D88/D$12)</f>
        <v>0.20128353720217362</v>
      </c>
      <c r="G88" s="23"/>
      <c r="H88" s="23" cm="1">
        <f t="array" ref="H88">SUM(OSRRefH22x_0)</f>
        <v>64359.789999999979</v>
      </c>
      <c r="I88" s="23"/>
      <c r="J88" s="35">
        <f t="shared" ref="J88:J119" si="13">IF(H$12=0,0,H88/H$12)</f>
        <v>0.38595943826526841</v>
      </c>
      <c r="K88" s="5"/>
      <c r="L88" s="23">
        <f t="shared" ref="L88:L119" si="14">+D88-H88</f>
        <v>46702.220000000045</v>
      </c>
      <c r="M88" s="5"/>
      <c r="N88" s="35">
        <f t="shared" ref="N88:N119" si="15">IF(H88=0,0,L88/H88)</f>
        <v>0.72564282761022159</v>
      </c>
      <c r="O88" s="11"/>
      <c r="P88" s="23" cm="1">
        <f t="array" ref="P88">SUM(OSRRefP22x_0)</f>
        <v>946389.46000000008</v>
      </c>
      <c r="Q88" s="23"/>
      <c r="R88" s="35">
        <f t="shared" ref="R88:R119" si="16">IF(P$12=0,0,P88/P$12)</f>
        <v>0.27255927135777963</v>
      </c>
      <c r="S88" s="23"/>
      <c r="T88" s="23" cm="1">
        <f t="array" ref="T88">SUM(OSRRefT22x_0)</f>
        <v>620803.65</v>
      </c>
      <c r="U88" s="23"/>
      <c r="V88" s="35">
        <f t="shared" ref="V88:V119" si="17">IF(T$12=0,0,T88/T$12)</f>
        <v>0.4140919394362883</v>
      </c>
      <c r="W88" s="5"/>
      <c r="X88" s="23">
        <f t="shared" ref="X88:X119" si="18">+P88-T88</f>
        <v>325585.81000000006</v>
      </c>
      <c r="Y88" s="5"/>
      <c r="Z88" s="35">
        <f t="shared" ref="Z88:Z119" si="19">IF(T88=0,0,X88/T88)</f>
        <v>0.52445859491966584</v>
      </c>
    </row>
    <row r="89" spans="1:26" s="68" customFormat="1" ht="15" customHeight="1" outlineLevel="1" collapsed="1" x14ac:dyDescent="0.3">
      <c r="A89" s="26"/>
      <c r="B89" s="14" t="str">
        <f>CONCATENATE("     ","*Benefits                                         ")</f>
        <v xml:space="preserve">     *Benefits                                         </v>
      </c>
      <c r="C89" s="14"/>
      <c r="D89" s="2">
        <f>SUM(OSRRefD22_0x_0)</f>
        <v>12561.02</v>
      </c>
      <c r="E89" s="2"/>
      <c r="F89" s="6">
        <f t="shared" si="12"/>
        <v>2.2764998908873041E-2</v>
      </c>
      <c r="G89" s="2"/>
      <c r="H89" s="2">
        <f>SUM(OSRRefH22_0x_0)</f>
        <v>13506.529999999999</v>
      </c>
      <c r="I89" s="2"/>
      <c r="J89" s="6">
        <f t="shared" si="13"/>
        <v>8.099735458603885E-2</v>
      </c>
      <c r="K89" s="2"/>
      <c r="L89" s="2">
        <f t="shared" si="14"/>
        <v>-945.5099999999984</v>
      </c>
      <c r="M89" s="2"/>
      <c r="N89" s="6">
        <f t="shared" si="15"/>
        <v>-7.0003916624032853E-2</v>
      </c>
      <c r="O89" s="14"/>
      <c r="P89" s="2">
        <f>SUM(OSRRefP22_0x_0)</f>
        <v>133140.11000000002</v>
      </c>
      <c r="Q89" s="2"/>
      <c r="R89" s="6">
        <f t="shared" si="16"/>
        <v>3.8344226033640134E-2</v>
      </c>
      <c r="S89" s="2"/>
      <c r="T89" s="2">
        <f>SUM(OSRRefT22_0x_0)</f>
        <v>134752.97000000003</v>
      </c>
      <c r="U89" s="2"/>
      <c r="V89" s="6">
        <f t="shared" si="17"/>
        <v>8.9883683338685239E-2</v>
      </c>
      <c r="W89" s="2"/>
      <c r="X89" s="2">
        <f t="shared" si="18"/>
        <v>-1612.8600000000151</v>
      </c>
      <c r="Y89" s="2"/>
      <c r="Z89" s="6">
        <f t="shared" si="19"/>
        <v>-1.1969012631038965E-2</v>
      </c>
    </row>
    <row r="90" spans="1:26" s="69" customFormat="1" ht="15" hidden="1" customHeight="1" outlineLevel="2" x14ac:dyDescent="0.3">
      <c r="A90" s="25"/>
      <c r="B90" s="12" t="str">
        <f>CONCATENATE("          ","6111"," - ","F.I.C.A.")</f>
        <v xml:space="preserve">          6111 - F.I.C.A.</v>
      </c>
      <c r="C90" s="12"/>
      <c r="D90" s="8">
        <v>2224.0500000000002</v>
      </c>
      <c r="E90" s="3"/>
      <c r="F90" s="7">
        <f t="shared" si="12"/>
        <v>4.030763092748765E-3</v>
      </c>
      <c r="G90" s="3"/>
      <c r="H90" s="8">
        <v>2616.6799999999998</v>
      </c>
      <c r="I90" s="3"/>
      <c r="J90" s="7">
        <f t="shared" si="13"/>
        <v>1.5691976976928652E-2</v>
      </c>
      <c r="K90" s="3"/>
      <c r="L90" s="8">
        <f t="shared" si="14"/>
        <v>-392.62999999999965</v>
      </c>
      <c r="M90" s="3"/>
      <c r="N90" s="7">
        <f t="shared" si="15"/>
        <v>-0.15004891694819378</v>
      </c>
      <c r="O90" s="12"/>
      <c r="P90" s="8">
        <v>24203.62</v>
      </c>
      <c r="Q90" s="3"/>
      <c r="R90" s="7">
        <f t="shared" si="16"/>
        <v>6.9706197186733057E-3</v>
      </c>
      <c r="S90" s="3"/>
      <c r="T90" s="8">
        <v>26806.9</v>
      </c>
      <c r="U90" s="3"/>
      <c r="V90" s="7">
        <f t="shared" si="17"/>
        <v>1.788088908832066E-2</v>
      </c>
      <c r="W90" s="3"/>
      <c r="X90" s="8">
        <f t="shared" si="18"/>
        <v>-2603.2800000000025</v>
      </c>
      <c r="Y90" s="3"/>
      <c r="Z90" s="7">
        <f t="shared" si="19"/>
        <v>-9.7112310636440699E-2</v>
      </c>
    </row>
    <row r="91" spans="1:26" s="69" customFormat="1" ht="15" hidden="1" customHeight="1" outlineLevel="2" x14ac:dyDescent="0.3">
      <c r="A91" s="25"/>
      <c r="B91" s="12" t="str">
        <f>CONCATENATE("          ","6112"," - ","COMPENSATION INSURANCE")</f>
        <v xml:space="preserve">          6112 - COMPENSATION INSURANCE</v>
      </c>
      <c r="C91" s="12"/>
      <c r="D91" s="8">
        <v>1190.46</v>
      </c>
      <c r="E91" s="3"/>
      <c r="F91" s="7">
        <f t="shared" si="12"/>
        <v>2.1575334328786198E-3</v>
      </c>
      <c r="G91" s="3"/>
      <c r="H91" s="8">
        <v>745.75</v>
      </c>
      <c r="I91" s="3"/>
      <c r="J91" s="7">
        <f t="shared" si="13"/>
        <v>4.4721906501920539E-3</v>
      </c>
      <c r="K91" s="3"/>
      <c r="L91" s="8">
        <f t="shared" si="14"/>
        <v>444.71000000000004</v>
      </c>
      <c r="M91" s="3"/>
      <c r="N91" s="7">
        <f t="shared" si="15"/>
        <v>0.59632584646329201</v>
      </c>
      <c r="O91" s="12"/>
      <c r="P91" s="8">
        <v>9092.75</v>
      </c>
      <c r="Q91" s="3"/>
      <c r="R91" s="7">
        <f t="shared" si="16"/>
        <v>2.6187034190326363E-3</v>
      </c>
      <c r="S91" s="3"/>
      <c r="T91" s="8">
        <v>9486.44</v>
      </c>
      <c r="U91" s="3"/>
      <c r="V91" s="7">
        <f t="shared" si="17"/>
        <v>6.3276985210154336E-3</v>
      </c>
      <c r="W91" s="3"/>
      <c r="X91" s="8">
        <f t="shared" si="18"/>
        <v>-393.69000000000051</v>
      </c>
      <c r="Y91" s="3"/>
      <c r="Z91" s="7">
        <f t="shared" si="19"/>
        <v>-4.1500288833324246E-2</v>
      </c>
    </row>
    <row r="92" spans="1:26" s="69" customFormat="1" ht="15" hidden="1" customHeight="1" outlineLevel="2" x14ac:dyDescent="0.3">
      <c r="A92" s="25"/>
      <c r="B92" s="12" t="str">
        <f>CONCATENATE("          ","6113"," - ","GROUP INSURANCE")</f>
        <v xml:space="preserve">          6113 - GROUP INSURANCE</v>
      </c>
      <c r="C92" s="12"/>
      <c r="D92" s="8">
        <v>3834.79</v>
      </c>
      <c r="E92" s="3"/>
      <c r="F92" s="7">
        <f t="shared" si="12"/>
        <v>6.9499921316706157E-3</v>
      </c>
      <c r="G92" s="3"/>
      <c r="H92" s="8">
        <v>4818.63</v>
      </c>
      <c r="I92" s="3"/>
      <c r="J92" s="7">
        <f t="shared" si="13"/>
        <v>2.8896858240341852E-2</v>
      </c>
      <c r="K92" s="3"/>
      <c r="L92" s="8">
        <f t="shared" si="14"/>
        <v>-983.84000000000015</v>
      </c>
      <c r="M92" s="3"/>
      <c r="N92" s="7">
        <f t="shared" si="15"/>
        <v>-0.20417421549278533</v>
      </c>
      <c r="O92" s="12"/>
      <c r="P92" s="8">
        <v>42156.82</v>
      </c>
      <c r="Q92" s="3"/>
      <c r="R92" s="7">
        <f t="shared" si="16"/>
        <v>1.2141124375963645E-2</v>
      </c>
      <c r="S92" s="3"/>
      <c r="T92" s="8">
        <v>48589.8</v>
      </c>
      <c r="U92" s="3"/>
      <c r="V92" s="7">
        <f t="shared" si="17"/>
        <v>3.2410641462596687E-2</v>
      </c>
      <c r="W92" s="3"/>
      <c r="X92" s="8">
        <f t="shared" si="18"/>
        <v>-6432.9800000000032</v>
      </c>
      <c r="Y92" s="3"/>
      <c r="Z92" s="7">
        <f t="shared" si="19"/>
        <v>-0.13239362993879381</v>
      </c>
    </row>
    <row r="93" spans="1:26" s="69" customFormat="1" ht="15" hidden="1" customHeight="1" outlineLevel="2" x14ac:dyDescent="0.3">
      <c r="A93" s="25"/>
      <c r="B93" s="12" t="str">
        <f>CONCATENATE("          ","6114"," - ","STATE UNEMPLOYMENT INSURANCE")</f>
        <v xml:space="preserve">          6114 - STATE UNEMPLOYMENT INSURANCE</v>
      </c>
      <c r="C93" s="12"/>
      <c r="D93" s="8">
        <v>209.34</v>
      </c>
      <c r="E93" s="3"/>
      <c r="F93" s="7">
        <f t="shared" si="12"/>
        <v>3.7939792083632398E-4</v>
      </c>
      <c r="G93" s="3"/>
      <c r="H93" s="8">
        <v>104.81</v>
      </c>
      <c r="I93" s="3"/>
      <c r="J93" s="7">
        <f t="shared" si="13"/>
        <v>6.2853543687110846E-4</v>
      </c>
      <c r="K93" s="3"/>
      <c r="L93" s="8">
        <f t="shared" si="14"/>
        <v>104.53</v>
      </c>
      <c r="M93" s="3"/>
      <c r="N93" s="7">
        <f t="shared" si="15"/>
        <v>0.99732849918900868</v>
      </c>
      <c r="O93" s="12"/>
      <c r="P93" s="8">
        <v>1598.52</v>
      </c>
      <c r="Q93" s="3"/>
      <c r="R93" s="7">
        <f t="shared" si="16"/>
        <v>4.603722514522064E-4</v>
      </c>
      <c r="S93" s="3"/>
      <c r="T93" s="8">
        <v>1135.22</v>
      </c>
      <c r="U93" s="3"/>
      <c r="V93" s="7">
        <f t="shared" si="17"/>
        <v>7.5722082414764029E-4</v>
      </c>
      <c r="W93" s="3"/>
      <c r="X93" s="8">
        <f t="shared" si="18"/>
        <v>463.29999999999995</v>
      </c>
      <c r="Y93" s="3"/>
      <c r="Z93" s="7">
        <f t="shared" si="19"/>
        <v>0.40811472666091148</v>
      </c>
    </row>
    <row r="94" spans="1:26" s="69" customFormat="1" ht="15" hidden="1" customHeight="1" outlineLevel="2" x14ac:dyDescent="0.3">
      <c r="A94" s="25"/>
      <c r="B94" s="12" t="str">
        <f>CONCATENATE("          ","6115"," - ","P.E.R.S.")</f>
        <v xml:space="preserve">          6115 - P.E.R.S.</v>
      </c>
      <c r="C94" s="12"/>
      <c r="D94" s="8">
        <v>1145.3499999999999</v>
      </c>
      <c r="E94" s="3"/>
      <c r="F94" s="7">
        <f t="shared" si="12"/>
        <v>2.0757782011554581E-3</v>
      </c>
      <c r="G94" s="3"/>
      <c r="H94" s="8">
        <v>1916.82</v>
      </c>
      <c r="I94" s="3"/>
      <c r="J94" s="7">
        <f t="shared" si="13"/>
        <v>1.149498422004845E-2</v>
      </c>
      <c r="K94" s="3"/>
      <c r="L94" s="8">
        <f t="shared" si="14"/>
        <v>-771.47</v>
      </c>
      <c r="M94" s="3"/>
      <c r="N94" s="7">
        <f t="shared" si="15"/>
        <v>-0.40247388904539816</v>
      </c>
      <c r="O94" s="12"/>
      <c r="P94" s="8">
        <v>14584.98</v>
      </c>
      <c r="Q94" s="3"/>
      <c r="R94" s="7">
        <f t="shared" si="16"/>
        <v>4.2004604759311118E-3</v>
      </c>
      <c r="S94" s="3"/>
      <c r="T94" s="8">
        <v>18164.849999999999</v>
      </c>
      <c r="U94" s="3"/>
      <c r="V94" s="7">
        <f t="shared" si="17"/>
        <v>1.2116420330436622E-2</v>
      </c>
      <c r="W94" s="3"/>
      <c r="X94" s="8">
        <f t="shared" si="18"/>
        <v>-3579.869999999999</v>
      </c>
      <c r="Y94" s="3"/>
      <c r="Z94" s="7">
        <f t="shared" si="19"/>
        <v>-0.19707677189737319</v>
      </c>
    </row>
    <row r="95" spans="1:26" s="69" customFormat="1" ht="15" hidden="1" customHeight="1" outlineLevel="2" x14ac:dyDescent="0.3">
      <c r="A95" s="25"/>
      <c r="B95" s="12" t="str">
        <f>CONCATENATE("          ","6118"," - ","VACATION")</f>
        <v xml:space="preserve">          6118 - VACATION</v>
      </c>
      <c r="C95" s="12"/>
      <c r="D95" s="8">
        <v>1656.97</v>
      </c>
      <c r="E95" s="3"/>
      <c r="F95" s="7">
        <f t="shared" si="12"/>
        <v>3.0030141057044222E-3</v>
      </c>
      <c r="G95" s="3"/>
      <c r="H95" s="8">
        <v>1633.18</v>
      </c>
      <c r="I95" s="3"/>
      <c r="J95" s="7">
        <f t="shared" si="13"/>
        <v>9.7940225626291094E-3</v>
      </c>
      <c r="K95" s="3"/>
      <c r="L95" s="8">
        <f t="shared" si="14"/>
        <v>23.789999999999964</v>
      </c>
      <c r="M95" s="3"/>
      <c r="N95" s="7">
        <f t="shared" si="15"/>
        <v>1.456667360609361E-2</v>
      </c>
      <c r="O95" s="12"/>
      <c r="P95" s="8">
        <v>18247.03</v>
      </c>
      <c r="Q95" s="3"/>
      <c r="R95" s="7">
        <f t="shared" si="16"/>
        <v>5.2551274199984701E-3</v>
      </c>
      <c r="S95" s="3"/>
      <c r="T95" s="8">
        <v>15262.59</v>
      </c>
      <c r="U95" s="3"/>
      <c r="V95" s="7">
        <f t="shared" si="17"/>
        <v>1.0180538555017998E-2</v>
      </c>
      <c r="W95" s="3"/>
      <c r="X95" s="8">
        <f t="shared" si="18"/>
        <v>2984.4399999999987</v>
      </c>
      <c r="Y95" s="3"/>
      <c r="Z95" s="7">
        <f t="shared" si="19"/>
        <v>0.19553955128192518</v>
      </c>
    </row>
    <row r="96" spans="1:26" s="69" customFormat="1" ht="15" hidden="1" customHeight="1" outlineLevel="2" x14ac:dyDescent="0.3">
      <c r="A96" s="25"/>
      <c r="B96" s="12" t="str">
        <f>CONCATENATE("          ","6119"," - ","SICK LEAVE")</f>
        <v xml:space="preserve">          6119 - SICK LEAVE</v>
      </c>
      <c r="C96" s="12"/>
      <c r="D96" s="8">
        <v>1237.52</v>
      </c>
      <c r="E96" s="3"/>
      <c r="F96" s="7">
        <f t="shared" si="12"/>
        <v>2.2428227524284305E-3</v>
      </c>
      <c r="G96" s="3"/>
      <c r="H96" s="8">
        <v>1105.6199999999999</v>
      </c>
      <c r="I96" s="3"/>
      <c r="J96" s="7">
        <f t="shared" si="13"/>
        <v>6.6302962476236507E-3</v>
      </c>
      <c r="K96" s="3"/>
      <c r="L96" s="8">
        <f t="shared" si="14"/>
        <v>131.90000000000009</v>
      </c>
      <c r="M96" s="3"/>
      <c r="N96" s="7">
        <f t="shared" si="15"/>
        <v>0.11929957851703127</v>
      </c>
      <c r="O96" s="12"/>
      <c r="P96" s="8">
        <v>15837.88</v>
      </c>
      <c r="Q96" s="3"/>
      <c r="R96" s="7">
        <f t="shared" si="16"/>
        <v>4.5612944935502029E-3</v>
      </c>
      <c r="S96" s="3"/>
      <c r="T96" s="8">
        <v>11236.64</v>
      </c>
      <c r="U96" s="3"/>
      <c r="V96" s="7">
        <f t="shared" si="17"/>
        <v>7.4951267608484168E-3</v>
      </c>
      <c r="W96" s="3"/>
      <c r="X96" s="8">
        <f t="shared" si="18"/>
        <v>4601.24</v>
      </c>
      <c r="Y96" s="3"/>
      <c r="Z96" s="7">
        <f t="shared" si="19"/>
        <v>0.40948539777015192</v>
      </c>
    </row>
    <row r="97" spans="1:26" s="69" customFormat="1" ht="15" hidden="1" customHeight="1" outlineLevel="2" x14ac:dyDescent="0.3">
      <c r="A97" s="25"/>
      <c r="B97" s="12" t="str">
        <f>CONCATENATE("          ","6156"," - ","EMPLOYEE MEALS")</f>
        <v xml:space="preserve">          6156 - EMPLOYEE MEALS</v>
      </c>
      <c r="C97" s="12"/>
      <c r="D97" s="8">
        <v>1062.54</v>
      </c>
      <c r="E97" s="3"/>
      <c r="F97" s="7">
        <f t="shared" si="12"/>
        <v>1.9256972714504043E-3</v>
      </c>
      <c r="G97" s="3"/>
      <c r="H97" s="8">
        <v>565.04</v>
      </c>
      <c r="I97" s="3"/>
      <c r="J97" s="7">
        <f t="shared" si="13"/>
        <v>3.3884902514039797E-3</v>
      </c>
      <c r="K97" s="3"/>
      <c r="L97" s="8">
        <f t="shared" si="14"/>
        <v>497.5</v>
      </c>
      <c r="M97" s="3"/>
      <c r="N97" s="7">
        <f t="shared" si="15"/>
        <v>0.88046863938836195</v>
      </c>
      <c r="O97" s="12"/>
      <c r="P97" s="8">
        <v>7418.51</v>
      </c>
      <c r="Q97" s="3"/>
      <c r="R97" s="7">
        <f t="shared" si="16"/>
        <v>2.1365238790385533E-3</v>
      </c>
      <c r="S97" s="3"/>
      <c r="T97" s="8">
        <v>4070.53</v>
      </c>
      <c r="U97" s="3"/>
      <c r="V97" s="7">
        <f t="shared" si="17"/>
        <v>2.7151477963017691E-3</v>
      </c>
      <c r="W97" s="3"/>
      <c r="X97" s="8">
        <f t="shared" si="18"/>
        <v>3347.98</v>
      </c>
      <c r="Y97" s="3"/>
      <c r="Z97" s="7">
        <f t="shared" si="19"/>
        <v>0.82249240270922952</v>
      </c>
    </row>
    <row r="98" spans="1:26" s="68" customFormat="1" ht="15" customHeight="1" outlineLevel="1" collapsed="1" x14ac:dyDescent="0.3">
      <c r="A98" s="26"/>
      <c r="B98" s="14" t="str">
        <f>CONCATENATE("     ","*Payroll                                          ")</f>
        <v xml:space="preserve">     *Payroll                                          </v>
      </c>
      <c r="C98" s="14"/>
      <c r="D98" s="2">
        <f>SUM(OSRRefD22_1x_0)</f>
        <v>80599.600000000006</v>
      </c>
      <c r="E98" s="2"/>
      <c r="F98" s="6">
        <f t="shared" si="12"/>
        <v>0.14607490522709171</v>
      </c>
      <c r="G98" s="2"/>
      <c r="H98" s="2">
        <f>SUM(OSRRefH22_1x_0)</f>
        <v>41331.880000000005</v>
      </c>
      <c r="I98" s="2"/>
      <c r="J98" s="6">
        <f t="shared" si="13"/>
        <v>0.24786328835515917</v>
      </c>
      <c r="K98" s="2"/>
      <c r="L98" s="2">
        <f t="shared" si="14"/>
        <v>39267.72</v>
      </c>
      <c r="M98" s="2"/>
      <c r="N98" s="6">
        <f t="shared" si="15"/>
        <v>0.95005888916739323</v>
      </c>
      <c r="O98" s="14"/>
      <c r="P98" s="2">
        <f>SUM(OSRRefP22_1x_0)</f>
        <v>621703.37000000011</v>
      </c>
      <c r="Q98" s="2"/>
      <c r="R98" s="6">
        <f t="shared" si="16"/>
        <v>0.17904998384901294</v>
      </c>
      <c r="S98" s="2"/>
      <c r="T98" s="2">
        <f>SUM(OSRRefT22_1x_0)</f>
        <v>353136.86</v>
      </c>
      <c r="U98" s="2"/>
      <c r="V98" s="6">
        <f t="shared" si="17"/>
        <v>0.23555133292763503</v>
      </c>
      <c r="W98" s="2"/>
      <c r="X98" s="2">
        <f t="shared" si="18"/>
        <v>268566.51000000013</v>
      </c>
      <c r="Y98" s="2"/>
      <c r="Z98" s="6">
        <f t="shared" si="19"/>
        <v>0.76051678660788946</v>
      </c>
    </row>
    <row r="99" spans="1:26" s="69" customFormat="1" ht="15" hidden="1" customHeight="1" outlineLevel="2" x14ac:dyDescent="0.3">
      <c r="A99" s="25"/>
      <c r="B99" s="12" t="str">
        <f>CONCATENATE("          ","6002"," - ","STAFF SALARIES")</f>
        <v xml:space="preserve">          6002 - STAFF SALARIES</v>
      </c>
      <c r="C99" s="12"/>
      <c r="D99" s="8">
        <v>11334.67</v>
      </c>
      <c r="E99" s="3"/>
      <c r="F99" s="7">
        <f t="shared" si="12"/>
        <v>2.0542420136456751E-2</v>
      </c>
      <c r="G99" s="3"/>
      <c r="H99" s="8">
        <v>19213.95</v>
      </c>
      <c r="I99" s="3"/>
      <c r="J99" s="7">
        <f t="shared" si="13"/>
        <v>0.11522420052733169</v>
      </c>
      <c r="K99" s="3"/>
      <c r="L99" s="8">
        <f t="shared" si="14"/>
        <v>-7879.2800000000007</v>
      </c>
      <c r="M99" s="3"/>
      <c r="N99" s="7">
        <f t="shared" si="15"/>
        <v>-0.41008121703241657</v>
      </c>
      <c r="O99" s="12"/>
      <c r="P99" s="8">
        <v>143653.14000000001</v>
      </c>
      <c r="Q99" s="3"/>
      <c r="R99" s="7">
        <f t="shared" si="16"/>
        <v>4.1371968752332795E-2</v>
      </c>
      <c r="S99" s="3"/>
      <c r="T99" s="8">
        <v>165024.01</v>
      </c>
      <c r="U99" s="3"/>
      <c r="V99" s="7">
        <f t="shared" si="17"/>
        <v>0.11007524255769668</v>
      </c>
      <c r="W99" s="3"/>
      <c r="X99" s="8">
        <f t="shared" si="18"/>
        <v>-21370.869999999995</v>
      </c>
      <c r="Y99" s="3"/>
      <c r="Z99" s="7">
        <f t="shared" si="19"/>
        <v>-0.1295015798004181</v>
      </c>
    </row>
    <row r="100" spans="1:26" s="69" customFormat="1" ht="15" hidden="1" customHeight="1" outlineLevel="2" x14ac:dyDescent="0.3">
      <c r="A100" s="25"/>
      <c r="B100" s="12" t="str">
        <f>CONCATENATE("          ","6004"," - ","STAFF HOURLY")</f>
        <v xml:space="preserve">          6004 - STAFF HOURLY</v>
      </c>
      <c r="C100" s="12"/>
      <c r="D100" s="8">
        <v>9796.66</v>
      </c>
      <c r="E100" s="3"/>
      <c r="F100" s="7">
        <f t="shared" si="12"/>
        <v>1.775500351170527E-2</v>
      </c>
      <c r="G100" s="3"/>
      <c r="H100" s="8">
        <v>3122.6</v>
      </c>
      <c r="I100" s="3"/>
      <c r="J100" s="7">
        <f t="shared" si="13"/>
        <v>1.8725930304109562E-2</v>
      </c>
      <c r="K100" s="3"/>
      <c r="L100" s="8">
        <f t="shared" si="14"/>
        <v>6674.0599999999995</v>
      </c>
      <c r="M100" s="3"/>
      <c r="N100" s="7">
        <f t="shared" si="15"/>
        <v>2.1373406776404278</v>
      </c>
      <c r="O100" s="12"/>
      <c r="P100" s="8">
        <v>84348.81</v>
      </c>
      <c r="Q100" s="3"/>
      <c r="R100" s="7">
        <f t="shared" si="16"/>
        <v>2.4292377678736821E-2</v>
      </c>
      <c r="S100" s="3"/>
      <c r="T100" s="8">
        <v>52405.99</v>
      </c>
      <c r="U100" s="3"/>
      <c r="V100" s="7">
        <f t="shared" si="17"/>
        <v>3.4956137962749947E-2</v>
      </c>
      <c r="W100" s="3"/>
      <c r="X100" s="8">
        <f t="shared" si="18"/>
        <v>31942.82</v>
      </c>
      <c r="Y100" s="3"/>
      <c r="Z100" s="7">
        <f t="shared" si="19"/>
        <v>0.60952612478077417</v>
      </c>
    </row>
    <row r="101" spans="1:26" s="69" customFormat="1" ht="15" hidden="1" customHeight="1" outlineLevel="2" x14ac:dyDescent="0.3">
      <c r="A101" s="25"/>
      <c r="B101" s="12" t="str">
        <f>CONCATENATE("          ","6005"," - ","TEMPORARY WAGES-HOURLY")</f>
        <v xml:space="preserve">          6005 - TEMPORARY WAGES-HOURLY</v>
      </c>
      <c r="C101" s="12"/>
      <c r="D101" s="8">
        <v>3483.62</v>
      </c>
      <c r="E101" s="3"/>
      <c r="F101" s="7">
        <f t="shared" si="12"/>
        <v>6.3135482229093095E-3</v>
      </c>
      <c r="G101" s="3"/>
      <c r="H101" s="8">
        <v>8360.42</v>
      </c>
      <c r="I101" s="3"/>
      <c r="J101" s="7">
        <f t="shared" si="13"/>
        <v>5.0136630446769893E-2</v>
      </c>
      <c r="K101" s="3"/>
      <c r="L101" s="8">
        <f t="shared" si="14"/>
        <v>-4876.8</v>
      </c>
      <c r="M101" s="3"/>
      <c r="N101" s="7">
        <f t="shared" si="15"/>
        <v>-0.58331997674757974</v>
      </c>
      <c r="O101" s="12"/>
      <c r="P101" s="8">
        <v>32651.89</v>
      </c>
      <c r="Q101" s="3"/>
      <c r="R101" s="7">
        <f t="shared" si="16"/>
        <v>9.4037135059115828E-3</v>
      </c>
      <c r="S101" s="3"/>
      <c r="T101" s="8">
        <v>57220.05</v>
      </c>
      <c r="U101" s="3"/>
      <c r="V101" s="7">
        <f t="shared" si="17"/>
        <v>3.8167239318166686E-2</v>
      </c>
      <c r="W101" s="3"/>
      <c r="X101" s="8">
        <f t="shared" si="18"/>
        <v>-24568.160000000003</v>
      </c>
      <c r="Y101" s="3"/>
      <c r="Z101" s="7">
        <f t="shared" si="19"/>
        <v>-0.42936278454842319</v>
      </c>
    </row>
    <row r="102" spans="1:26" s="69" customFormat="1" ht="15" hidden="1" customHeight="1" outlineLevel="2" x14ac:dyDescent="0.3">
      <c r="A102" s="25"/>
      <c r="B102" s="12" t="str">
        <f>CONCATENATE("          ","6006"," - ","TEMPORARY PART TIME")</f>
        <v xml:space="preserve">          6006 - TEMPORARY PART TIME</v>
      </c>
      <c r="C102" s="12"/>
      <c r="D102" s="8"/>
      <c r="E102" s="3"/>
      <c r="F102" s="7">
        <f t="shared" si="12"/>
        <v>0</v>
      </c>
      <c r="G102" s="3"/>
      <c r="H102" s="8">
        <v>1476.19</v>
      </c>
      <c r="I102" s="3"/>
      <c r="J102" s="7">
        <f t="shared" si="13"/>
        <v>8.8525687105692353E-3</v>
      </c>
      <c r="K102" s="3"/>
      <c r="L102" s="8">
        <f t="shared" si="14"/>
        <v>-1476.19</v>
      </c>
      <c r="M102" s="3"/>
      <c r="N102" s="7">
        <f t="shared" si="15"/>
        <v>-1</v>
      </c>
      <c r="O102" s="12"/>
      <c r="P102" s="8"/>
      <c r="Q102" s="3"/>
      <c r="R102" s="7">
        <f t="shared" si="16"/>
        <v>0</v>
      </c>
      <c r="S102" s="3"/>
      <c r="T102" s="8">
        <v>2770.61</v>
      </c>
      <c r="U102" s="3"/>
      <c r="V102" s="7">
        <f t="shared" si="17"/>
        <v>1.8480678525675143E-3</v>
      </c>
      <c r="W102" s="3"/>
      <c r="X102" s="8">
        <f t="shared" si="18"/>
        <v>-2770.61</v>
      </c>
      <c r="Y102" s="3"/>
      <c r="Z102" s="7">
        <f t="shared" si="19"/>
        <v>-1</v>
      </c>
    </row>
    <row r="103" spans="1:26" s="69" customFormat="1" ht="15" hidden="1" customHeight="1" outlineLevel="2" x14ac:dyDescent="0.3">
      <c r="A103" s="25"/>
      <c r="B103" s="12" t="str">
        <f>CONCATENATE("          ","6007"," - ","STUDENT HOURLY")</f>
        <v xml:space="preserve">          6007 - STUDENT HOURLY</v>
      </c>
      <c r="C103" s="12"/>
      <c r="D103" s="8">
        <v>46824.38</v>
      </c>
      <c r="E103" s="3"/>
      <c r="F103" s="7">
        <f t="shared" si="12"/>
        <v>8.4862292999187683E-2</v>
      </c>
      <c r="G103" s="3"/>
      <c r="H103" s="8">
        <v>8046.35</v>
      </c>
      <c r="I103" s="3"/>
      <c r="J103" s="7">
        <f t="shared" si="13"/>
        <v>4.8253183021351433E-2</v>
      </c>
      <c r="K103" s="3"/>
      <c r="L103" s="8">
        <f t="shared" si="14"/>
        <v>38778.03</v>
      </c>
      <c r="M103" s="3"/>
      <c r="N103" s="7">
        <f t="shared" si="15"/>
        <v>4.8193317466925993</v>
      </c>
      <c r="O103" s="12"/>
      <c r="P103" s="8">
        <v>291211.27</v>
      </c>
      <c r="Q103" s="3"/>
      <c r="R103" s="7">
        <f t="shared" si="16"/>
        <v>8.3868570939466744E-2</v>
      </c>
      <c r="S103" s="3"/>
      <c r="T103" s="8">
        <v>68271.839999999997</v>
      </c>
      <c r="U103" s="3"/>
      <c r="V103" s="7">
        <f t="shared" si="17"/>
        <v>4.5539066393188832E-2</v>
      </c>
      <c r="W103" s="3"/>
      <c r="X103" s="8">
        <f t="shared" si="18"/>
        <v>222939.43000000002</v>
      </c>
      <c r="Y103" s="3"/>
      <c r="Z103" s="7">
        <f t="shared" si="19"/>
        <v>3.2654668454812414</v>
      </c>
    </row>
    <row r="104" spans="1:26" s="69" customFormat="1" ht="15" hidden="1" customHeight="1" outlineLevel="2" x14ac:dyDescent="0.3">
      <c r="A104" s="25"/>
      <c r="B104" s="12" t="str">
        <f>CONCATENATE("          ","6008"," - ","STUDENT HOURLY-FICA EXEMPT")</f>
        <v xml:space="preserve">          6008 - STUDENT HOURLY-FICA EXEMPT</v>
      </c>
      <c r="C104" s="12"/>
      <c r="D104" s="8">
        <v>9160.27</v>
      </c>
      <c r="E104" s="3"/>
      <c r="F104" s="7">
        <f t="shared" si="12"/>
        <v>1.6601640356832682E-2</v>
      </c>
      <c r="G104" s="3"/>
      <c r="H104" s="8">
        <v>1112.3699999999999</v>
      </c>
      <c r="I104" s="3"/>
      <c r="J104" s="7">
        <f t="shared" si="13"/>
        <v>6.6707753450273334E-3</v>
      </c>
      <c r="K104" s="3"/>
      <c r="L104" s="8">
        <f t="shared" si="14"/>
        <v>8047.9000000000005</v>
      </c>
      <c r="M104" s="3"/>
      <c r="N104" s="7">
        <f t="shared" si="15"/>
        <v>7.2349128437480346</v>
      </c>
      <c r="O104" s="12"/>
      <c r="P104" s="8">
        <v>69838.259999999995</v>
      </c>
      <c r="Q104" s="3"/>
      <c r="R104" s="7">
        <f t="shared" si="16"/>
        <v>2.0113352972564977E-2</v>
      </c>
      <c r="S104" s="3"/>
      <c r="T104" s="8">
        <v>7444.36</v>
      </c>
      <c r="U104" s="3"/>
      <c r="V104" s="7">
        <f t="shared" si="17"/>
        <v>4.965578843265382E-3</v>
      </c>
      <c r="W104" s="3"/>
      <c r="X104" s="8">
        <f t="shared" si="18"/>
        <v>62393.899999999994</v>
      </c>
      <c r="Y104" s="3"/>
      <c r="Z104" s="7">
        <f t="shared" si="19"/>
        <v>8.3813652214562424</v>
      </c>
    </row>
    <row r="105" spans="1:26" s="68" customFormat="1" ht="15" customHeight="1" outlineLevel="1" collapsed="1" x14ac:dyDescent="0.3">
      <c r="A105" s="26"/>
      <c r="B105" s="14" t="str">
        <f>CONCATENATE("     ","Advertising/Promo                                 ")</f>
        <v xml:space="preserve">     Advertising/Promo                                 </v>
      </c>
      <c r="C105" s="14"/>
      <c r="D105" s="2">
        <f>SUM(OSRRefD22_2x_0)</f>
        <v>2355.75</v>
      </c>
      <c r="E105" s="2"/>
      <c r="F105" s="6">
        <f t="shared" si="12"/>
        <v>4.2694499475024851E-3</v>
      </c>
      <c r="G105" s="2"/>
      <c r="H105" s="2">
        <f>SUM(OSRRefH22_2x_0)</f>
        <v>42.6</v>
      </c>
      <c r="I105" s="2"/>
      <c r="J105" s="6">
        <f t="shared" si="13"/>
        <v>2.5546808139213073E-4</v>
      </c>
      <c r="K105" s="2"/>
      <c r="L105" s="2">
        <f t="shared" si="14"/>
        <v>2313.15</v>
      </c>
      <c r="M105" s="2"/>
      <c r="N105" s="6">
        <f t="shared" si="15"/>
        <v>54.299295774647888</v>
      </c>
      <c r="O105" s="14"/>
      <c r="P105" s="2">
        <f>SUM(OSRRefP22_2x_0)</f>
        <v>8376.36</v>
      </c>
      <c r="Q105" s="2"/>
      <c r="R105" s="6">
        <f t="shared" si="16"/>
        <v>2.4123837751008461E-3</v>
      </c>
      <c r="S105" s="2"/>
      <c r="T105" s="2">
        <f>SUM(OSRRefT22_2x_0)</f>
        <v>13966.84</v>
      </c>
      <c r="U105" s="2"/>
      <c r="V105" s="6">
        <f t="shared" si="17"/>
        <v>9.3162401081184516E-3</v>
      </c>
      <c r="W105" s="2"/>
      <c r="X105" s="2">
        <f t="shared" si="18"/>
        <v>-5590.48</v>
      </c>
      <c r="Y105" s="2"/>
      <c r="Z105" s="6">
        <f t="shared" si="19"/>
        <v>-0.40026806349897326</v>
      </c>
    </row>
    <row r="106" spans="1:26" s="69" customFormat="1" ht="15" hidden="1" customHeight="1" outlineLevel="2" x14ac:dyDescent="0.3">
      <c r="A106" s="25"/>
      <c r="B106" s="12" t="str">
        <f>CONCATENATE("          ","6362"," - ","ADVERTISING EXPENSE")</f>
        <v xml:space="preserve">          6362 - ADVERTISING EXPENSE</v>
      </c>
      <c r="C106" s="12"/>
      <c r="D106" s="8">
        <v>2355.75</v>
      </c>
      <c r="E106" s="3"/>
      <c r="F106" s="7">
        <f t="shared" si="12"/>
        <v>4.2694499475024851E-3</v>
      </c>
      <c r="G106" s="3"/>
      <c r="H106" s="8">
        <v>42.6</v>
      </c>
      <c r="I106" s="3"/>
      <c r="J106" s="7">
        <f t="shared" si="13"/>
        <v>2.5546808139213073E-4</v>
      </c>
      <c r="K106" s="3"/>
      <c r="L106" s="8">
        <f t="shared" si="14"/>
        <v>2313.15</v>
      </c>
      <c r="M106" s="3"/>
      <c r="N106" s="7">
        <f t="shared" si="15"/>
        <v>54.299295774647888</v>
      </c>
      <c r="O106" s="12"/>
      <c r="P106" s="8">
        <v>8376.36</v>
      </c>
      <c r="Q106" s="3"/>
      <c r="R106" s="7">
        <f t="shared" si="16"/>
        <v>2.4123837751008461E-3</v>
      </c>
      <c r="S106" s="3"/>
      <c r="T106" s="8">
        <v>13966.84</v>
      </c>
      <c r="U106" s="3"/>
      <c r="V106" s="7">
        <f t="shared" si="17"/>
        <v>9.3162401081184516E-3</v>
      </c>
      <c r="W106" s="3"/>
      <c r="X106" s="8">
        <f t="shared" si="18"/>
        <v>-5590.48</v>
      </c>
      <c r="Y106" s="3"/>
      <c r="Z106" s="7">
        <f t="shared" si="19"/>
        <v>-0.40026806349897326</v>
      </c>
    </row>
    <row r="107" spans="1:26" s="68" customFormat="1" ht="15" customHeight="1" outlineLevel="1" collapsed="1" x14ac:dyDescent="0.3">
      <c r="A107" s="26"/>
      <c r="B107" s="14" t="str">
        <f>CONCATENATE("     ","Bad Debts/Over/Short                              ")</f>
        <v xml:space="preserve">     Bad Debts/Over/Short                              </v>
      </c>
      <c r="C107" s="14"/>
      <c r="D107" s="2">
        <f>SUM(OSRRefD22_3x_0)</f>
        <v>-15.72</v>
      </c>
      <c r="E107" s="2"/>
      <c r="F107" s="6">
        <f t="shared" si="12"/>
        <v>-2.8490184940990795E-5</v>
      </c>
      <c r="G107" s="2"/>
      <c r="H107" s="2">
        <f>SUM(OSRRefH22_3x_0)</f>
        <v>-20.41</v>
      </c>
      <c r="I107" s="2"/>
      <c r="J107" s="6">
        <f t="shared" si="13"/>
        <v>-1.2239679674209831E-4</v>
      </c>
      <c r="K107" s="2"/>
      <c r="L107" s="2">
        <f t="shared" si="14"/>
        <v>4.6899999999999995</v>
      </c>
      <c r="M107" s="2"/>
      <c r="N107" s="6">
        <f t="shared" si="15"/>
        <v>-0.22978931896129345</v>
      </c>
      <c r="O107" s="14"/>
      <c r="P107" s="2">
        <f>SUM(OSRRefP22_3x_0)</f>
        <v>-57.79</v>
      </c>
      <c r="Q107" s="2"/>
      <c r="R107" s="6">
        <f t="shared" si="16"/>
        <v>-1.6643465462692373E-5</v>
      </c>
      <c r="S107" s="2"/>
      <c r="T107" s="2">
        <f>SUM(OSRRefT22_3x_0)</f>
        <v>-22.26</v>
      </c>
      <c r="U107" s="2"/>
      <c r="V107" s="6">
        <f t="shared" si="17"/>
        <v>-1.4847990297498698E-5</v>
      </c>
      <c r="W107" s="2"/>
      <c r="X107" s="2">
        <f t="shared" si="18"/>
        <v>-35.53</v>
      </c>
      <c r="Y107" s="2"/>
      <c r="Z107" s="6">
        <f t="shared" si="19"/>
        <v>1.5961365678346811</v>
      </c>
    </row>
    <row r="108" spans="1:26" s="69" customFormat="1" ht="15" hidden="1" customHeight="1" outlineLevel="2" x14ac:dyDescent="0.3">
      <c r="A108" s="25"/>
      <c r="B108" s="12" t="str">
        <f>CONCATENATE("          ","6272"," - ","CASH (OVER/SHORT)")</f>
        <v xml:space="preserve">          6272 - CASH (OVER/SHORT)</v>
      </c>
      <c r="C108" s="12"/>
      <c r="D108" s="8">
        <v>-15.72</v>
      </c>
      <c r="E108" s="3"/>
      <c r="F108" s="7">
        <f t="shared" si="12"/>
        <v>-2.8490184940990795E-5</v>
      </c>
      <c r="G108" s="3"/>
      <c r="H108" s="8">
        <v>-20.41</v>
      </c>
      <c r="I108" s="3"/>
      <c r="J108" s="7">
        <f t="shared" si="13"/>
        <v>-1.2239679674209831E-4</v>
      </c>
      <c r="K108" s="3"/>
      <c r="L108" s="8">
        <f t="shared" si="14"/>
        <v>4.6899999999999995</v>
      </c>
      <c r="M108" s="3"/>
      <c r="N108" s="7">
        <f t="shared" si="15"/>
        <v>-0.22978931896129345</v>
      </c>
      <c r="O108" s="12"/>
      <c r="P108" s="8">
        <v>-57.79</v>
      </c>
      <c r="Q108" s="3"/>
      <c r="R108" s="7">
        <f t="shared" si="16"/>
        <v>-1.6643465462692373E-5</v>
      </c>
      <c r="S108" s="3"/>
      <c r="T108" s="8">
        <v>-22.26</v>
      </c>
      <c r="U108" s="3"/>
      <c r="V108" s="7">
        <f t="shared" si="17"/>
        <v>-1.4847990297498698E-5</v>
      </c>
      <c r="W108" s="3"/>
      <c r="X108" s="8">
        <f t="shared" si="18"/>
        <v>-35.53</v>
      </c>
      <c r="Y108" s="3"/>
      <c r="Z108" s="7">
        <f t="shared" si="19"/>
        <v>1.5961365678346811</v>
      </c>
    </row>
    <row r="109" spans="1:26" s="68" customFormat="1" ht="15" customHeight="1" outlineLevel="1" collapsed="1" x14ac:dyDescent="0.3">
      <c r="A109" s="26"/>
      <c r="B109" s="14" t="str">
        <f>CONCATENATE("     ","Bank/card Fees                                    ")</f>
        <v xml:space="preserve">     Bank/card Fees                                    </v>
      </c>
      <c r="C109" s="14"/>
      <c r="D109" s="2">
        <f>SUM(OSRRefD22_4x_0)</f>
        <v>508.74</v>
      </c>
      <c r="E109" s="2"/>
      <c r="F109" s="6">
        <f t="shared" si="12"/>
        <v>9.2201632868191199E-4</v>
      </c>
      <c r="G109" s="2"/>
      <c r="H109" s="2">
        <f>SUM(OSRRefH22_4x_0)</f>
        <v>470.17</v>
      </c>
      <c r="I109" s="2"/>
      <c r="J109" s="6">
        <f t="shared" si="13"/>
        <v>2.8195640335243687E-3</v>
      </c>
      <c r="K109" s="2"/>
      <c r="L109" s="2">
        <f t="shared" si="14"/>
        <v>38.569999999999993</v>
      </c>
      <c r="M109" s="2"/>
      <c r="N109" s="6">
        <f t="shared" si="15"/>
        <v>8.2034157857796094E-2</v>
      </c>
      <c r="O109" s="14"/>
      <c r="P109" s="2">
        <f>SUM(OSRRefP22_4x_0)</f>
        <v>4774.95</v>
      </c>
      <c r="Q109" s="2"/>
      <c r="R109" s="6">
        <f t="shared" si="16"/>
        <v>1.3751810938065917E-3</v>
      </c>
      <c r="S109" s="2"/>
      <c r="T109" s="2">
        <f>SUM(OSRRefT22_4x_0)</f>
        <v>3337.9</v>
      </c>
      <c r="U109" s="2"/>
      <c r="V109" s="6">
        <f t="shared" si="17"/>
        <v>2.2264648164429875E-3</v>
      </c>
      <c r="W109" s="2"/>
      <c r="X109" s="2">
        <f t="shared" si="18"/>
        <v>1437.0499999999997</v>
      </c>
      <c r="Y109" s="2"/>
      <c r="Z109" s="6">
        <f t="shared" si="19"/>
        <v>0.43052518050271121</v>
      </c>
    </row>
    <row r="110" spans="1:26" s="69" customFormat="1" ht="15" hidden="1" customHeight="1" outlineLevel="2" x14ac:dyDescent="0.3">
      <c r="A110" s="25"/>
      <c r="B110" s="12" t="str">
        <f>CONCATENATE("          ","6381"," - ","BANK/CREDIT CARD FEES")</f>
        <v xml:space="preserve">          6381 - BANK/CREDIT CARD FEES</v>
      </c>
      <c r="C110" s="12"/>
      <c r="D110" s="8">
        <v>508.74</v>
      </c>
      <c r="E110" s="3"/>
      <c r="F110" s="7">
        <f t="shared" si="12"/>
        <v>9.2201632868191199E-4</v>
      </c>
      <c r="G110" s="3"/>
      <c r="H110" s="8">
        <v>470.17</v>
      </c>
      <c r="I110" s="3"/>
      <c r="J110" s="7">
        <f t="shared" si="13"/>
        <v>2.8195640335243687E-3</v>
      </c>
      <c r="K110" s="3"/>
      <c r="L110" s="8">
        <f t="shared" si="14"/>
        <v>38.569999999999993</v>
      </c>
      <c r="M110" s="3"/>
      <c r="N110" s="7">
        <f t="shared" si="15"/>
        <v>8.2034157857796094E-2</v>
      </c>
      <c r="O110" s="12"/>
      <c r="P110" s="8">
        <v>4774.95</v>
      </c>
      <c r="Q110" s="3"/>
      <c r="R110" s="7">
        <f t="shared" si="16"/>
        <v>1.3751810938065917E-3</v>
      </c>
      <c r="S110" s="3"/>
      <c r="T110" s="8">
        <v>3337.9</v>
      </c>
      <c r="U110" s="3"/>
      <c r="V110" s="7">
        <f t="shared" si="17"/>
        <v>2.2264648164429875E-3</v>
      </c>
      <c r="W110" s="3"/>
      <c r="X110" s="8">
        <f t="shared" si="18"/>
        <v>1437.0499999999997</v>
      </c>
      <c r="Y110" s="3"/>
      <c r="Z110" s="7">
        <f t="shared" si="19"/>
        <v>0.43052518050271121</v>
      </c>
    </row>
    <row r="111" spans="1:26" s="68" customFormat="1" ht="15" customHeight="1" outlineLevel="1" collapsed="1" x14ac:dyDescent="0.3">
      <c r="A111" s="26"/>
      <c r="B111" s="14" t="str">
        <f>CONCATENATE("     ","Discounts and Markdowns                           ")</f>
        <v xml:space="preserve">     Discounts and Markdowns                           </v>
      </c>
      <c r="C111" s="14"/>
      <c r="D111" s="2">
        <f>SUM(OSRRefD22_5x_0)</f>
        <v>-0.67</v>
      </c>
      <c r="E111" s="2"/>
      <c r="F111" s="6">
        <f t="shared" si="12"/>
        <v>-1.2142763301821776E-6</v>
      </c>
      <c r="G111" s="2"/>
      <c r="H111" s="2">
        <f>SUM(OSRRefH22_5x_0)</f>
        <v>0</v>
      </c>
      <c r="I111" s="2"/>
      <c r="J111" s="6">
        <f t="shared" si="13"/>
        <v>0</v>
      </c>
      <c r="K111" s="2"/>
      <c r="L111" s="2">
        <f t="shared" si="14"/>
        <v>-0.67</v>
      </c>
      <c r="M111" s="2"/>
      <c r="N111" s="6">
        <f t="shared" si="15"/>
        <v>0</v>
      </c>
      <c r="O111" s="14"/>
      <c r="P111" s="2">
        <f>SUM(OSRRefP22_5x_0)</f>
        <v>-0.67</v>
      </c>
      <c r="Q111" s="2"/>
      <c r="R111" s="6">
        <f t="shared" si="16"/>
        <v>-1.929593677107439E-7</v>
      </c>
      <c r="S111" s="2"/>
      <c r="T111" s="2">
        <f>SUM(OSRRefT22_5x_0)</f>
        <v>0</v>
      </c>
      <c r="U111" s="2"/>
      <c r="V111" s="6">
        <f t="shared" si="17"/>
        <v>0</v>
      </c>
      <c r="W111" s="2"/>
      <c r="X111" s="2">
        <f t="shared" si="18"/>
        <v>-0.67</v>
      </c>
      <c r="Y111" s="2"/>
      <c r="Z111" s="6">
        <f t="shared" si="19"/>
        <v>0</v>
      </c>
    </row>
    <row r="112" spans="1:26" s="69" customFormat="1" ht="15" hidden="1" customHeight="1" outlineLevel="2" x14ac:dyDescent="0.3">
      <c r="A112" s="25"/>
      <c r="B112" s="12" t="str">
        <f>CONCATENATE("          ","6382"," - ","DISCOUNTS/MARK DOWNS")</f>
        <v xml:space="preserve">          6382 - DISCOUNTS/MARK DOWNS</v>
      </c>
      <c r="C112" s="12"/>
      <c r="D112" s="8"/>
      <c r="E112" s="3"/>
      <c r="F112" s="7">
        <f t="shared" si="12"/>
        <v>0</v>
      </c>
      <c r="G112" s="3"/>
      <c r="H112" s="8">
        <v>0</v>
      </c>
      <c r="I112" s="3"/>
      <c r="J112" s="7">
        <f t="shared" si="13"/>
        <v>0</v>
      </c>
      <c r="K112" s="3"/>
      <c r="L112" s="8">
        <f t="shared" si="14"/>
        <v>0</v>
      </c>
      <c r="M112" s="3"/>
      <c r="N112" s="7">
        <f t="shared" si="15"/>
        <v>0</v>
      </c>
      <c r="O112" s="12"/>
      <c r="P112" s="8"/>
      <c r="Q112" s="3"/>
      <c r="R112" s="7">
        <f t="shared" si="16"/>
        <v>0</v>
      </c>
      <c r="S112" s="3"/>
      <c r="T112" s="8">
        <v>0</v>
      </c>
      <c r="U112" s="3"/>
      <c r="V112" s="7">
        <f t="shared" si="17"/>
        <v>0</v>
      </c>
      <c r="W112" s="3"/>
      <c r="X112" s="8">
        <f t="shared" si="18"/>
        <v>0</v>
      </c>
      <c r="Y112" s="3"/>
      <c r="Z112" s="7">
        <f t="shared" si="19"/>
        <v>0</v>
      </c>
    </row>
    <row r="113" spans="1:26" s="69" customFormat="1" ht="15" hidden="1" customHeight="1" outlineLevel="2" x14ac:dyDescent="0.3">
      <c r="A113" s="25"/>
      <c r="B113" s="12" t="str">
        <f>CONCATENATE("          ","9175"," - ","EARNED DISCOUNTS")</f>
        <v xml:space="preserve">          9175 - EARNED DISCOUNTS</v>
      </c>
      <c r="C113" s="12"/>
      <c r="D113" s="8">
        <v>-0.67</v>
      </c>
      <c r="E113" s="3"/>
      <c r="F113" s="7">
        <f t="shared" si="12"/>
        <v>-1.2142763301821776E-6</v>
      </c>
      <c r="G113" s="3"/>
      <c r="H113" s="8"/>
      <c r="I113" s="3"/>
      <c r="J113" s="7">
        <f t="shared" si="13"/>
        <v>0</v>
      </c>
      <c r="K113" s="3"/>
      <c r="L113" s="8">
        <f t="shared" si="14"/>
        <v>-0.67</v>
      </c>
      <c r="M113" s="3"/>
      <c r="N113" s="7">
        <f t="shared" si="15"/>
        <v>0</v>
      </c>
      <c r="O113" s="12"/>
      <c r="P113" s="8">
        <v>-0.67</v>
      </c>
      <c r="Q113" s="3"/>
      <c r="R113" s="7">
        <f t="shared" si="16"/>
        <v>-1.929593677107439E-7</v>
      </c>
      <c r="S113" s="3"/>
      <c r="T113" s="8">
        <v>0</v>
      </c>
      <c r="U113" s="3"/>
      <c r="V113" s="7">
        <f t="shared" si="17"/>
        <v>0</v>
      </c>
      <c r="W113" s="3"/>
      <c r="X113" s="8">
        <f t="shared" si="18"/>
        <v>-0.67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6"/>
      <c r="B114" s="14" t="str">
        <f>CONCATENATE("     ","Employees' Appreciation                           ")</f>
        <v xml:space="preserve">     Employees' Appreciation                           </v>
      </c>
      <c r="C114" s="14"/>
      <c r="D114" s="2">
        <f>SUM(OSRRefD22_6x_0)</f>
        <v>74.69</v>
      </c>
      <c r="E114" s="2"/>
      <c r="F114" s="6">
        <f t="shared" si="12"/>
        <v>1.3536462552433856E-4</v>
      </c>
      <c r="G114" s="2"/>
      <c r="H114" s="2">
        <f>SUM(OSRRefH22_6x_0)</f>
        <v>0</v>
      </c>
      <c r="I114" s="2"/>
      <c r="J114" s="6">
        <f t="shared" si="13"/>
        <v>0</v>
      </c>
      <c r="K114" s="2"/>
      <c r="L114" s="2">
        <f t="shared" si="14"/>
        <v>74.69</v>
      </c>
      <c r="M114" s="2"/>
      <c r="N114" s="6">
        <f t="shared" si="15"/>
        <v>0</v>
      </c>
      <c r="O114" s="14"/>
      <c r="P114" s="2">
        <f>SUM(OSRRefP22_6x_0)</f>
        <v>291.13</v>
      </c>
      <c r="Q114" s="2"/>
      <c r="R114" s="6">
        <f t="shared" si="16"/>
        <v>8.3845165256162481E-5</v>
      </c>
      <c r="S114" s="2"/>
      <c r="T114" s="2">
        <f>SUM(OSRRefT22_6x_0)</f>
        <v>0</v>
      </c>
      <c r="U114" s="2"/>
      <c r="V114" s="6">
        <f t="shared" si="17"/>
        <v>0</v>
      </c>
      <c r="W114" s="2"/>
      <c r="X114" s="2">
        <f t="shared" si="18"/>
        <v>291.13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5"/>
      <c r="B115" s="12" t="str">
        <f>CONCATENATE("          ","6277"," - ","EMPLOYEE APPRECIATION")</f>
        <v xml:space="preserve">          6277 - EMPLOYEE APPRECIATION</v>
      </c>
      <c r="C115" s="12"/>
      <c r="D115" s="8">
        <v>74.69</v>
      </c>
      <c r="E115" s="3"/>
      <c r="F115" s="7">
        <f t="shared" si="12"/>
        <v>1.3536462552433856E-4</v>
      </c>
      <c r="G115" s="3"/>
      <c r="H115" s="8"/>
      <c r="I115" s="3"/>
      <c r="J115" s="7">
        <f t="shared" si="13"/>
        <v>0</v>
      </c>
      <c r="K115" s="3"/>
      <c r="L115" s="8">
        <f t="shared" si="14"/>
        <v>74.69</v>
      </c>
      <c r="M115" s="3"/>
      <c r="N115" s="7">
        <f t="shared" si="15"/>
        <v>0</v>
      </c>
      <c r="O115" s="12"/>
      <c r="P115" s="8">
        <v>291.13</v>
      </c>
      <c r="Q115" s="3"/>
      <c r="R115" s="7">
        <f t="shared" si="16"/>
        <v>8.3845165256162481E-5</v>
      </c>
      <c r="S115" s="3"/>
      <c r="T115" s="8"/>
      <c r="U115" s="3"/>
      <c r="V115" s="7">
        <f t="shared" si="17"/>
        <v>0</v>
      </c>
      <c r="W115" s="3"/>
      <c r="X115" s="8">
        <f t="shared" si="18"/>
        <v>291.13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6"/>
      <c r="B116" s="14" t="str">
        <f>CONCATENATE("     ","Equipment Rental                                  ")</f>
        <v xml:space="preserve">     Equipment Rental                                  </v>
      </c>
      <c r="C116" s="14"/>
      <c r="D116" s="2">
        <f>SUM(OSRRefD22_7x_0)</f>
        <v>0</v>
      </c>
      <c r="E116" s="2"/>
      <c r="F116" s="6">
        <f t="shared" si="12"/>
        <v>0</v>
      </c>
      <c r="G116" s="2"/>
      <c r="H116" s="2">
        <f>SUM(OSRRefH22_7x_0)</f>
        <v>0</v>
      </c>
      <c r="I116" s="2"/>
      <c r="J116" s="6">
        <f t="shared" si="13"/>
        <v>0</v>
      </c>
      <c r="K116" s="2"/>
      <c r="L116" s="2">
        <f t="shared" si="14"/>
        <v>0</v>
      </c>
      <c r="M116" s="2"/>
      <c r="N116" s="6">
        <f t="shared" si="15"/>
        <v>0</v>
      </c>
      <c r="O116" s="14"/>
      <c r="P116" s="2">
        <f>SUM(OSRRefP22_7x_0)</f>
        <v>118.91</v>
      </c>
      <c r="Q116" s="2"/>
      <c r="R116" s="6">
        <f t="shared" si="16"/>
        <v>3.4245967782812766E-5</v>
      </c>
      <c r="S116" s="2"/>
      <c r="T116" s="2">
        <f>SUM(OSRRefT22_7x_0)</f>
        <v>0</v>
      </c>
      <c r="U116" s="2"/>
      <c r="V116" s="6">
        <f t="shared" si="17"/>
        <v>0</v>
      </c>
      <c r="W116" s="2"/>
      <c r="X116" s="2">
        <f t="shared" si="18"/>
        <v>118.91</v>
      </c>
      <c r="Y116" s="2"/>
      <c r="Z116" s="6">
        <f t="shared" si="19"/>
        <v>0</v>
      </c>
    </row>
    <row r="117" spans="1:26" s="69" customFormat="1" ht="15" hidden="1" customHeight="1" outlineLevel="2" x14ac:dyDescent="0.3">
      <c r="A117" s="25"/>
      <c r="B117" s="12" t="str">
        <f>CONCATENATE("          ","6351"," - ","EQUIPMENT RENTAL")</f>
        <v xml:space="preserve">          6351 - EQUIPMENT RENTAL</v>
      </c>
      <c r="C117" s="12"/>
      <c r="D117" s="8"/>
      <c r="E117" s="3"/>
      <c r="F117" s="7">
        <f t="shared" si="12"/>
        <v>0</v>
      </c>
      <c r="G117" s="3"/>
      <c r="H117" s="8"/>
      <c r="I117" s="3"/>
      <c r="J117" s="7">
        <f t="shared" si="13"/>
        <v>0</v>
      </c>
      <c r="K117" s="3"/>
      <c r="L117" s="8">
        <f t="shared" si="14"/>
        <v>0</v>
      </c>
      <c r="M117" s="3"/>
      <c r="N117" s="7">
        <f t="shared" si="15"/>
        <v>0</v>
      </c>
      <c r="O117" s="12"/>
      <c r="P117" s="8">
        <v>118.91</v>
      </c>
      <c r="Q117" s="3"/>
      <c r="R117" s="7">
        <f t="shared" si="16"/>
        <v>3.4245967782812766E-5</v>
      </c>
      <c r="S117" s="3"/>
      <c r="T117" s="8"/>
      <c r="U117" s="3"/>
      <c r="V117" s="7">
        <f t="shared" si="17"/>
        <v>0</v>
      </c>
      <c r="W117" s="3"/>
      <c r="X117" s="8">
        <f t="shared" si="18"/>
        <v>118.91</v>
      </c>
      <c r="Y117" s="3"/>
      <c r="Z117" s="7">
        <f t="shared" si="19"/>
        <v>0</v>
      </c>
    </row>
    <row r="118" spans="1:26" s="68" customFormat="1" ht="15" customHeight="1" outlineLevel="1" collapsed="1" x14ac:dyDescent="0.3">
      <c r="A118" s="26"/>
      <c r="B118" s="14" t="str">
        <f>CONCATENATE("     ","Freight out/Postage                               ")</f>
        <v xml:space="preserve">     Freight out/Postage                               </v>
      </c>
      <c r="C118" s="14"/>
      <c r="D118" s="2">
        <f>SUM(OSRRefD22_8x_0)</f>
        <v>0</v>
      </c>
      <c r="E118" s="2"/>
      <c r="F118" s="6">
        <f t="shared" si="12"/>
        <v>0</v>
      </c>
      <c r="G118" s="2"/>
      <c r="H118" s="2">
        <f>SUM(OSRRefH22_8x_0)</f>
        <v>-502.63</v>
      </c>
      <c r="I118" s="2"/>
      <c r="J118" s="6">
        <f t="shared" si="13"/>
        <v>-3.0142235152611891E-3</v>
      </c>
      <c r="K118" s="2"/>
      <c r="L118" s="2">
        <f t="shared" si="14"/>
        <v>502.63</v>
      </c>
      <c r="M118" s="2"/>
      <c r="N118" s="6">
        <f t="shared" si="15"/>
        <v>-1</v>
      </c>
      <c r="O118" s="14"/>
      <c r="P118" s="2">
        <f>SUM(OSRRefP22_8x_0)</f>
        <v>983.79</v>
      </c>
      <c r="Q118" s="2"/>
      <c r="R118" s="6">
        <f t="shared" si="16"/>
        <v>2.8333059158231746E-4</v>
      </c>
      <c r="S118" s="2"/>
      <c r="T118" s="2">
        <f>SUM(OSRRefT22_8x_0)</f>
        <v>-216.09999999999997</v>
      </c>
      <c r="U118" s="2"/>
      <c r="V118" s="6">
        <f t="shared" si="17"/>
        <v>-1.4414423644606774E-4</v>
      </c>
      <c r="W118" s="2"/>
      <c r="X118" s="2">
        <f t="shared" si="18"/>
        <v>1199.8899999999999</v>
      </c>
      <c r="Y118" s="2"/>
      <c r="Z118" s="6">
        <f t="shared" si="19"/>
        <v>-5.5524757056918093</v>
      </c>
    </row>
    <row r="119" spans="1:26" s="69" customFormat="1" ht="15" hidden="1" customHeight="1" outlineLevel="2" x14ac:dyDescent="0.3">
      <c r="A119" s="25"/>
      <c r="B119" s="12" t="str">
        <f>CONCATENATE("          ","6305"," - ","FREIGHT OUT")</f>
        <v xml:space="preserve">          6305 - FREIGHT OUT</v>
      </c>
      <c r="C119" s="12"/>
      <c r="D119" s="8"/>
      <c r="E119" s="3"/>
      <c r="F119" s="7">
        <f t="shared" si="12"/>
        <v>0</v>
      </c>
      <c r="G119" s="3"/>
      <c r="H119" s="8">
        <v>-233.44</v>
      </c>
      <c r="I119" s="3"/>
      <c r="J119" s="7">
        <f t="shared" si="13"/>
        <v>-1.3999171108023238E-3</v>
      </c>
      <c r="K119" s="3"/>
      <c r="L119" s="8">
        <f t="shared" si="14"/>
        <v>233.44</v>
      </c>
      <c r="M119" s="3"/>
      <c r="N119" s="7">
        <f t="shared" si="15"/>
        <v>-1</v>
      </c>
      <c r="O119" s="12"/>
      <c r="P119" s="8">
        <v>893.87</v>
      </c>
      <c r="Q119" s="3"/>
      <c r="R119" s="7">
        <f t="shared" si="16"/>
        <v>2.5743371644119798E-4</v>
      </c>
      <c r="S119" s="3"/>
      <c r="T119" s="8">
        <v>73.239999999999995</v>
      </c>
      <c r="U119" s="3"/>
      <c r="V119" s="7">
        <f t="shared" si="17"/>
        <v>4.8852956396621945E-5</v>
      </c>
      <c r="W119" s="3"/>
      <c r="X119" s="8">
        <f t="shared" si="18"/>
        <v>820.63</v>
      </c>
      <c r="Y119" s="3"/>
      <c r="Z119" s="7">
        <f t="shared" si="19"/>
        <v>11.204669579464774</v>
      </c>
    </row>
    <row r="120" spans="1:26" s="69" customFormat="1" ht="15" hidden="1" customHeight="1" outlineLevel="2" x14ac:dyDescent="0.3">
      <c r="A120" s="25"/>
      <c r="B120" s="12" t="str">
        <f>CONCATENATE("          ","6307"," - ","POSTAGE")</f>
        <v xml:space="preserve">          6307 - POSTAGE</v>
      </c>
      <c r="C120" s="12"/>
      <c r="D120" s="8"/>
      <c r="E120" s="3"/>
      <c r="F120" s="7">
        <f t="shared" ref="F120:F151" si="20">IF(D$12=0,0,D120/D$12)</f>
        <v>0</v>
      </c>
      <c r="G120" s="3"/>
      <c r="H120" s="8">
        <v>-269.19</v>
      </c>
      <c r="I120" s="3"/>
      <c r="J120" s="7">
        <f t="shared" ref="J120:J151" si="21">IF(H$12=0,0,H120/H$12)</f>
        <v>-1.6143064044588655E-3</v>
      </c>
      <c r="K120" s="3"/>
      <c r="L120" s="8">
        <f t="shared" ref="L120:L151" si="22">+D120-H120</f>
        <v>269.19</v>
      </c>
      <c r="M120" s="3"/>
      <c r="N120" s="7">
        <f t="shared" ref="N120:N151" si="23">IF(H120=0,0,L120/H120)</f>
        <v>-1</v>
      </c>
      <c r="O120" s="12"/>
      <c r="P120" s="8">
        <v>89.92</v>
      </c>
      <c r="Q120" s="3"/>
      <c r="R120" s="7">
        <f t="shared" ref="R120:R151" si="24">IF(P$12=0,0,P120/P$12)</f>
        <v>2.5896875141119539E-5</v>
      </c>
      <c r="S120" s="3"/>
      <c r="T120" s="8">
        <v>-289.33999999999997</v>
      </c>
      <c r="U120" s="3"/>
      <c r="V120" s="7">
        <f t="shared" ref="V120:V151" si="25">IF(T$12=0,0,T120/T$12)</f>
        <v>-1.9299719284268972E-4</v>
      </c>
      <c r="W120" s="3"/>
      <c r="X120" s="8">
        <f t="shared" ref="X120:X151" si="26">+P120-T120</f>
        <v>379.26</v>
      </c>
      <c r="Y120" s="3"/>
      <c r="Z120" s="7">
        <f t="shared" ref="Z120:Z151" si="27">IF(T120=0,0,X120/T120)</f>
        <v>-1.3107762493951753</v>
      </c>
    </row>
    <row r="121" spans="1:26" s="68" customFormat="1" ht="15" customHeight="1" outlineLevel="1" collapsed="1" x14ac:dyDescent="0.3">
      <c r="A121" s="26"/>
      <c r="B121" s="14" t="str">
        <f>CONCATENATE("     ","General                                           ")</f>
        <v xml:space="preserve">     General                                           </v>
      </c>
      <c r="C121" s="14"/>
      <c r="D121" s="2">
        <f>SUM(OSRRefD22_9x_0)</f>
        <v>119.1</v>
      </c>
      <c r="E121" s="2"/>
      <c r="F121" s="6">
        <f t="shared" si="20"/>
        <v>2.1585121033536916E-4</v>
      </c>
      <c r="G121" s="2"/>
      <c r="H121" s="2">
        <f>SUM(OSRRefH22_9x_0)</f>
        <v>0</v>
      </c>
      <c r="I121" s="2"/>
      <c r="J121" s="6">
        <f t="shared" si="21"/>
        <v>0</v>
      </c>
      <c r="K121" s="2"/>
      <c r="L121" s="2">
        <f t="shared" si="22"/>
        <v>119.1</v>
      </c>
      <c r="M121" s="2"/>
      <c r="N121" s="6">
        <f t="shared" si="23"/>
        <v>0</v>
      </c>
      <c r="O121" s="14"/>
      <c r="P121" s="2">
        <f>SUM(OSRRefP22_9x_0)</f>
        <v>2959.34</v>
      </c>
      <c r="Q121" s="2"/>
      <c r="R121" s="6">
        <f t="shared" si="24"/>
        <v>8.5228712722554148E-4</v>
      </c>
      <c r="S121" s="2"/>
      <c r="T121" s="2">
        <f>SUM(OSRRefT22_9x_0)</f>
        <v>2165.0100000000002</v>
      </c>
      <c r="U121" s="2"/>
      <c r="V121" s="6">
        <f t="shared" si="25"/>
        <v>1.4441171371962112E-3</v>
      </c>
      <c r="W121" s="2"/>
      <c r="X121" s="2">
        <f t="shared" si="26"/>
        <v>794.32999999999993</v>
      </c>
      <c r="Y121" s="2"/>
      <c r="Z121" s="6">
        <f t="shared" si="27"/>
        <v>0.36689437924074247</v>
      </c>
    </row>
    <row r="122" spans="1:26" s="69" customFormat="1" ht="15" hidden="1" customHeight="1" outlineLevel="2" x14ac:dyDescent="0.3">
      <c r="A122" s="25"/>
      <c r="B122" s="12" t="str">
        <f>CONCATENATE("          ","6279"," - ","GENERAL EXPENSE")</f>
        <v xml:space="preserve">          6279 - GENERAL EXPENSE</v>
      </c>
      <c r="C122" s="12"/>
      <c r="D122" s="8">
        <v>119.1</v>
      </c>
      <c r="E122" s="3"/>
      <c r="F122" s="7">
        <f t="shared" si="20"/>
        <v>2.1585121033536916E-4</v>
      </c>
      <c r="G122" s="3"/>
      <c r="H122" s="8"/>
      <c r="I122" s="3"/>
      <c r="J122" s="7">
        <f t="shared" si="21"/>
        <v>0</v>
      </c>
      <c r="K122" s="3"/>
      <c r="L122" s="8">
        <f t="shared" si="22"/>
        <v>119.1</v>
      </c>
      <c r="M122" s="3"/>
      <c r="N122" s="7">
        <f t="shared" si="23"/>
        <v>0</v>
      </c>
      <c r="O122" s="12"/>
      <c r="P122" s="8">
        <v>2959.34</v>
      </c>
      <c r="Q122" s="3"/>
      <c r="R122" s="7">
        <f t="shared" si="24"/>
        <v>8.5228712722554148E-4</v>
      </c>
      <c r="S122" s="3"/>
      <c r="T122" s="8">
        <v>2165.0100000000002</v>
      </c>
      <c r="U122" s="3"/>
      <c r="V122" s="7">
        <f t="shared" si="25"/>
        <v>1.4441171371962112E-3</v>
      </c>
      <c r="W122" s="3"/>
      <c r="X122" s="8">
        <f t="shared" si="26"/>
        <v>794.32999999999993</v>
      </c>
      <c r="Y122" s="3"/>
      <c r="Z122" s="7">
        <f t="shared" si="27"/>
        <v>0.36689437924074247</v>
      </c>
    </row>
    <row r="123" spans="1:26" s="68" customFormat="1" ht="15" customHeight="1" outlineLevel="1" collapsed="1" x14ac:dyDescent="0.3">
      <c r="A123" s="26"/>
      <c r="B123" s="14" t="str">
        <f>CONCATENATE("     ","Insurance                                         ")</f>
        <v xml:space="preserve">     Insurance                                         </v>
      </c>
      <c r="C123" s="14"/>
      <c r="D123" s="2">
        <f>SUM(OSRRefD22_10x_0)</f>
        <v>219.08</v>
      </c>
      <c r="E123" s="2"/>
      <c r="F123" s="6">
        <f t="shared" si="20"/>
        <v>3.9705023644225594E-4</v>
      </c>
      <c r="G123" s="2"/>
      <c r="H123" s="2">
        <f>SUM(OSRRefH22_10x_0)</f>
        <v>161.18</v>
      </c>
      <c r="I123" s="2"/>
      <c r="J123" s="6">
        <f t="shared" si="21"/>
        <v>9.6658087696675191E-4</v>
      </c>
      <c r="K123" s="2"/>
      <c r="L123" s="2">
        <f t="shared" si="22"/>
        <v>57.900000000000006</v>
      </c>
      <c r="M123" s="2"/>
      <c r="N123" s="6">
        <f t="shared" si="23"/>
        <v>0.35922571038590395</v>
      </c>
      <c r="O123" s="14"/>
      <c r="P123" s="2">
        <f>SUM(OSRRefP22_10x_0)</f>
        <v>1971.72</v>
      </c>
      <c r="Q123" s="2"/>
      <c r="R123" s="6">
        <f t="shared" si="24"/>
        <v>5.6785349925765366E-4</v>
      </c>
      <c r="S123" s="2"/>
      <c r="T123" s="2">
        <f>SUM(OSRRefT22_10x_0)</f>
        <v>1450.62</v>
      </c>
      <c r="U123" s="2"/>
      <c r="V123" s="6">
        <f t="shared" si="25"/>
        <v>9.6760070464319676E-4</v>
      </c>
      <c r="W123" s="2"/>
      <c r="X123" s="2">
        <f t="shared" si="26"/>
        <v>521.10000000000014</v>
      </c>
      <c r="Y123" s="2"/>
      <c r="Z123" s="6">
        <f t="shared" si="27"/>
        <v>0.35922571038590406</v>
      </c>
    </row>
    <row r="124" spans="1:26" s="69" customFormat="1" ht="15" hidden="1" customHeight="1" outlineLevel="2" x14ac:dyDescent="0.3">
      <c r="A124" s="25"/>
      <c r="B124" s="12" t="str">
        <f>CONCATENATE("          ","6314"," - ","LIABILITY INSURANCE")</f>
        <v xml:space="preserve">          6314 - LIABILITY INSURANCE</v>
      </c>
      <c r="C124" s="12"/>
      <c r="D124" s="8">
        <v>219.08</v>
      </c>
      <c r="E124" s="3"/>
      <c r="F124" s="7">
        <f t="shared" si="20"/>
        <v>3.9705023644225594E-4</v>
      </c>
      <c r="G124" s="3"/>
      <c r="H124" s="8">
        <v>161.18</v>
      </c>
      <c r="I124" s="3"/>
      <c r="J124" s="7">
        <f t="shared" si="21"/>
        <v>9.6658087696675191E-4</v>
      </c>
      <c r="K124" s="3"/>
      <c r="L124" s="8">
        <f t="shared" si="22"/>
        <v>57.900000000000006</v>
      </c>
      <c r="M124" s="3"/>
      <c r="N124" s="7">
        <f t="shared" si="23"/>
        <v>0.35922571038590395</v>
      </c>
      <c r="O124" s="12"/>
      <c r="P124" s="8">
        <v>1971.72</v>
      </c>
      <c r="Q124" s="3"/>
      <c r="R124" s="7">
        <f t="shared" si="24"/>
        <v>5.6785349925765366E-4</v>
      </c>
      <c r="S124" s="3"/>
      <c r="T124" s="8">
        <v>1450.62</v>
      </c>
      <c r="U124" s="3"/>
      <c r="V124" s="7">
        <f t="shared" si="25"/>
        <v>9.6760070464319676E-4</v>
      </c>
      <c r="W124" s="3"/>
      <c r="X124" s="8">
        <f t="shared" si="26"/>
        <v>521.10000000000014</v>
      </c>
      <c r="Y124" s="3"/>
      <c r="Z124" s="7">
        <f t="shared" si="27"/>
        <v>0.35922571038590406</v>
      </c>
    </row>
    <row r="125" spans="1:26" s="68" customFormat="1" ht="15" customHeight="1" outlineLevel="1" collapsed="1" x14ac:dyDescent="0.3">
      <c r="A125" s="26"/>
      <c r="B125" s="14" t="str">
        <f>CONCATENATE("     ","Inventory Adjustment                              ")</f>
        <v xml:space="preserve">     Inventory Adjustment                              </v>
      </c>
      <c r="C125" s="14"/>
      <c r="D125" s="2">
        <f>SUM(OSRRefD22_11x_0)</f>
        <v>4100</v>
      </c>
      <c r="E125" s="2"/>
      <c r="F125" s="6">
        <f t="shared" si="20"/>
        <v>7.4306461996222805E-3</v>
      </c>
      <c r="G125" s="2"/>
      <c r="H125" s="2">
        <f>SUM(OSRRefH22_11x_0)</f>
        <v>1100</v>
      </c>
      <c r="I125" s="2"/>
      <c r="J125" s="6">
        <f t="shared" si="21"/>
        <v>6.5965936509705114E-3</v>
      </c>
      <c r="K125" s="2"/>
      <c r="L125" s="2">
        <f t="shared" si="22"/>
        <v>3000</v>
      </c>
      <c r="M125" s="2"/>
      <c r="N125" s="6">
        <f t="shared" si="23"/>
        <v>2.7272727272727271</v>
      </c>
      <c r="O125" s="14"/>
      <c r="P125" s="2">
        <f>SUM(OSRRefP22_11x_0)</f>
        <v>36900</v>
      </c>
      <c r="Q125" s="2"/>
      <c r="R125" s="6">
        <f t="shared" si="24"/>
        <v>1.0627165176905148E-2</v>
      </c>
      <c r="S125" s="2"/>
      <c r="T125" s="2">
        <f>SUM(OSRRefT22_11x_0)</f>
        <v>9900</v>
      </c>
      <c r="U125" s="2"/>
      <c r="V125" s="6">
        <f t="shared" si="25"/>
        <v>6.6035536363538688E-3</v>
      </c>
      <c r="W125" s="2"/>
      <c r="X125" s="2">
        <f t="shared" si="26"/>
        <v>27000</v>
      </c>
      <c r="Y125" s="2"/>
      <c r="Z125" s="6">
        <f t="shared" si="27"/>
        <v>2.7272727272727271</v>
      </c>
    </row>
    <row r="126" spans="1:26" s="69" customFormat="1" ht="15" hidden="1" customHeight="1" outlineLevel="2" x14ac:dyDescent="0.3">
      <c r="A126" s="25"/>
      <c r="B126" s="12" t="str">
        <f>CONCATENATE("          ","6408"," - ","INVENTORY ADJUSTMENT")</f>
        <v xml:space="preserve">          6408 - INVENTORY ADJUSTMENT</v>
      </c>
      <c r="C126" s="12"/>
      <c r="D126" s="8">
        <v>4100</v>
      </c>
      <c r="E126" s="3"/>
      <c r="F126" s="7">
        <f t="shared" si="20"/>
        <v>7.4306461996222805E-3</v>
      </c>
      <c r="G126" s="3"/>
      <c r="H126" s="8">
        <v>1100</v>
      </c>
      <c r="I126" s="3"/>
      <c r="J126" s="7">
        <f t="shared" si="21"/>
        <v>6.5965936509705114E-3</v>
      </c>
      <c r="K126" s="3"/>
      <c r="L126" s="8">
        <f t="shared" si="22"/>
        <v>3000</v>
      </c>
      <c r="M126" s="3"/>
      <c r="N126" s="7">
        <f t="shared" si="23"/>
        <v>2.7272727272727271</v>
      </c>
      <c r="O126" s="12"/>
      <c r="P126" s="8">
        <v>36900</v>
      </c>
      <c r="Q126" s="3"/>
      <c r="R126" s="7">
        <f t="shared" si="24"/>
        <v>1.0627165176905148E-2</v>
      </c>
      <c r="S126" s="3"/>
      <c r="T126" s="8">
        <v>9900</v>
      </c>
      <c r="U126" s="3"/>
      <c r="V126" s="7">
        <f t="shared" si="25"/>
        <v>6.6035536363538688E-3</v>
      </c>
      <c r="W126" s="3"/>
      <c r="X126" s="8">
        <f t="shared" si="26"/>
        <v>27000</v>
      </c>
      <c r="Y126" s="3"/>
      <c r="Z126" s="7">
        <f t="shared" si="27"/>
        <v>2.7272727272727271</v>
      </c>
    </row>
    <row r="127" spans="1:26" s="69" customFormat="1" ht="15" hidden="1" customHeight="1" outlineLevel="2" x14ac:dyDescent="0.3">
      <c r="A127" s="25"/>
      <c r="B127" s="12" t="str">
        <f>CONCATENATE("          ","7741"," - ","INV. SHRINKAGE-LOGO GIFTS")</f>
        <v xml:space="preserve">          7741 - INV. SHRINKAGE-LOGO GIFTS</v>
      </c>
      <c r="C127" s="12"/>
      <c r="D127" s="8"/>
      <c r="E127" s="3"/>
      <c r="F127" s="7">
        <f t="shared" si="20"/>
        <v>0</v>
      </c>
      <c r="G127" s="3"/>
      <c r="H127" s="8"/>
      <c r="I127" s="3"/>
      <c r="J127" s="7">
        <f t="shared" si="21"/>
        <v>0</v>
      </c>
      <c r="K127" s="3"/>
      <c r="L127" s="8">
        <f t="shared" si="22"/>
        <v>0</v>
      </c>
      <c r="M127" s="3"/>
      <c r="N127" s="7">
        <f t="shared" si="23"/>
        <v>0</v>
      </c>
      <c r="O127" s="12"/>
      <c r="P127" s="8"/>
      <c r="Q127" s="3"/>
      <c r="R127" s="7">
        <f t="shared" si="24"/>
        <v>0</v>
      </c>
      <c r="S127" s="3"/>
      <c r="T127" s="8">
        <v>0</v>
      </c>
      <c r="U127" s="3"/>
      <c r="V127" s="7">
        <f t="shared" si="25"/>
        <v>0</v>
      </c>
      <c r="W127" s="3"/>
      <c r="X127" s="8">
        <f t="shared" si="26"/>
        <v>0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6"/>
      <c r="B128" s="14" t="str">
        <f>CONCATENATE("     ","Professional Services                             ")</f>
        <v xml:space="preserve">     Professional Services                             </v>
      </c>
      <c r="C128" s="14"/>
      <c r="D128" s="2">
        <f>SUM(OSRRefD22_12x_0)</f>
        <v>1050</v>
      </c>
      <c r="E128" s="2"/>
      <c r="F128" s="6">
        <f t="shared" si="20"/>
        <v>1.90297036819595E-3</v>
      </c>
      <c r="G128" s="2"/>
      <c r="H128" s="2">
        <f>SUM(OSRRefH22_12x_0)</f>
        <v>0</v>
      </c>
      <c r="I128" s="2"/>
      <c r="J128" s="6">
        <f t="shared" si="21"/>
        <v>0</v>
      </c>
      <c r="K128" s="2"/>
      <c r="L128" s="2">
        <f t="shared" si="22"/>
        <v>1050</v>
      </c>
      <c r="M128" s="2"/>
      <c r="N128" s="6">
        <f t="shared" si="23"/>
        <v>0</v>
      </c>
      <c r="O128" s="14"/>
      <c r="P128" s="2">
        <f>SUM(OSRRefP22_12x_0)</f>
        <v>2109.1</v>
      </c>
      <c r="Q128" s="2"/>
      <c r="R128" s="6">
        <f t="shared" si="24"/>
        <v>6.0741880961004467E-4</v>
      </c>
      <c r="S128" s="2"/>
      <c r="T128" s="2">
        <f>SUM(OSRRefT22_12x_0)</f>
        <v>0</v>
      </c>
      <c r="U128" s="2"/>
      <c r="V128" s="6">
        <f t="shared" si="25"/>
        <v>0</v>
      </c>
      <c r="W128" s="2"/>
      <c r="X128" s="2">
        <f t="shared" si="26"/>
        <v>2109.1</v>
      </c>
      <c r="Y128" s="2"/>
      <c r="Z128" s="6">
        <f t="shared" si="27"/>
        <v>0</v>
      </c>
    </row>
    <row r="129" spans="1:26" s="69" customFormat="1" ht="15" hidden="1" customHeight="1" outlineLevel="2" x14ac:dyDescent="0.3">
      <c r="A129" s="25"/>
      <c r="B129" s="12" t="str">
        <f>CONCATENATE("          ","6336"," - ","PROFESSIONAL SERVICES")</f>
        <v xml:space="preserve">          6336 - PROFESSIONAL SERVICES</v>
      </c>
      <c r="C129" s="12"/>
      <c r="D129" s="8">
        <v>1050</v>
      </c>
      <c r="E129" s="3"/>
      <c r="F129" s="7">
        <f t="shared" si="20"/>
        <v>1.90297036819595E-3</v>
      </c>
      <c r="G129" s="3"/>
      <c r="H129" s="8"/>
      <c r="I129" s="3"/>
      <c r="J129" s="7">
        <f t="shared" si="21"/>
        <v>0</v>
      </c>
      <c r="K129" s="3"/>
      <c r="L129" s="8">
        <f t="shared" si="22"/>
        <v>1050</v>
      </c>
      <c r="M129" s="3"/>
      <c r="N129" s="7">
        <f t="shared" si="23"/>
        <v>0</v>
      </c>
      <c r="O129" s="12"/>
      <c r="P129" s="8">
        <v>2109.1</v>
      </c>
      <c r="Q129" s="3"/>
      <c r="R129" s="7">
        <f t="shared" si="24"/>
        <v>6.0741880961004467E-4</v>
      </c>
      <c r="S129" s="3"/>
      <c r="T129" s="8"/>
      <c r="U129" s="3"/>
      <c r="V129" s="7">
        <f t="shared" si="25"/>
        <v>0</v>
      </c>
      <c r="W129" s="3"/>
      <c r="X129" s="8">
        <f t="shared" si="26"/>
        <v>2109.1</v>
      </c>
      <c r="Y129" s="3"/>
      <c r="Z129" s="7">
        <f t="shared" si="27"/>
        <v>0</v>
      </c>
    </row>
    <row r="130" spans="1:26" s="68" customFormat="1" ht="15" customHeight="1" outlineLevel="1" collapsed="1" x14ac:dyDescent="0.3">
      <c r="A130" s="26"/>
      <c r="B130" s="14" t="str">
        <f>CONCATENATE("     ","Rent                                              ")</f>
        <v xml:space="preserve">     Rent                                              </v>
      </c>
      <c r="C130" s="14"/>
      <c r="D130" s="2">
        <f>SUM(OSRRefD22_13x_0)</f>
        <v>6900</v>
      </c>
      <c r="E130" s="2"/>
      <c r="F130" s="6">
        <f t="shared" si="20"/>
        <v>1.2505233848144814E-2</v>
      </c>
      <c r="G130" s="2"/>
      <c r="H130" s="2">
        <f>SUM(OSRRefH22_13x_0)</f>
        <v>6900</v>
      </c>
      <c r="I130" s="2"/>
      <c r="J130" s="6">
        <f t="shared" si="21"/>
        <v>4.1378632901542298E-2</v>
      </c>
      <c r="K130" s="2"/>
      <c r="L130" s="2">
        <f t="shared" si="22"/>
        <v>0</v>
      </c>
      <c r="M130" s="2"/>
      <c r="N130" s="6">
        <f t="shared" si="23"/>
        <v>0</v>
      </c>
      <c r="O130" s="14"/>
      <c r="P130" s="2">
        <f>SUM(OSRRefP22_13x_0)</f>
        <v>62100</v>
      </c>
      <c r="Q130" s="2"/>
      <c r="R130" s="6">
        <f t="shared" si="24"/>
        <v>1.7884741395279395E-2</v>
      </c>
      <c r="S130" s="2"/>
      <c r="T130" s="2">
        <f>SUM(OSRRefT22_13x_0)</f>
        <v>62100</v>
      </c>
      <c r="U130" s="2"/>
      <c r="V130" s="6">
        <f t="shared" si="25"/>
        <v>4.1422290991674264E-2</v>
      </c>
      <c r="W130" s="2"/>
      <c r="X130" s="2">
        <f t="shared" si="26"/>
        <v>0</v>
      </c>
      <c r="Y130" s="2"/>
      <c r="Z130" s="6">
        <f t="shared" si="27"/>
        <v>0</v>
      </c>
    </row>
    <row r="131" spans="1:26" s="69" customFormat="1" ht="15" hidden="1" customHeight="1" outlineLevel="2" x14ac:dyDescent="0.3">
      <c r="A131" s="25"/>
      <c r="B131" s="12" t="str">
        <f>CONCATENATE("          ","6273"," - ","RENT")</f>
        <v xml:space="preserve">          6273 - RENT</v>
      </c>
      <c r="C131" s="12"/>
      <c r="D131" s="8">
        <v>6900</v>
      </c>
      <c r="E131" s="3"/>
      <c r="F131" s="7">
        <f t="shared" si="20"/>
        <v>1.2505233848144814E-2</v>
      </c>
      <c r="G131" s="3"/>
      <c r="H131" s="8">
        <v>6900</v>
      </c>
      <c r="I131" s="3"/>
      <c r="J131" s="7">
        <f t="shared" si="21"/>
        <v>4.1378632901542298E-2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>
        <v>62100</v>
      </c>
      <c r="Q131" s="3"/>
      <c r="R131" s="7">
        <f t="shared" si="24"/>
        <v>1.7884741395279395E-2</v>
      </c>
      <c r="S131" s="3"/>
      <c r="T131" s="8">
        <v>62100</v>
      </c>
      <c r="U131" s="3"/>
      <c r="V131" s="7">
        <f t="shared" si="25"/>
        <v>4.1422290991674264E-2</v>
      </c>
      <c r="W131" s="3"/>
      <c r="X131" s="8">
        <f t="shared" si="26"/>
        <v>0</v>
      </c>
      <c r="Y131" s="3"/>
      <c r="Z131" s="7">
        <f t="shared" si="27"/>
        <v>0</v>
      </c>
    </row>
    <row r="132" spans="1:26" s="68" customFormat="1" ht="15" customHeight="1" outlineLevel="1" collapsed="1" x14ac:dyDescent="0.3">
      <c r="A132" s="26"/>
      <c r="B132" s="14" t="str">
        <f>CONCATENATE("     ","Repair and Maintenance                            ")</f>
        <v xml:space="preserve">     Repair and Maintenance                            </v>
      </c>
      <c r="C132" s="14"/>
      <c r="D132" s="2">
        <f>SUM(OSRRefD22_14x_0)</f>
        <v>906.79</v>
      </c>
      <c r="E132" s="2"/>
      <c r="F132" s="6">
        <f t="shared" si="20"/>
        <v>1.6434233335013385E-3</v>
      </c>
      <c r="G132" s="2"/>
      <c r="H132" s="2">
        <f>SUM(OSRRefH22_14x_0)</f>
        <v>274.89999999999998</v>
      </c>
      <c r="I132" s="2"/>
      <c r="J132" s="6">
        <f t="shared" si="21"/>
        <v>1.6485487224107214E-3</v>
      </c>
      <c r="K132" s="2"/>
      <c r="L132" s="2">
        <f t="shared" si="22"/>
        <v>631.89</v>
      </c>
      <c r="M132" s="2"/>
      <c r="N132" s="6">
        <f t="shared" si="23"/>
        <v>2.2986176791560569</v>
      </c>
      <c r="O132" s="14"/>
      <c r="P132" s="2">
        <f>SUM(OSRRefP22_14x_0)</f>
        <v>4281.3999999999996</v>
      </c>
      <c r="Q132" s="2"/>
      <c r="R132" s="6">
        <f t="shared" si="24"/>
        <v>1.2330391595772817E-3</v>
      </c>
      <c r="S132" s="2"/>
      <c r="T132" s="2">
        <f>SUM(OSRRefT22_14x_0)</f>
        <v>571.6400000000001</v>
      </c>
      <c r="U132" s="2"/>
      <c r="V132" s="6">
        <f t="shared" si="25"/>
        <v>3.812985253217501E-4</v>
      </c>
      <c r="W132" s="2"/>
      <c r="X132" s="2">
        <f t="shared" si="26"/>
        <v>3709.7599999999993</v>
      </c>
      <c r="Y132" s="2"/>
      <c r="Z132" s="6">
        <f t="shared" si="27"/>
        <v>6.489678818837028</v>
      </c>
    </row>
    <row r="133" spans="1:26" s="69" customFormat="1" ht="15" hidden="1" customHeight="1" outlineLevel="2" x14ac:dyDescent="0.3">
      <c r="A133" s="25"/>
      <c r="B133" s="12" t="str">
        <f>CONCATENATE("          ","6372"," - ","COMPUTER HARDWARE MAINTENANCE")</f>
        <v xml:space="preserve">          6372 - COMPUTER HARDWARE MAINTENANCE</v>
      </c>
      <c r="C133" s="12"/>
      <c r="D133" s="8"/>
      <c r="E133" s="3"/>
      <c r="F133" s="7">
        <f t="shared" si="20"/>
        <v>0</v>
      </c>
      <c r="G133" s="3"/>
      <c r="H133" s="8"/>
      <c r="I133" s="3"/>
      <c r="J133" s="7">
        <f t="shared" si="21"/>
        <v>0</v>
      </c>
      <c r="K133" s="3"/>
      <c r="L133" s="8">
        <f t="shared" si="22"/>
        <v>0</v>
      </c>
      <c r="M133" s="3"/>
      <c r="N133" s="7">
        <f t="shared" si="23"/>
        <v>0</v>
      </c>
      <c r="O133" s="12"/>
      <c r="P133" s="8"/>
      <c r="Q133" s="3"/>
      <c r="R133" s="7">
        <f t="shared" si="24"/>
        <v>0</v>
      </c>
      <c r="S133" s="3"/>
      <c r="T133" s="8">
        <v>-0.52</v>
      </c>
      <c r="U133" s="3"/>
      <c r="V133" s="7">
        <f t="shared" si="25"/>
        <v>-3.4685332231353654E-7</v>
      </c>
      <c r="W133" s="3"/>
      <c r="X133" s="8">
        <f t="shared" si="26"/>
        <v>0.52</v>
      </c>
      <c r="Y133" s="3"/>
      <c r="Z133" s="7">
        <f t="shared" si="27"/>
        <v>-1</v>
      </c>
    </row>
    <row r="134" spans="1:26" s="69" customFormat="1" ht="15" hidden="1" customHeight="1" outlineLevel="2" x14ac:dyDescent="0.3">
      <c r="A134" s="25"/>
      <c r="B134" s="12" t="str">
        <f>CONCATENATE("          ","6373"," - ","MAINTENANCE CONTRACTS")</f>
        <v xml:space="preserve">          6373 - MAINTENANCE CONTRACTS</v>
      </c>
      <c r="C134" s="12"/>
      <c r="D134" s="8">
        <v>371.99</v>
      </c>
      <c r="E134" s="3"/>
      <c r="F134" s="7">
        <f t="shared" si="20"/>
        <v>6.7417709263353472E-4</v>
      </c>
      <c r="G134" s="3"/>
      <c r="H134" s="8">
        <v>109.34</v>
      </c>
      <c r="I134" s="3"/>
      <c r="J134" s="7">
        <f t="shared" si="21"/>
        <v>6.5570140890646887E-4</v>
      </c>
      <c r="K134" s="3"/>
      <c r="L134" s="8">
        <f t="shared" si="22"/>
        <v>262.64999999999998</v>
      </c>
      <c r="M134" s="3"/>
      <c r="N134" s="7">
        <f t="shared" si="23"/>
        <v>2.4021401134077189</v>
      </c>
      <c r="O134" s="12"/>
      <c r="P134" s="8">
        <v>1053.73</v>
      </c>
      <c r="Q134" s="3"/>
      <c r="R134" s="7">
        <f t="shared" si="24"/>
        <v>3.0347324557886889E-4</v>
      </c>
      <c r="S134" s="3"/>
      <c r="T134" s="8">
        <v>406.6</v>
      </c>
      <c r="U134" s="3"/>
      <c r="V134" s="7">
        <f t="shared" si="25"/>
        <v>2.712126170243922E-4</v>
      </c>
      <c r="W134" s="3"/>
      <c r="X134" s="8">
        <f t="shared" si="26"/>
        <v>647.13</v>
      </c>
      <c r="Y134" s="3"/>
      <c r="Z134" s="7">
        <f t="shared" si="27"/>
        <v>1.591564190850959</v>
      </c>
    </row>
    <row r="135" spans="1:26" s="69" customFormat="1" ht="15" hidden="1" customHeight="1" outlineLevel="2" x14ac:dyDescent="0.3">
      <c r="A135" s="25"/>
      <c r="B135" s="12" t="str">
        <f>CONCATENATE("          ","6375"," - ","OUTSIDE REPAIRS &amp; MAINTENANCE")</f>
        <v xml:space="preserve">          6375 - OUTSIDE REPAIRS &amp; MAINTENANCE</v>
      </c>
      <c r="C135" s="12"/>
      <c r="D135" s="8">
        <v>534.79999999999995</v>
      </c>
      <c r="E135" s="3"/>
      <c r="F135" s="7">
        <f t="shared" si="20"/>
        <v>9.6924624086780378E-4</v>
      </c>
      <c r="G135" s="3"/>
      <c r="H135" s="8">
        <v>165.56</v>
      </c>
      <c r="I135" s="3"/>
      <c r="J135" s="7">
        <f t="shared" si="21"/>
        <v>9.9284731350425255E-4</v>
      </c>
      <c r="K135" s="3"/>
      <c r="L135" s="8">
        <f t="shared" si="22"/>
        <v>369.23999999999995</v>
      </c>
      <c r="M135" s="3"/>
      <c r="N135" s="7">
        <f t="shared" si="23"/>
        <v>2.2302488523798014</v>
      </c>
      <c r="O135" s="12"/>
      <c r="P135" s="8">
        <v>3227.67</v>
      </c>
      <c r="Q135" s="3"/>
      <c r="R135" s="7">
        <f t="shared" si="24"/>
        <v>9.2956591399841301E-4</v>
      </c>
      <c r="S135" s="3"/>
      <c r="T135" s="8">
        <v>165.56</v>
      </c>
      <c r="U135" s="3"/>
      <c r="V135" s="7">
        <f t="shared" si="25"/>
        <v>1.1043276161967136E-4</v>
      </c>
      <c r="W135" s="3"/>
      <c r="X135" s="8">
        <f t="shared" si="26"/>
        <v>3062.11</v>
      </c>
      <c r="Y135" s="3"/>
      <c r="Z135" s="7">
        <f t="shared" si="27"/>
        <v>18.495469920270597</v>
      </c>
    </row>
    <row r="136" spans="1:26" s="68" customFormat="1" ht="15" customHeight="1" outlineLevel="1" collapsed="1" x14ac:dyDescent="0.3">
      <c r="A136" s="26"/>
      <c r="B136" s="14" t="str">
        <f>CONCATENATE("     ","Royalty &amp; Commissions                             ")</f>
        <v xml:space="preserve">     Royalty &amp; Commissions                             </v>
      </c>
      <c r="C136" s="14"/>
      <c r="D136" s="2">
        <f>SUM(OSRRefD22_15x_0)</f>
        <v>0</v>
      </c>
      <c r="E136" s="2"/>
      <c r="F136" s="6">
        <f t="shared" si="20"/>
        <v>0</v>
      </c>
      <c r="G136" s="2"/>
      <c r="H136" s="2">
        <f>SUM(OSRRefH22_15x_0)</f>
        <v>0</v>
      </c>
      <c r="I136" s="2"/>
      <c r="J136" s="6">
        <f t="shared" si="21"/>
        <v>0</v>
      </c>
      <c r="K136" s="2"/>
      <c r="L136" s="2">
        <f t="shared" si="22"/>
        <v>0</v>
      </c>
      <c r="M136" s="2"/>
      <c r="N136" s="6">
        <f t="shared" si="23"/>
        <v>0</v>
      </c>
      <c r="O136" s="14"/>
      <c r="P136" s="2">
        <f>SUM(OSRRefP22_15x_0)</f>
        <v>42730.310000000005</v>
      </c>
      <c r="Q136" s="2"/>
      <c r="R136" s="6">
        <f t="shared" si="24"/>
        <v>1.2306288954752354E-2</v>
      </c>
      <c r="S136" s="2"/>
      <c r="T136" s="2">
        <f>SUM(OSRRefT22_15x_0)</f>
        <v>26197.58</v>
      </c>
      <c r="U136" s="2"/>
      <c r="V136" s="6">
        <f t="shared" si="25"/>
        <v>1.7474457037643575E-2</v>
      </c>
      <c r="W136" s="2"/>
      <c r="X136" s="2">
        <f t="shared" si="26"/>
        <v>16532.730000000003</v>
      </c>
      <c r="Y136" s="2"/>
      <c r="Z136" s="6">
        <f t="shared" si="27"/>
        <v>0.63107851946630189</v>
      </c>
    </row>
    <row r="137" spans="1:26" s="69" customFormat="1" ht="15" hidden="1" customHeight="1" outlineLevel="2" x14ac:dyDescent="0.3">
      <c r="A137" s="25"/>
      <c r="B137" s="12" t="str">
        <f>CONCATENATE("          ","6253"," - ","ROYALTY DUE ATHLETICS-LRG")</f>
        <v xml:space="preserve">          6253 - ROYALTY DUE ATHLETICS-LRG</v>
      </c>
      <c r="C137" s="12"/>
      <c r="D137" s="8"/>
      <c r="E137" s="3"/>
      <c r="F137" s="7">
        <f t="shared" si="20"/>
        <v>0</v>
      </c>
      <c r="G137" s="3"/>
      <c r="H137" s="8"/>
      <c r="I137" s="3"/>
      <c r="J137" s="7">
        <f t="shared" si="21"/>
        <v>0</v>
      </c>
      <c r="K137" s="3"/>
      <c r="L137" s="8">
        <f t="shared" si="22"/>
        <v>0</v>
      </c>
      <c r="M137" s="3"/>
      <c r="N137" s="7">
        <f t="shared" si="23"/>
        <v>0</v>
      </c>
      <c r="O137" s="12"/>
      <c r="P137" s="8">
        <v>39221.160000000003</v>
      </c>
      <c r="Q137" s="3"/>
      <c r="R137" s="7">
        <f t="shared" si="24"/>
        <v>1.1295657066390926E-2</v>
      </c>
      <c r="S137" s="3"/>
      <c r="T137" s="8">
        <v>26197.58</v>
      </c>
      <c r="U137" s="3"/>
      <c r="V137" s="7">
        <f t="shared" si="25"/>
        <v>1.7474457037643575E-2</v>
      </c>
      <c r="W137" s="3"/>
      <c r="X137" s="8">
        <f t="shared" si="26"/>
        <v>13023.580000000002</v>
      </c>
      <c r="Y137" s="3"/>
      <c r="Z137" s="7">
        <f t="shared" si="27"/>
        <v>0.49712912414047405</v>
      </c>
    </row>
    <row r="138" spans="1:26" s="69" customFormat="1" ht="15" hidden="1" customHeight="1" outlineLevel="2" x14ac:dyDescent="0.3">
      <c r="A138" s="25"/>
      <c r="B138" s="12" t="str">
        <f>CONCATENATE("          ","6254"," - ","ROYALTY &amp; COMMISSIONS")</f>
        <v xml:space="preserve">          6254 - ROYALTY &amp; COMMISSIONS</v>
      </c>
      <c r="C138" s="12"/>
      <c r="D138" s="8"/>
      <c r="E138" s="3"/>
      <c r="F138" s="7">
        <f t="shared" si="20"/>
        <v>0</v>
      </c>
      <c r="G138" s="3"/>
      <c r="H138" s="8"/>
      <c r="I138" s="3"/>
      <c r="J138" s="7">
        <f t="shared" si="21"/>
        <v>0</v>
      </c>
      <c r="K138" s="3"/>
      <c r="L138" s="8">
        <f t="shared" si="22"/>
        <v>0</v>
      </c>
      <c r="M138" s="3"/>
      <c r="N138" s="7">
        <f t="shared" si="23"/>
        <v>0</v>
      </c>
      <c r="O138" s="12"/>
      <c r="P138" s="8">
        <v>3509.15</v>
      </c>
      <c r="Q138" s="3"/>
      <c r="R138" s="7">
        <f t="shared" si="24"/>
        <v>1.0106318883614282E-3</v>
      </c>
      <c r="S138" s="3"/>
      <c r="T138" s="8"/>
      <c r="U138" s="3"/>
      <c r="V138" s="7">
        <f t="shared" si="25"/>
        <v>0</v>
      </c>
      <c r="W138" s="3"/>
      <c r="X138" s="8">
        <f t="shared" si="26"/>
        <v>3509.15</v>
      </c>
      <c r="Y138" s="3"/>
      <c r="Z138" s="7">
        <f t="shared" si="27"/>
        <v>0</v>
      </c>
    </row>
    <row r="139" spans="1:26" s="68" customFormat="1" ht="15" customHeight="1" outlineLevel="1" collapsed="1" x14ac:dyDescent="0.3">
      <c r="A139" s="26"/>
      <c r="B139" s="14" t="str">
        <f>CONCATENATE("     ","Services                                          ")</f>
        <v xml:space="preserve">     Services                                          </v>
      </c>
      <c r="C139" s="14"/>
      <c r="D139" s="2">
        <f>SUM(OSRRefD22_16x_0)</f>
        <v>473.53</v>
      </c>
      <c r="E139" s="2"/>
      <c r="F139" s="6">
        <f t="shared" si="20"/>
        <v>8.5820338900174107E-4</v>
      </c>
      <c r="G139" s="2"/>
      <c r="H139" s="2">
        <f>SUM(OSRRefH22_16x_0)</f>
        <v>250.83999999999997</v>
      </c>
      <c r="I139" s="2"/>
      <c r="J139" s="6">
        <f t="shared" si="21"/>
        <v>1.504263228554039E-3</v>
      </c>
      <c r="K139" s="2"/>
      <c r="L139" s="2">
        <f t="shared" si="22"/>
        <v>222.69</v>
      </c>
      <c r="M139" s="2"/>
      <c r="N139" s="6">
        <f t="shared" si="23"/>
        <v>0.8877770690479988</v>
      </c>
      <c r="O139" s="14"/>
      <c r="P139" s="2">
        <f>SUM(OSRRefP22_16x_0)</f>
        <v>5758.92</v>
      </c>
      <c r="Q139" s="2"/>
      <c r="R139" s="6">
        <f t="shared" si="24"/>
        <v>1.6585635252190406E-3</v>
      </c>
      <c r="S139" s="2"/>
      <c r="T139" s="2">
        <f>SUM(OSRRefT22_16x_0)</f>
        <v>625.84</v>
      </c>
      <c r="U139" s="2"/>
      <c r="V139" s="6">
        <f t="shared" si="25"/>
        <v>4.1745131391673787E-4</v>
      </c>
      <c r="W139" s="2"/>
      <c r="X139" s="2">
        <f t="shared" si="26"/>
        <v>5133.08</v>
      </c>
      <c r="Y139" s="2"/>
      <c r="Z139" s="6">
        <f t="shared" si="27"/>
        <v>8.2019046401636189</v>
      </c>
    </row>
    <row r="140" spans="1:26" s="69" customFormat="1" ht="15" hidden="1" customHeight="1" outlineLevel="2" x14ac:dyDescent="0.3">
      <c r="A140" s="25"/>
      <c r="B140" s="12" t="str">
        <f>CONCATENATE("          ","6282"," - ","JANITORIAL/EXTERMINATOR EXPENS")</f>
        <v xml:space="preserve">          6282 - JANITORIAL/EXTERMINATOR EXPENS</v>
      </c>
      <c r="C140" s="12"/>
      <c r="D140" s="8">
        <v>69</v>
      </c>
      <c r="E140" s="3"/>
      <c r="F140" s="7">
        <f t="shared" si="20"/>
        <v>1.2505233848144815E-4</v>
      </c>
      <c r="G140" s="3"/>
      <c r="H140" s="8"/>
      <c r="I140" s="3"/>
      <c r="J140" s="7">
        <f t="shared" si="21"/>
        <v>0</v>
      </c>
      <c r="K140" s="3"/>
      <c r="L140" s="8">
        <f t="shared" si="22"/>
        <v>69</v>
      </c>
      <c r="M140" s="3"/>
      <c r="N140" s="7">
        <f t="shared" si="23"/>
        <v>0</v>
      </c>
      <c r="O140" s="12"/>
      <c r="P140" s="8">
        <v>836.6</v>
      </c>
      <c r="Q140" s="3"/>
      <c r="R140" s="7">
        <f t="shared" si="24"/>
        <v>2.4094001048777363E-4</v>
      </c>
      <c r="S140" s="3"/>
      <c r="T140" s="8">
        <v>176</v>
      </c>
      <c r="U140" s="3"/>
      <c r="V140" s="7">
        <f t="shared" si="25"/>
        <v>1.1739650909073544E-4</v>
      </c>
      <c r="W140" s="3"/>
      <c r="X140" s="8">
        <f t="shared" si="26"/>
        <v>660.6</v>
      </c>
      <c r="Y140" s="3"/>
      <c r="Z140" s="7">
        <f t="shared" si="27"/>
        <v>3.7534090909090909</v>
      </c>
    </row>
    <row r="141" spans="1:26" s="69" customFormat="1" ht="15" hidden="1" customHeight="1" outlineLevel="2" x14ac:dyDescent="0.3">
      <c r="A141" s="25"/>
      <c r="B141" s="12" t="str">
        <f>CONCATENATE("          ","6283"," - ","PLANT SERVICE")</f>
        <v xml:space="preserve">          6283 - PLANT SERVICE</v>
      </c>
      <c r="C141" s="12"/>
      <c r="D141" s="8"/>
      <c r="E141" s="3"/>
      <c r="F141" s="7">
        <f t="shared" si="20"/>
        <v>0</v>
      </c>
      <c r="G141" s="3"/>
      <c r="H141" s="8"/>
      <c r="I141" s="3"/>
      <c r="J141" s="7">
        <f t="shared" si="21"/>
        <v>0</v>
      </c>
      <c r="K141" s="3"/>
      <c r="L141" s="8">
        <f t="shared" si="22"/>
        <v>0</v>
      </c>
      <c r="M141" s="3"/>
      <c r="N141" s="7">
        <f t="shared" si="23"/>
        <v>0</v>
      </c>
      <c r="O141" s="12"/>
      <c r="P141" s="8"/>
      <c r="Q141" s="3"/>
      <c r="R141" s="7">
        <f t="shared" si="24"/>
        <v>0</v>
      </c>
      <c r="S141" s="3"/>
      <c r="T141" s="8">
        <v>41.31</v>
      </c>
      <c r="U141" s="3"/>
      <c r="V141" s="7">
        <f t="shared" si="25"/>
        <v>2.7554828355331144E-5</v>
      </c>
      <c r="W141" s="3"/>
      <c r="X141" s="8">
        <f t="shared" si="26"/>
        <v>-41.31</v>
      </c>
      <c r="Y141" s="3"/>
      <c r="Z141" s="7">
        <f t="shared" si="27"/>
        <v>-1</v>
      </c>
    </row>
    <row r="142" spans="1:26" s="69" customFormat="1" ht="15" hidden="1" customHeight="1" outlineLevel="2" x14ac:dyDescent="0.3">
      <c r="A142" s="25"/>
      <c r="B142" s="12" t="str">
        <f>CONCATENATE("          ","6284"," - ","TRASH REMOVAL EXPENSE")</f>
        <v xml:space="preserve">          6284 - TRASH REMOVAL EXPENSE</v>
      </c>
      <c r="C142" s="12"/>
      <c r="D142" s="8">
        <v>149.69999999999999</v>
      </c>
      <c r="E142" s="3"/>
      <c r="F142" s="7">
        <f t="shared" si="20"/>
        <v>2.7130920392279398E-4</v>
      </c>
      <c r="G142" s="3"/>
      <c r="H142" s="8">
        <v>142.57</v>
      </c>
      <c r="I142" s="3"/>
      <c r="J142" s="7">
        <f t="shared" si="21"/>
        <v>8.5497850619896886E-4</v>
      </c>
      <c r="K142" s="3"/>
      <c r="L142" s="8">
        <f t="shared" si="22"/>
        <v>7.1299999999999955</v>
      </c>
      <c r="M142" s="3"/>
      <c r="N142" s="7">
        <f t="shared" si="23"/>
        <v>5.0010521147506461E-2</v>
      </c>
      <c r="O142" s="12"/>
      <c r="P142" s="8">
        <v>1340.17</v>
      </c>
      <c r="Q142" s="3"/>
      <c r="R142" s="7">
        <f t="shared" si="24"/>
        <v>3.8596769526105616E-4</v>
      </c>
      <c r="S142" s="3"/>
      <c r="T142" s="8">
        <v>1298.1500000000001</v>
      </c>
      <c r="U142" s="3"/>
      <c r="V142" s="7">
        <f t="shared" si="25"/>
        <v>8.6589930838714899E-4</v>
      </c>
      <c r="W142" s="3"/>
      <c r="X142" s="8">
        <f t="shared" si="26"/>
        <v>42.019999999999982</v>
      </c>
      <c r="Y142" s="3"/>
      <c r="Z142" s="7">
        <f t="shared" si="27"/>
        <v>3.2369140700227228E-2</v>
      </c>
    </row>
    <row r="143" spans="1:26" s="69" customFormat="1" ht="15" hidden="1" customHeight="1" outlineLevel="2" x14ac:dyDescent="0.3">
      <c r="A143" s="25"/>
      <c r="B143" s="12" t="str">
        <f>CONCATENATE("          ","6285"," - ","JANITORIAL SERVICES")</f>
        <v xml:space="preserve">          6285 - JANITORIAL SERVICES</v>
      </c>
      <c r="C143" s="12"/>
      <c r="D143" s="8">
        <v>254.83</v>
      </c>
      <c r="E143" s="3"/>
      <c r="F143" s="7">
        <f t="shared" si="20"/>
        <v>4.6184184659749897E-4</v>
      </c>
      <c r="G143" s="3"/>
      <c r="H143" s="8">
        <v>108.27</v>
      </c>
      <c r="I143" s="3"/>
      <c r="J143" s="7">
        <f t="shared" si="21"/>
        <v>6.4928472235507026E-4</v>
      </c>
      <c r="K143" s="3"/>
      <c r="L143" s="8">
        <f t="shared" si="22"/>
        <v>146.56</v>
      </c>
      <c r="M143" s="3"/>
      <c r="N143" s="7">
        <f t="shared" si="23"/>
        <v>1.3536529047750994</v>
      </c>
      <c r="O143" s="12"/>
      <c r="P143" s="8">
        <v>3582.15</v>
      </c>
      <c r="Q143" s="3"/>
      <c r="R143" s="7">
        <f t="shared" si="24"/>
        <v>1.0316558194702107E-3</v>
      </c>
      <c r="S143" s="3"/>
      <c r="T143" s="8">
        <v>-889.62</v>
      </c>
      <c r="U143" s="3"/>
      <c r="V143" s="7">
        <f t="shared" si="25"/>
        <v>-5.9339933191647758E-4</v>
      </c>
      <c r="W143" s="3"/>
      <c r="X143" s="8">
        <f t="shared" si="26"/>
        <v>4471.7700000000004</v>
      </c>
      <c r="Y143" s="3"/>
      <c r="Z143" s="7">
        <f t="shared" si="27"/>
        <v>-5.0266068658528367</v>
      </c>
    </row>
    <row r="144" spans="1:26" s="68" customFormat="1" ht="15" customHeight="1" outlineLevel="1" collapsed="1" x14ac:dyDescent="0.3">
      <c r="A144" s="26"/>
      <c r="B144" s="14" t="str">
        <f>CONCATENATE("     ","Subscriptions &amp; Dues                              ")</f>
        <v xml:space="preserve">     Subscriptions &amp; Dues                              </v>
      </c>
      <c r="C144" s="14"/>
      <c r="D144" s="2">
        <f>SUM(OSRRefD22_17x_0)</f>
        <v>125</v>
      </c>
      <c r="E144" s="2"/>
      <c r="F144" s="6">
        <f t="shared" si="20"/>
        <v>2.2654409145189881E-4</v>
      </c>
      <c r="G144" s="2"/>
      <c r="H144" s="2">
        <f>SUM(OSRRefH22_17x_0)</f>
        <v>75</v>
      </c>
      <c r="I144" s="2"/>
      <c r="J144" s="6">
        <f t="shared" si="21"/>
        <v>4.4976774892980761E-4</v>
      </c>
      <c r="K144" s="2"/>
      <c r="L144" s="2">
        <f t="shared" si="22"/>
        <v>50</v>
      </c>
      <c r="M144" s="2"/>
      <c r="N144" s="6">
        <f t="shared" si="23"/>
        <v>0.66666666666666663</v>
      </c>
      <c r="O144" s="14"/>
      <c r="P144" s="2">
        <f>SUM(OSRRefP22_17x_0)</f>
        <v>170.27</v>
      </c>
      <c r="Q144" s="2"/>
      <c r="R144" s="6">
        <f t="shared" si="24"/>
        <v>4.9037599313594572E-5</v>
      </c>
      <c r="S144" s="2"/>
      <c r="T144" s="2">
        <f>SUM(OSRRefT22_17x_0)</f>
        <v>7.7000000000000455</v>
      </c>
      <c r="U144" s="2"/>
      <c r="V144" s="6">
        <f t="shared" si="25"/>
        <v>5.1360972727197054E-6</v>
      </c>
      <c r="W144" s="2"/>
      <c r="X144" s="2">
        <f t="shared" si="26"/>
        <v>162.56999999999996</v>
      </c>
      <c r="Y144" s="2"/>
      <c r="Z144" s="6">
        <f t="shared" si="27"/>
        <v>21.112987012986885</v>
      </c>
    </row>
    <row r="145" spans="1:26" s="69" customFormat="1" ht="15" hidden="1" customHeight="1" outlineLevel="2" x14ac:dyDescent="0.3">
      <c r="A145" s="25"/>
      <c r="B145" s="12" t="str">
        <f>CONCATENATE("          ","6258"," - ","MEMBERSHIP DUES")</f>
        <v xml:space="preserve">          6258 - MEMBERSHIP DUES</v>
      </c>
      <c r="C145" s="12"/>
      <c r="D145" s="8">
        <v>125</v>
      </c>
      <c r="E145" s="3"/>
      <c r="F145" s="7">
        <f t="shared" si="20"/>
        <v>2.2654409145189881E-4</v>
      </c>
      <c r="G145" s="3"/>
      <c r="H145" s="8"/>
      <c r="I145" s="3"/>
      <c r="J145" s="7">
        <f t="shared" si="21"/>
        <v>0</v>
      </c>
      <c r="K145" s="3"/>
      <c r="L145" s="8">
        <f t="shared" si="22"/>
        <v>125</v>
      </c>
      <c r="M145" s="3"/>
      <c r="N145" s="7">
        <f t="shared" si="23"/>
        <v>0</v>
      </c>
      <c r="O145" s="12"/>
      <c r="P145" s="8">
        <v>170.27</v>
      </c>
      <c r="Q145" s="3"/>
      <c r="R145" s="7">
        <f t="shared" si="24"/>
        <v>4.9037599313594572E-5</v>
      </c>
      <c r="S145" s="3"/>
      <c r="T145" s="8">
        <v>-368.03</v>
      </c>
      <c r="U145" s="3"/>
      <c r="V145" s="7">
        <f t="shared" si="25"/>
        <v>-2.4548543886740546E-4</v>
      </c>
      <c r="W145" s="3"/>
      <c r="X145" s="8">
        <f t="shared" si="26"/>
        <v>538.29999999999995</v>
      </c>
      <c r="Y145" s="3"/>
      <c r="Z145" s="7">
        <f t="shared" si="27"/>
        <v>-1.4626525011547971</v>
      </c>
    </row>
    <row r="146" spans="1:26" s="69" customFormat="1" ht="15" hidden="1" customHeight="1" outlineLevel="2" x14ac:dyDescent="0.3">
      <c r="A146" s="25"/>
      <c r="B146" s="12" t="str">
        <f>CONCATENATE("          ","6275"," - ","SUBSCRIPTIONS")</f>
        <v xml:space="preserve">          6275 - SUBSCRIPTIONS</v>
      </c>
      <c r="C146" s="12"/>
      <c r="D146" s="8"/>
      <c r="E146" s="3"/>
      <c r="F146" s="7">
        <f t="shared" si="20"/>
        <v>0</v>
      </c>
      <c r="G146" s="3"/>
      <c r="H146" s="8">
        <v>75</v>
      </c>
      <c r="I146" s="3"/>
      <c r="J146" s="7">
        <f t="shared" si="21"/>
        <v>4.4976774892980761E-4</v>
      </c>
      <c r="K146" s="3"/>
      <c r="L146" s="8">
        <f t="shared" si="22"/>
        <v>-75</v>
      </c>
      <c r="M146" s="3"/>
      <c r="N146" s="7">
        <f t="shared" si="23"/>
        <v>-1</v>
      </c>
      <c r="O146" s="12"/>
      <c r="P146" s="8"/>
      <c r="Q146" s="3"/>
      <c r="R146" s="7">
        <f t="shared" si="24"/>
        <v>0</v>
      </c>
      <c r="S146" s="3"/>
      <c r="T146" s="8">
        <v>375.73</v>
      </c>
      <c r="U146" s="3"/>
      <c r="V146" s="7">
        <f t="shared" si="25"/>
        <v>2.5062153614012516E-4</v>
      </c>
      <c r="W146" s="3"/>
      <c r="X146" s="8">
        <f t="shared" si="26"/>
        <v>-375.73</v>
      </c>
      <c r="Y146" s="3"/>
      <c r="Z146" s="7">
        <f t="shared" si="27"/>
        <v>-1</v>
      </c>
    </row>
    <row r="147" spans="1:26" s="68" customFormat="1" ht="15" customHeight="1" outlineLevel="1" collapsed="1" x14ac:dyDescent="0.3">
      <c r="A147" s="26"/>
      <c r="B147" s="14" t="str">
        <f>CONCATENATE("     ","Supplies                                          ")</f>
        <v xml:space="preserve">     Supplies                                          </v>
      </c>
      <c r="C147" s="14"/>
      <c r="D147" s="2">
        <f>SUM(OSRRefD22_18x_0)</f>
        <v>326.77000000000004</v>
      </c>
      <c r="E147" s="2"/>
      <c r="F147" s="6">
        <f t="shared" si="20"/>
        <v>5.9222250210989587E-4</v>
      </c>
      <c r="G147" s="2"/>
      <c r="H147" s="2">
        <f>SUM(OSRRefH22_18x_0)</f>
        <v>266.36</v>
      </c>
      <c r="I147" s="2"/>
      <c r="J147" s="6">
        <f t="shared" si="21"/>
        <v>1.5973351680659141E-3</v>
      </c>
      <c r="K147" s="2"/>
      <c r="L147" s="2">
        <f t="shared" si="22"/>
        <v>60.410000000000025</v>
      </c>
      <c r="M147" s="2"/>
      <c r="N147" s="6">
        <f t="shared" si="23"/>
        <v>0.22679831806577572</v>
      </c>
      <c r="O147" s="14"/>
      <c r="P147" s="2">
        <f>SUM(OSRRefP22_18x_0)</f>
        <v>11271.11</v>
      </c>
      <c r="Q147" s="2"/>
      <c r="R147" s="6">
        <f t="shared" si="24"/>
        <v>3.246069043280959E-3</v>
      </c>
      <c r="S147" s="2"/>
      <c r="T147" s="2">
        <f>SUM(OSRRefT22_18x_0)</f>
        <v>6081.39</v>
      </c>
      <c r="U147" s="2"/>
      <c r="V147" s="6">
        <f t="shared" si="25"/>
        <v>4.0564429342006113E-3</v>
      </c>
      <c r="W147" s="2"/>
      <c r="X147" s="2">
        <f t="shared" si="26"/>
        <v>5189.72</v>
      </c>
      <c r="Y147" s="2"/>
      <c r="Z147" s="6">
        <f t="shared" si="27"/>
        <v>0.85337727065687285</v>
      </c>
    </row>
    <row r="148" spans="1:26" s="69" customFormat="1" ht="15" hidden="1" customHeight="1" outlineLevel="2" x14ac:dyDescent="0.3">
      <c r="A148" s="25"/>
      <c r="B148" s="12" t="str">
        <f>CONCATENATE("          ","6234"," - ","EXPENDABLE SUPPLIES &amp; EQUIPMEN")</f>
        <v xml:space="preserve">          6234 - EXPENDABLE SUPPLIES &amp; EQUIPMEN</v>
      </c>
      <c r="C148" s="12"/>
      <c r="D148" s="8"/>
      <c r="E148" s="3"/>
      <c r="F148" s="7">
        <f t="shared" si="20"/>
        <v>0</v>
      </c>
      <c r="G148" s="3"/>
      <c r="H148" s="8"/>
      <c r="I148" s="3"/>
      <c r="J148" s="7">
        <f t="shared" si="21"/>
        <v>0</v>
      </c>
      <c r="K148" s="3"/>
      <c r="L148" s="8">
        <f t="shared" si="22"/>
        <v>0</v>
      </c>
      <c r="M148" s="3"/>
      <c r="N148" s="7">
        <f t="shared" si="23"/>
        <v>0</v>
      </c>
      <c r="O148" s="12"/>
      <c r="P148" s="8">
        <v>1393.55</v>
      </c>
      <c r="Q148" s="3"/>
      <c r="R148" s="7">
        <f t="shared" si="24"/>
        <v>4.01341084885533E-4</v>
      </c>
      <c r="S148" s="3"/>
      <c r="T148" s="8">
        <v>396.5</v>
      </c>
      <c r="U148" s="3"/>
      <c r="V148" s="7">
        <f t="shared" si="25"/>
        <v>2.6447565826407158E-4</v>
      </c>
      <c r="W148" s="3"/>
      <c r="X148" s="8">
        <f t="shared" si="26"/>
        <v>997.05</v>
      </c>
      <c r="Y148" s="3"/>
      <c r="Z148" s="7">
        <f t="shared" si="27"/>
        <v>2.5146279949558639</v>
      </c>
    </row>
    <row r="149" spans="1:26" s="69" customFormat="1" ht="15" hidden="1" customHeight="1" outlineLevel="2" x14ac:dyDescent="0.3">
      <c r="A149" s="25"/>
      <c r="B149" s="12" t="str">
        <f>CONCATENATE("          ","6235"," - ","COVID-19 EXPENSES")</f>
        <v xml:space="preserve">          6235 - COVID-19 EXPENSES</v>
      </c>
      <c r="C149" s="12"/>
      <c r="D149" s="8"/>
      <c r="E149" s="3"/>
      <c r="F149" s="7">
        <f t="shared" si="20"/>
        <v>0</v>
      </c>
      <c r="G149" s="3"/>
      <c r="H149" s="8"/>
      <c r="I149" s="3"/>
      <c r="J149" s="7">
        <f t="shared" si="21"/>
        <v>0</v>
      </c>
      <c r="K149" s="3"/>
      <c r="L149" s="8">
        <f t="shared" si="22"/>
        <v>0</v>
      </c>
      <c r="M149" s="3"/>
      <c r="N149" s="7">
        <f t="shared" si="23"/>
        <v>0</v>
      </c>
      <c r="O149" s="12"/>
      <c r="P149" s="8"/>
      <c r="Q149" s="3"/>
      <c r="R149" s="7">
        <f t="shared" si="24"/>
        <v>0</v>
      </c>
      <c r="S149" s="3"/>
      <c r="T149" s="8">
        <v>1736.43</v>
      </c>
      <c r="U149" s="3"/>
      <c r="V149" s="7">
        <f t="shared" si="25"/>
        <v>1.1582432970478735E-3</v>
      </c>
      <c r="W149" s="3"/>
      <c r="X149" s="8">
        <f t="shared" si="26"/>
        <v>-1736.43</v>
      </c>
      <c r="Y149" s="3"/>
      <c r="Z149" s="7">
        <f t="shared" si="27"/>
        <v>-1</v>
      </c>
    </row>
    <row r="150" spans="1:26" s="69" customFormat="1" ht="15" hidden="1" customHeight="1" outlineLevel="2" x14ac:dyDescent="0.3">
      <c r="A150" s="25"/>
      <c r="B150" s="12" t="str">
        <f>CONCATENATE("          ","6237"," - ","JANITORIAL SUPPLIES")</f>
        <v xml:space="preserve">          6237 - JANITORIAL SUPPLIES</v>
      </c>
      <c r="C150" s="12"/>
      <c r="D150" s="8"/>
      <c r="E150" s="3"/>
      <c r="F150" s="7">
        <f t="shared" si="20"/>
        <v>0</v>
      </c>
      <c r="G150" s="3"/>
      <c r="H150" s="8"/>
      <c r="I150" s="3"/>
      <c r="J150" s="7">
        <f t="shared" si="21"/>
        <v>0</v>
      </c>
      <c r="K150" s="3"/>
      <c r="L150" s="8">
        <f t="shared" si="22"/>
        <v>0</v>
      </c>
      <c r="M150" s="3"/>
      <c r="N150" s="7">
        <f t="shared" si="23"/>
        <v>0</v>
      </c>
      <c r="O150" s="12"/>
      <c r="P150" s="8">
        <v>77.17</v>
      </c>
      <c r="Q150" s="3"/>
      <c r="R150" s="7">
        <f t="shared" si="24"/>
        <v>2.2224887173489711E-5</v>
      </c>
      <c r="S150" s="3"/>
      <c r="T150" s="8">
        <v>191.74</v>
      </c>
      <c r="U150" s="3"/>
      <c r="V150" s="7">
        <f t="shared" si="25"/>
        <v>1.2789549234691825E-4</v>
      </c>
      <c r="W150" s="3"/>
      <c r="X150" s="8">
        <f t="shared" si="26"/>
        <v>-114.57000000000001</v>
      </c>
      <c r="Y150" s="3"/>
      <c r="Z150" s="7">
        <f t="shared" si="27"/>
        <v>-0.59752790236778974</v>
      </c>
    </row>
    <row r="151" spans="1:26" s="69" customFormat="1" ht="15" hidden="1" customHeight="1" outlineLevel="2" x14ac:dyDescent="0.3">
      <c r="A151" s="25"/>
      <c r="B151" s="12" t="str">
        <f>CONCATENATE("          ","6241"," - ","OFFICE EXPENSE")</f>
        <v xml:space="preserve">          6241 - OFFICE EXPENSE</v>
      </c>
      <c r="C151" s="12"/>
      <c r="D151" s="8">
        <v>258.54000000000002</v>
      </c>
      <c r="E151" s="3"/>
      <c r="F151" s="7">
        <f t="shared" si="20"/>
        <v>4.6856567523179138E-4</v>
      </c>
      <c r="G151" s="3"/>
      <c r="H151" s="8">
        <v>266.36</v>
      </c>
      <c r="I151" s="3"/>
      <c r="J151" s="7">
        <f t="shared" si="21"/>
        <v>1.5973351680659141E-3</v>
      </c>
      <c r="K151" s="3"/>
      <c r="L151" s="8">
        <f t="shared" si="22"/>
        <v>-7.8199999999999932</v>
      </c>
      <c r="M151" s="3"/>
      <c r="N151" s="7">
        <f t="shared" si="23"/>
        <v>-2.9358762576963481E-2</v>
      </c>
      <c r="O151" s="12"/>
      <c r="P151" s="8">
        <v>2292.84</v>
      </c>
      <c r="Q151" s="3"/>
      <c r="R151" s="7">
        <f t="shared" si="24"/>
        <v>6.603357562117941E-4</v>
      </c>
      <c r="S151" s="3"/>
      <c r="T151" s="8">
        <v>1423.76</v>
      </c>
      <c r="U151" s="3"/>
      <c r="V151" s="7">
        <f t="shared" si="25"/>
        <v>9.4968439649446303E-4</v>
      </c>
      <c r="W151" s="3"/>
      <c r="X151" s="8">
        <f t="shared" si="26"/>
        <v>869.08000000000015</v>
      </c>
      <c r="Y151" s="3"/>
      <c r="Z151" s="7">
        <f t="shared" si="27"/>
        <v>0.61041186716862406</v>
      </c>
    </row>
    <row r="152" spans="1:26" s="69" customFormat="1" ht="15" hidden="1" customHeight="1" outlineLevel="2" x14ac:dyDescent="0.3">
      <c r="A152" s="25"/>
      <c r="B152" s="12" t="str">
        <f>CONCATENATE("          ","6245"," - ","PRINTING")</f>
        <v xml:space="preserve">          6245 - PRINTING</v>
      </c>
      <c r="C152" s="12"/>
      <c r="D152" s="8">
        <v>10.8</v>
      </c>
      <c r="E152" s="3"/>
      <c r="F152" s="7">
        <f t="shared" ref="F152:F161" si="28">IF(D$12=0,0,D152/D$12)</f>
        <v>1.9573409501444056E-5</v>
      </c>
      <c r="G152" s="3"/>
      <c r="H152" s="8"/>
      <c r="I152" s="3"/>
      <c r="J152" s="7">
        <f t="shared" ref="J152:J161" si="29">IF(H$12=0,0,H152/H$12)</f>
        <v>0</v>
      </c>
      <c r="K152" s="3"/>
      <c r="L152" s="8">
        <f t="shared" ref="L152:L161" si="30">+D152-H152</f>
        <v>10.8</v>
      </c>
      <c r="M152" s="3"/>
      <c r="N152" s="7">
        <f t="shared" ref="N152:N161" si="31">IF(H152=0,0,L152/H152)</f>
        <v>0</v>
      </c>
      <c r="O152" s="12"/>
      <c r="P152" s="8">
        <v>35.549999999999997</v>
      </c>
      <c r="Q152" s="3"/>
      <c r="R152" s="7">
        <f t="shared" ref="R152:R161" si="32">IF(P$12=0,0,P152/P$12)</f>
        <v>1.0238366450920812E-5</v>
      </c>
      <c r="S152" s="3"/>
      <c r="T152" s="8"/>
      <c r="U152" s="3"/>
      <c r="V152" s="7">
        <f t="shared" ref="V152:V161" si="33">IF(T$12=0,0,T152/T$12)</f>
        <v>0</v>
      </c>
      <c r="W152" s="3"/>
      <c r="X152" s="8">
        <f t="shared" ref="X152:X161" si="34">+P152-T152</f>
        <v>35.549999999999997</v>
      </c>
      <c r="Y152" s="3"/>
      <c r="Z152" s="7">
        <f t="shared" ref="Z152:Z161" si="35">IF(T152=0,0,X152/T152)</f>
        <v>0</v>
      </c>
    </row>
    <row r="153" spans="1:26" s="69" customFormat="1" ht="15" hidden="1" customHeight="1" outlineLevel="2" x14ac:dyDescent="0.3">
      <c r="A153" s="25"/>
      <c r="B153" s="12" t="str">
        <f>CONCATENATE("          ","6247"," - ","STORE SUPPLIES")</f>
        <v xml:space="preserve">          6247 - STORE SUPPLIES</v>
      </c>
      <c r="C153" s="12"/>
      <c r="D153" s="8">
        <v>57.43</v>
      </c>
      <c r="E153" s="3"/>
      <c r="F153" s="7">
        <f t="shared" si="28"/>
        <v>1.0408341737666039E-4</v>
      </c>
      <c r="G153" s="3"/>
      <c r="H153" s="8"/>
      <c r="I153" s="3"/>
      <c r="J153" s="7">
        <f t="shared" si="29"/>
        <v>0</v>
      </c>
      <c r="K153" s="3"/>
      <c r="L153" s="8">
        <f t="shared" si="30"/>
        <v>57.43</v>
      </c>
      <c r="M153" s="3"/>
      <c r="N153" s="7">
        <f t="shared" si="31"/>
        <v>0</v>
      </c>
      <c r="O153" s="12"/>
      <c r="P153" s="8">
        <v>7472</v>
      </c>
      <c r="Q153" s="3"/>
      <c r="R153" s="7">
        <f t="shared" si="32"/>
        <v>2.1519289485592212E-3</v>
      </c>
      <c r="S153" s="3"/>
      <c r="T153" s="8">
        <v>2332.96</v>
      </c>
      <c r="U153" s="3"/>
      <c r="V153" s="7">
        <f t="shared" si="33"/>
        <v>1.5561440900472849E-3</v>
      </c>
      <c r="W153" s="3"/>
      <c r="X153" s="8">
        <f t="shared" si="34"/>
        <v>5139.04</v>
      </c>
      <c r="Y153" s="3"/>
      <c r="Z153" s="7">
        <f t="shared" si="35"/>
        <v>2.202798161991633</v>
      </c>
    </row>
    <row r="154" spans="1:26" s="68" customFormat="1" ht="15" customHeight="1" outlineLevel="1" collapsed="1" x14ac:dyDescent="0.3">
      <c r="A154" s="26"/>
      <c r="B154" s="14" t="str">
        <f>CONCATENATE("     ","Telephone/Data Lines                              ")</f>
        <v xml:space="preserve">     Telephone/Data Lines                              </v>
      </c>
      <c r="C154" s="14"/>
      <c r="D154" s="2">
        <f>SUM(OSRRefD22_19x_0)</f>
        <v>573.69000000000005</v>
      </c>
      <c r="E154" s="2"/>
      <c r="F154" s="6">
        <f t="shared" si="28"/>
        <v>1.0397286386003186E-3</v>
      </c>
      <c r="G154" s="2"/>
      <c r="H154" s="2">
        <f>SUM(OSRRefH22_19x_0)</f>
        <v>379.9</v>
      </c>
      <c r="I154" s="2"/>
      <c r="J154" s="6">
        <f t="shared" si="29"/>
        <v>2.2782235709124521E-3</v>
      </c>
      <c r="K154" s="2"/>
      <c r="L154" s="2">
        <f t="shared" si="30"/>
        <v>193.79000000000008</v>
      </c>
      <c r="M154" s="2"/>
      <c r="N154" s="6">
        <f t="shared" si="31"/>
        <v>0.51010792313766806</v>
      </c>
      <c r="O154" s="14"/>
      <c r="P154" s="2">
        <f>SUM(OSRRefP22_19x_0)</f>
        <v>5070.75</v>
      </c>
      <c r="Q154" s="2"/>
      <c r="R154" s="6">
        <f t="shared" si="32"/>
        <v>1.4603712146556039E-3</v>
      </c>
      <c r="S154" s="2"/>
      <c r="T154" s="2">
        <f>SUM(OSRRefT22_19x_0)</f>
        <v>5953.78</v>
      </c>
      <c r="U154" s="2"/>
      <c r="V154" s="6">
        <f t="shared" si="33"/>
        <v>3.9713237948536297E-3</v>
      </c>
      <c r="W154" s="2"/>
      <c r="X154" s="2">
        <f t="shared" si="34"/>
        <v>-883.02999999999975</v>
      </c>
      <c r="Y154" s="2"/>
      <c r="Z154" s="6">
        <f t="shared" si="35"/>
        <v>-0.1483141802350775</v>
      </c>
    </row>
    <row r="155" spans="1:26" s="69" customFormat="1" ht="15" hidden="1" customHeight="1" outlineLevel="2" x14ac:dyDescent="0.3">
      <c r="A155" s="25"/>
      <c r="B155" s="12" t="str">
        <f>CONCATENATE("          ","6309"," - ","TELEPHONE")</f>
        <v xml:space="preserve">          6309 - TELEPHONE</v>
      </c>
      <c r="C155" s="12"/>
      <c r="D155" s="8">
        <v>573.69000000000005</v>
      </c>
      <c r="E155" s="3"/>
      <c r="F155" s="7">
        <f t="shared" si="28"/>
        <v>1.0397286386003186E-3</v>
      </c>
      <c r="G155" s="3"/>
      <c r="H155" s="8">
        <v>379.9</v>
      </c>
      <c r="I155" s="3"/>
      <c r="J155" s="7">
        <f t="shared" si="29"/>
        <v>2.2782235709124521E-3</v>
      </c>
      <c r="K155" s="3"/>
      <c r="L155" s="8">
        <f t="shared" si="30"/>
        <v>193.79000000000008</v>
      </c>
      <c r="M155" s="3"/>
      <c r="N155" s="7">
        <f t="shared" si="31"/>
        <v>0.51010792313766806</v>
      </c>
      <c r="O155" s="12"/>
      <c r="P155" s="8">
        <v>5070.75</v>
      </c>
      <c r="Q155" s="3"/>
      <c r="R155" s="7">
        <f t="shared" si="32"/>
        <v>1.4603712146556039E-3</v>
      </c>
      <c r="S155" s="3"/>
      <c r="T155" s="8">
        <v>5953.78</v>
      </c>
      <c r="U155" s="3"/>
      <c r="V155" s="7">
        <f t="shared" si="33"/>
        <v>3.9713237948536297E-3</v>
      </c>
      <c r="W155" s="3"/>
      <c r="X155" s="8">
        <f t="shared" si="34"/>
        <v>-883.02999999999975</v>
      </c>
      <c r="Y155" s="3"/>
      <c r="Z155" s="7">
        <f t="shared" si="35"/>
        <v>-0.1483141802350775</v>
      </c>
    </row>
    <row r="156" spans="1:26" s="68" customFormat="1" ht="15" customHeight="1" outlineLevel="1" collapsed="1" x14ac:dyDescent="0.3">
      <c r="A156" s="26"/>
      <c r="B156" s="14" t="str">
        <f>CONCATENATE("     ","Training                                          ")</f>
        <v xml:space="preserve">     Training                                          </v>
      </c>
      <c r="C156" s="14"/>
      <c r="D156" s="2">
        <f>SUM(OSRRefD22_20x_0)</f>
        <v>0</v>
      </c>
      <c r="E156" s="2"/>
      <c r="F156" s="6">
        <f t="shared" si="28"/>
        <v>0</v>
      </c>
      <c r="G156" s="2"/>
      <c r="H156" s="2">
        <f>SUM(OSRRefH22_20x_0)</f>
        <v>0</v>
      </c>
      <c r="I156" s="2"/>
      <c r="J156" s="6">
        <f t="shared" si="29"/>
        <v>0</v>
      </c>
      <c r="K156" s="2"/>
      <c r="L156" s="2">
        <f t="shared" si="30"/>
        <v>0</v>
      </c>
      <c r="M156" s="2"/>
      <c r="N156" s="6">
        <f t="shared" si="31"/>
        <v>0</v>
      </c>
      <c r="O156" s="14"/>
      <c r="P156" s="2">
        <f>SUM(OSRRefP22_20x_0)</f>
        <v>300</v>
      </c>
      <c r="Q156" s="2"/>
      <c r="R156" s="6">
        <f t="shared" si="32"/>
        <v>8.639971688540771E-5</v>
      </c>
      <c r="S156" s="2"/>
      <c r="T156" s="2">
        <f>SUM(OSRRefT22_20x_0)</f>
        <v>14</v>
      </c>
      <c r="U156" s="2"/>
      <c r="V156" s="6">
        <f t="shared" si="33"/>
        <v>9.3383586776721369E-6</v>
      </c>
      <c r="W156" s="2"/>
      <c r="X156" s="2">
        <f t="shared" si="34"/>
        <v>286</v>
      </c>
      <c r="Y156" s="2"/>
      <c r="Z156" s="6">
        <f t="shared" si="35"/>
        <v>20.428571428571427</v>
      </c>
    </row>
    <row r="157" spans="1:26" s="69" customFormat="1" ht="15" hidden="1" customHeight="1" outlineLevel="2" x14ac:dyDescent="0.3">
      <c r="A157" s="25"/>
      <c r="B157" s="12" t="str">
        <f>CONCATENATE("          ","6376"," - ","TRAINING")</f>
        <v xml:space="preserve">          6376 - TRAINING</v>
      </c>
      <c r="C157" s="12"/>
      <c r="D157" s="8"/>
      <c r="E157" s="3"/>
      <c r="F157" s="7">
        <f t="shared" si="28"/>
        <v>0</v>
      </c>
      <c r="G157" s="3"/>
      <c r="H157" s="8"/>
      <c r="I157" s="3"/>
      <c r="J157" s="7">
        <f t="shared" si="29"/>
        <v>0</v>
      </c>
      <c r="K157" s="3"/>
      <c r="L157" s="8">
        <f t="shared" si="30"/>
        <v>0</v>
      </c>
      <c r="M157" s="3"/>
      <c r="N157" s="7">
        <f t="shared" si="31"/>
        <v>0</v>
      </c>
      <c r="O157" s="12"/>
      <c r="P157" s="8">
        <v>300</v>
      </c>
      <c r="Q157" s="3"/>
      <c r="R157" s="7">
        <f t="shared" si="32"/>
        <v>8.639971688540771E-5</v>
      </c>
      <c r="S157" s="3"/>
      <c r="T157" s="8">
        <v>14</v>
      </c>
      <c r="U157" s="3"/>
      <c r="V157" s="7">
        <f t="shared" si="33"/>
        <v>9.3383586776721369E-6</v>
      </c>
      <c r="W157" s="3"/>
      <c r="X157" s="8">
        <f t="shared" si="34"/>
        <v>286</v>
      </c>
      <c r="Y157" s="3"/>
      <c r="Z157" s="7">
        <f t="shared" si="35"/>
        <v>20.428571428571427</v>
      </c>
    </row>
    <row r="158" spans="1:26" s="68" customFormat="1" ht="15" customHeight="1" outlineLevel="1" collapsed="1" x14ac:dyDescent="0.3">
      <c r="A158" s="26"/>
      <c r="B158" s="14" t="str">
        <f>CONCATENATE("     ","Travel                                            ")</f>
        <v xml:space="preserve">     Travel                                            </v>
      </c>
      <c r="C158" s="14"/>
      <c r="D158" s="2">
        <f>SUM(OSRRefD22_21x_0)</f>
        <v>46.81</v>
      </c>
      <c r="E158" s="2"/>
      <c r="F158" s="6">
        <f t="shared" si="28"/>
        <v>8.4836231366907064E-5</v>
      </c>
      <c r="G158" s="2"/>
      <c r="H158" s="2">
        <f>SUM(OSRRefH22_21x_0)</f>
        <v>93.02</v>
      </c>
      <c r="I158" s="2"/>
      <c r="J158" s="6">
        <f t="shared" si="29"/>
        <v>5.5783194673934269E-4</v>
      </c>
      <c r="K158" s="2"/>
      <c r="L158" s="2">
        <f t="shared" si="30"/>
        <v>-46.209999999999994</v>
      </c>
      <c r="M158" s="2"/>
      <c r="N158" s="6">
        <f t="shared" si="31"/>
        <v>-0.49677488712104917</v>
      </c>
      <c r="O158" s="14"/>
      <c r="P158" s="2">
        <f>SUM(OSRRefP22_21x_0)</f>
        <v>403.48</v>
      </c>
      <c r="Q158" s="2"/>
      <c r="R158" s="6">
        <f t="shared" si="32"/>
        <v>1.1620185922974768E-4</v>
      </c>
      <c r="S158" s="2"/>
      <c r="T158" s="2">
        <f>SUM(OSRRefT22_21x_0)</f>
        <v>544.28</v>
      </c>
      <c r="U158" s="2"/>
      <c r="V158" s="6">
        <f t="shared" si="33"/>
        <v>3.630487043630993E-4</v>
      </c>
      <c r="W158" s="2"/>
      <c r="X158" s="2">
        <f t="shared" si="34"/>
        <v>-140.79999999999995</v>
      </c>
      <c r="Y158" s="2"/>
      <c r="Z158" s="6">
        <f t="shared" si="35"/>
        <v>-0.25869037995149546</v>
      </c>
    </row>
    <row r="159" spans="1:26" s="69" customFormat="1" ht="15" hidden="1" customHeight="1" outlineLevel="2" x14ac:dyDescent="0.3">
      <c r="A159" s="25"/>
      <c r="B159" s="12" t="str">
        <f>CONCATENATE("          ","6294"," - ","TRAVEL OPERATIONAL")</f>
        <v xml:space="preserve">          6294 - TRAVEL OPERATIONAL</v>
      </c>
      <c r="C159" s="12"/>
      <c r="D159" s="8">
        <v>46.81</v>
      </c>
      <c r="E159" s="3"/>
      <c r="F159" s="7">
        <f t="shared" si="28"/>
        <v>8.4836231366907064E-5</v>
      </c>
      <c r="G159" s="3"/>
      <c r="H159" s="8">
        <v>93.02</v>
      </c>
      <c r="I159" s="3"/>
      <c r="J159" s="7">
        <f t="shared" si="29"/>
        <v>5.5783194673934269E-4</v>
      </c>
      <c r="K159" s="3"/>
      <c r="L159" s="8">
        <f t="shared" si="30"/>
        <v>-46.209999999999994</v>
      </c>
      <c r="M159" s="3"/>
      <c r="N159" s="7">
        <f t="shared" si="31"/>
        <v>-0.49677488712104917</v>
      </c>
      <c r="O159" s="12"/>
      <c r="P159" s="8">
        <v>403.48</v>
      </c>
      <c r="Q159" s="3"/>
      <c r="R159" s="7">
        <f t="shared" si="32"/>
        <v>1.1620185922974768E-4</v>
      </c>
      <c r="S159" s="3"/>
      <c r="T159" s="8">
        <v>544.28</v>
      </c>
      <c r="U159" s="3"/>
      <c r="V159" s="7">
        <f t="shared" si="33"/>
        <v>3.630487043630993E-4</v>
      </c>
      <c r="W159" s="3"/>
      <c r="X159" s="8">
        <f t="shared" si="34"/>
        <v>-140.79999999999995</v>
      </c>
      <c r="Y159" s="3"/>
      <c r="Z159" s="7">
        <f t="shared" si="35"/>
        <v>-0.25869037995149546</v>
      </c>
    </row>
    <row r="160" spans="1:26" s="68" customFormat="1" ht="15" customHeight="1" outlineLevel="1" collapsed="1" x14ac:dyDescent="0.3">
      <c r="A160" s="26"/>
      <c r="B160" s="14" t="str">
        <f>CONCATENATE("     ","Utilities                                         ")</f>
        <v xml:space="preserve">     Utilities                                         </v>
      </c>
      <c r="C160" s="14"/>
      <c r="D160" s="2">
        <f>SUM(OSRRefD22_22x_0)</f>
        <v>137.83000000000001</v>
      </c>
      <c r="E160" s="2"/>
      <c r="F160" s="6">
        <f t="shared" si="28"/>
        <v>2.4979657699852171E-4</v>
      </c>
      <c r="G160" s="2"/>
      <c r="H160" s="2">
        <f>SUM(OSRRefH22_22x_0)</f>
        <v>30.45</v>
      </c>
      <c r="I160" s="2"/>
      <c r="J160" s="6">
        <f t="shared" si="29"/>
        <v>1.8260570606550187E-4</v>
      </c>
      <c r="K160" s="2"/>
      <c r="L160" s="2">
        <f t="shared" si="30"/>
        <v>107.38000000000001</v>
      </c>
      <c r="M160" s="2"/>
      <c r="N160" s="6">
        <f t="shared" si="31"/>
        <v>3.5264367816091959</v>
      </c>
      <c r="O160" s="14"/>
      <c r="P160" s="2">
        <f>SUM(OSRRefP22_22x_0)</f>
        <v>1032.9000000000001</v>
      </c>
      <c r="Q160" s="2"/>
      <c r="R160" s="6">
        <f t="shared" si="32"/>
        <v>2.9747422523645876E-4</v>
      </c>
      <c r="S160" s="2"/>
      <c r="T160" s="2">
        <f>SUM(OSRRefT22_22x_0)</f>
        <v>235.6</v>
      </c>
      <c r="U160" s="2"/>
      <c r="V160" s="6">
        <f t="shared" si="33"/>
        <v>1.5715123603282538E-4</v>
      </c>
      <c r="W160" s="2"/>
      <c r="X160" s="2">
        <f t="shared" si="34"/>
        <v>797.30000000000007</v>
      </c>
      <c r="Y160" s="2"/>
      <c r="Z160" s="6">
        <f t="shared" si="35"/>
        <v>3.3841256366723265</v>
      </c>
    </row>
    <row r="161" spans="1:26" s="69" customFormat="1" ht="15" hidden="1" customHeight="1" outlineLevel="2" x14ac:dyDescent="0.3">
      <c r="A161" s="25"/>
      <c r="B161" s="12" t="str">
        <f>CONCATENATE("          ","6274"," - ","UTILITIES")</f>
        <v xml:space="preserve">          6274 - UTILITIES</v>
      </c>
      <c r="C161" s="12"/>
      <c r="D161" s="8">
        <v>137.83000000000001</v>
      </c>
      <c r="E161" s="3"/>
      <c r="F161" s="7">
        <f t="shared" si="28"/>
        <v>2.4979657699852171E-4</v>
      </c>
      <c r="G161" s="3"/>
      <c r="H161" s="8">
        <v>30.45</v>
      </c>
      <c r="I161" s="3"/>
      <c r="J161" s="7">
        <f t="shared" si="29"/>
        <v>1.8260570606550187E-4</v>
      </c>
      <c r="K161" s="3"/>
      <c r="L161" s="8">
        <f t="shared" si="30"/>
        <v>107.38000000000001</v>
      </c>
      <c r="M161" s="3"/>
      <c r="N161" s="7">
        <f t="shared" si="31"/>
        <v>3.5264367816091959</v>
      </c>
      <c r="O161" s="12"/>
      <c r="P161" s="8">
        <v>1032.9000000000001</v>
      </c>
      <c r="Q161" s="3"/>
      <c r="R161" s="7">
        <f t="shared" si="32"/>
        <v>2.9747422523645876E-4</v>
      </c>
      <c r="S161" s="3"/>
      <c r="T161" s="8">
        <v>235.6</v>
      </c>
      <c r="U161" s="3"/>
      <c r="V161" s="7">
        <f t="shared" si="33"/>
        <v>1.5715123603282538E-4</v>
      </c>
      <c r="W161" s="3"/>
      <c r="X161" s="8">
        <f t="shared" si="34"/>
        <v>797.30000000000007</v>
      </c>
      <c r="Y161" s="3"/>
      <c r="Z161" s="7">
        <f t="shared" si="35"/>
        <v>3.3841256366723265</v>
      </c>
    </row>
    <row r="162" spans="1:26" s="64" customFormat="1" ht="15" customHeight="1" x14ac:dyDescent="0.3">
      <c r="A162" s="36"/>
      <c r="B162" s="36"/>
      <c r="C162" s="36"/>
      <c r="D162" s="2"/>
      <c r="E162" s="2"/>
      <c r="F162" s="6"/>
      <c r="G162" s="2"/>
      <c r="H162" s="2"/>
      <c r="I162" s="2"/>
      <c r="J162" s="6"/>
      <c r="K162" s="2"/>
      <c r="L162" s="2"/>
      <c r="M162" s="2"/>
      <c r="N162" s="6"/>
      <c r="O162" s="36"/>
      <c r="P162" s="2"/>
      <c r="Q162" s="2"/>
      <c r="R162" s="6"/>
      <c r="S162" s="2"/>
      <c r="T162" s="2"/>
      <c r="U162" s="2"/>
      <c r="V162" s="6"/>
      <c r="W162" s="2"/>
      <c r="X162" s="2"/>
      <c r="Y162" s="2"/>
      <c r="Z162" s="6"/>
    </row>
    <row r="163" spans="1:26" s="62" customFormat="1" ht="15" customHeight="1" collapsed="1" x14ac:dyDescent="0.3">
      <c r="A163" s="11"/>
      <c r="B163" s="28" t="s">
        <v>290</v>
      </c>
      <c r="C163" s="11"/>
      <c r="D163" s="5">
        <f>SUM(OSRRefD25x_0)</f>
        <v>175055</v>
      </c>
      <c r="E163" s="5"/>
      <c r="F163" s="13">
        <f>IF(D$12=0,0,D163/D$12)</f>
        <v>0.31726140743289716</v>
      </c>
      <c r="G163" s="5"/>
      <c r="H163" s="5">
        <f>SUM(OSRRefH25x_0)</f>
        <v>175014.7</v>
      </c>
      <c r="I163" s="5"/>
      <c r="J163" s="13">
        <f>IF(H$12=0,0,H163/H$12)</f>
        <v>1.049546235315008</v>
      </c>
      <c r="K163" s="5"/>
      <c r="L163" s="5">
        <f>+D163-H163</f>
        <v>40.299999999988358</v>
      </c>
      <c r="M163" s="5"/>
      <c r="N163" s="13">
        <f>IF(H163=0,0,L163/H163)</f>
        <v>2.3026637191040728E-4</v>
      </c>
      <c r="O163" s="11"/>
      <c r="P163" s="5">
        <f>SUM(OSRRefP25x_0)</f>
        <v>333702.37</v>
      </c>
      <c r="Q163" s="5"/>
      <c r="R163" s="13">
        <f>IF(P$12=0,0,P163/P$12)</f>
        <v>9.6105967639965234E-2</v>
      </c>
      <c r="S163" s="5"/>
      <c r="T163" s="5">
        <f>SUM(OSRRefT25x_0)</f>
        <v>392807.77</v>
      </c>
      <c r="U163" s="5"/>
      <c r="V163" s="13">
        <f>IF(T$12=0,0,T163/T$12)</f>
        <v>0.26201284625975296</v>
      </c>
      <c r="W163" s="5"/>
      <c r="X163" s="5">
        <f>+P163-T163</f>
        <v>-59105.400000000023</v>
      </c>
      <c r="Y163" s="5"/>
      <c r="Z163" s="13">
        <f>IF(T163=0,0,X163/T163)</f>
        <v>-0.15046901949011859</v>
      </c>
    </row>
    <row r="164" spans="1:26" s="69" customFormat="1" ht="15" hidden="1" customHeight="1" outlineLevel="1" x14ac:dyDescent="0.3">
      <c r="A164" s="42"/>
      <c r="B164" s="12" t="str">
        <f>CONCATENATE("          ","9150"," - ","MISC. INCOME")</f>
        <v xml:space="preserve">          9150 - MISC. INCOME</v>
      </c>
      <c r="C164" s="12"/>
      <c r="D164" s="3">
        <f>0</f>
        <v>0</v>
      </c>
      <c r="E164" s="3"/>
      <c r="F164" s="20">
        <f>IF(D$12=0,0,D164/D$12)</f>
        <v>0</v>
      </c>
      <c r="G164" s="3"/>
      <c r="H164" s="3">
        <f>0</f>
        <v>0</v>
      </c>
      <c r="I164" s="3"/>
      <c r="J164" s="20">
        <f>IF(H$12=0,0,H164/H$12)</f>
        <v>0</v>
      </c>
      <c r="K164" s="3"/>
      <c r="L164" s="3">
        <f>+D164-H164</f>
        <v>0</v>
      </c>
      <c r="M164" s="3"/>
      <c r="N164" s="20">
        <f>IF(H164=0,0,L164/H164)</f>
        <v>0</v>
      </c>
      <c r="O164" s="12"/>
      <c r="P164" s="3">
        <f>--78871.67</f>
        <v>78871.67</v>
      </c>
      <c r="Q164" s="3"/>
      <c r="R164" s="20">
        <f>IF(P$12=0,0,P164/P$12)</f>
        <v>2.271496652759768E-2</v>
      </c>
      <c r="S164" s="3"/>
      <c r="T164" s="3">
        <f>--46373.31</f>
        <v>46373.31</v>
      </c>
      <c r="U164" s="3"/>
      <c r="V164" s="20">
        <f>IF(T$12=0,0,T164/T$12)</f>
        <v>3.0932185846491433E-2</v>
      </c>
      <c r="W164" s="3"/>
      <c r="X164" s="3">
        <f>+P164-T164</f>
        <v>32498.36</v>
      </c>
      <c r="Y164" s="3"/>
      <c r="Z164" s="20">
        <f>IF(T164=0,0,X164/T164)</f>
        <v>0.7007987999993962</v>
      </c>
    </row>
    <row r="165" spans="1:26" s="69" customFormat="1" ht="15" hidden="1" customHeight="1" outlineLevel="1" x14ac:dyDescent="0.3">
      <c r="A165" s="42"/>
      <c r="B165" s="12" t="str">
        <f>CONCATENATE("          ","9163"," - ","MISC. INCOME")</f>
        <v xml:space="preserve">          9163 - MISC. INCOME</v>
      </c>
      <c r="C165" s="12"/>
      <c r="D165" s="3">
        <f>--175055</f>
        <v>175055</v>
      </c>
      <c r="E165" s="3"/>
      <c r="F165" s="20">
        <f>IF(D$12=0,0,D165/D$12)</f>
        <v>0.31726140743289716</v>
      </c>
      <c r="G165" s="3"/>
      <c r="H165" s="3">
        <f>--175014.7</f>
        <v>175014.7</v>
      </c>
      <c r="I165" s="3"/>
      <c r="J165" s="20">
        <f>IF(H$12=0,0,H165/H$12)</f>
        <v>1.049546235315008</v>
      </c>
      <c r="K165" s="3"/>
      <c r="L165" s="3">
        <f>+D165-H165</f>
        <v>40.299999999988358</v>
      </c>
      <c r="M165" s="3"/>
      <c r="N165" s="20">
        <f>IF(H165=0,0,L165/H165)</f>
        <v>2.3026637191040728E-4</v>
      </c>
      <c r="O165" s="12"/>
      <c r="P165" s="3">
        <f>--254830.7</f>
        <v>254830.7</v>
      </c>
      <c r="Q165" s="3"/>
      <c r="R165" s="20">
        <f>IF(P$12=0,0,P165/P$12)</f>
        <v>7.3391001112367557E-2</v>
      </c>
      <c r="S165" s="3"/>
      <c r="T165" s="3">
        <f>--346434.46</f>
        <v>346434.46</v>
      </c>
      <c r="U165" s="3"/>
      <c r="V165" s="20">
        <f>IF(T$12=0,0,T165/T$12)</f>
        <v>0.2310806604132615</v>
      </c>
      <c r="W165" s="3"/>
      <c r="X165" s="3">
        <f>+P165-T165</f>
        <v>-91603.760000000009</v>
      </c>
      <c r="Y165" s="3"/>
      <c r="Z165" s="20">
        <f>IF(T165=0,0,X165/T165)</f>
        <v>-0.26441873016904843</v>
      </c>
    </row>
    <row r="166" spans="1:26" ht="15" customHeight="1" x14ac:dyDescent="0.3">
      <c r="A166" s="10"/>
      <c r="B166" s="11"/>
      <c r="C166" s="11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O166" s="11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2" customFormat="1" ht="15" customHeight="1" x14ac:dyDescent="0.3">
      <c r="A167" s="11"/>
      <c r="B167" s="27" t="s">
        <v>291</v>
      </c>
      <c r="C167" s="27"/>
      <c r="D167" s="22">
        <f>+D86-D88+D163</f>
        <v>372921.87999999995</v>
      </c>
      <c r="E167" s="15"/>
      <c r="F167" s="21">
        <f>IF(D$12=0,0,D167/D$12)</f>
        <v>0.6758659878970722</v>
      </c>
      <c r="G167" s="15"/>
      <c r="H167" s="22">
        <f>+H86-H88+H163</f>
        <v>188702.16000000003</v>
      </c>
      <c r="I167" s="15"/>
      <c r="J167" s="21">
        <f>IF(H$12=0,0,H167/H$12)</f>
        <v>1.1316286096185653</v>
      </c>
      <c r="K167" s="17"/>
      <c r="L167" s="22">
        <f>+D167-H167</f>
        <v>184219.71999999991</v>
      </c>
      <c r="M167" s="17"/>
      <c r="N167" s="21">
        <f>IF(H167=0,0,L167/H167)</f>
        <v>0.97624595288151383</v>
      </c>
      <c r="O167" s="28"/>
      <c r="P167" s="22">
        <f>+P86-P88+P163</f>
        <v>1194418.4499999997</v>
      </c>
      <c r="Q167" s="15"/>
      <c r="R167" s="21">
        <f>IF(P$12=0,0,P167/P$12)</f>
        <v>0.34399138640902494</v>
      </c>
      <c r="S167" s="15"/>
      <c r="T167" s="22">
        <f>+T86-T88+T163</f>
        <v>423471.86999999976</v>
      </c>
      <c r="U167" s="15"/>
      <c r="V167" s="21">
        <f>IF(T$12=0,0,T167/T$12)</f>
        <v>0.28246658656889606</v>
      </c>
      <c r="W167" s="17"/>
      <c r="X167" s="22">
        <f>+P167-T167</f>
        <v>770946.58</v>
      </c>
      <c r="Y167" s="17"/>
      <c r="Z167" s="21">
        <f>IF(T167=0,0,X167/T167)</f>
        <v>1.8205378789386892</v>
      </c>
    </row>
    <row r="168" spans="1:26" ht="15" customHeight="1" x14ac:dyDescent="0.3">
      <c r="A168" s="10"/>
      <c r="B168" s="11"/>
      <c r="C168" s="10"/>
      <c r="D168" s="4"/>
      <c r="E168" s="4"/>
      <c r="F168" s="9"/>
      <c r="G168" s="4"/>
      <c r="H168" s="4"/>
      <c r="I168" s="4"/>
      <c r="J168" s="9"/>
      <c r="K168" s="4"/>
      <c r="L168" s="4"/>
      <c r="M168" s="4"/>
      <c r="N168" s="9"/>
      <c r="P168" s="4"/>
      <c r="Q168" s="4"/>
      <c r="R168" s="9"/>
      <c r="S168" s="4"/>
      <c r="T168" s="4"/>
      <c r="U168" s="4"/>
      <c r="V168" s="9"/>
      <c r="W168" s="4"/>
      <c r="X168" s="4"/>
      <c r="Y168" s="4"/>
      <c r="Z168" s="9"/>
    </row>
    <row r="169" spans="1:26" s="62" customFormat="1" ht="15" customHeight="1" x14ac:dyDescent="0.3">
      <c r="A169" s="48"/>
      <c r="B169" s="11" t="s">
        <v>292</v>
      </c>
      <c r="C169" s="11"/>
      <c r="D169" s="5">
        <v>49862.26</v>
      </c>
      <c r="E169" s="5"/>
      <c r="F169" s="13">
        <f>IF(D$12=0,0,D169/D$12)</f>
        <v>9.0368003115506843E-2</v>
      </c>
      <c r="G169" s="5"/>
      <c r="H169" s="5">
        <v>45100.12</v>
      </c>
      <c r="I169" s="5"/>
      <c r="J169" s="13">
        <f>IF(H$12=0,0,H169/H$12)</f>
        <v>0.27046105931818926</v>
      </c>
      <c r="K169" s="5"/>
      <c r="L169" s="5">
        <f>+D169-H169</f>
        <v>4762.1399999999994</v>
      </c>
      <c r="M169" s="5"/>
      <c r="N169" s="13">
        <f>IF(H169=0,0,L169/H169)</f>
        <v>0.10559040641133548</v>
      </c>
      <c r="O169" s="11"/>
      <c r="P169" s="5">
        <v>414402.56</v>
      </c>
      <c r="Q169" s="5"/>
      <c r="R169" s="13">
        <f>IF(P$12=0,0,P169/P$12)</f>
        <v>0.1193475462019606</v>
      </c>
      <c r="S169" s="5"/>
      <c r="T169" s="5">
        <v>308970.90999999997</v>
      </c>
      <c r="U169" s="5"/>
      <c r="V169" s="13">
        <f>IF(T$12=0,0,T169/T$12)</f>
        <v>0.20609151275333976</v>
      </c>
      <c r="W169" s="5"/>
      <c r="X169" s="5">
        <f>+P169-T169</f>
        <v>105431.65000000002</v>
      </c>
      <c r="Y169" s="5"/>
      <c r="Z169" s="13">
        <f>IF(T169=0,0,X169/T169)</f>
        <v>0.34123487547743581</v>
      </c>
    </row>
    <row r="170" spans="1:26" ht="15" customHeight="1" x14ac:dyDescent="0.3">
      <c r="A170" s="10"/>
      <c r="B170" s="11"/>
      <c r="C170" s="11"/>
      <c r="D170" s="4"/>
      <c r="E170" s="4"/>
      <c r="F170" s="9"/>
      <c r="G170" s="4"/>
      <c r="H170" s="4"/>
      <c r="I170" s="4"/>
      <c r="J170" s="9"/>
      <c r="K170" s="4"/>
      <c r="L170" s="4"/>
      <c r="M170" s="4"/>
      <c r="N170" s="9"/>
      <c r="O170" s="11"/>
      <c r="P170" s="4"/>
      <c r="Q170" s="4"/>
      <c r="R170" s="9"/>
      <c r="S170" s="4"/>
      <c r="T170" s="4"/>
      <c r="U170" s="4"/>
      <c r="V170" s="9"/>
      <c r="W170" s="4"/>
      <c r="X170" s="4"/>
      <c r="Y170" s="4"/>
      <c r="Z170" s="9"/>
    </row>
    <row r="171" spans="1:26" s="62" customFormat="1" ht="15" customHeight="1" x14ac:dyDescent="0.3">
      <c r="A171" s="11"/>
      <c r="B171" s="27" t="s">
        <v>293</v>
      </c>
      <c r="C171" s="27"/>
      <c r="D171" s="34">
        <f>+D167-D169</f>
        <v>323059.61999999994</v>
      </c>
      <c r="E171" s="15"/>
      <c r="F171" s="33">
        <f>IF(D$12=0,0,D171/D$12)</f>
        <v>0.58549798478156534</v>
      </c>
      <c r="G171" s="15"/>
      <c r="H171" s="34">
        <f>+H167-H169</f>
        <v>143602.04000000004</v>
      </c>
      <c r="I171" s="15"/>
      <c r="J171" s="33">
        <f>IF(H$12=0,0,H171/H$12)</f>
        <v>0.86116755030037606</v>
      </c>
      <c r="K171" s="17"/>
      <c r="L171" s="34">
        <f>D171-H171</f>
        <v>179457.5799999999</v>
      </c>
      <c r="M171" s="17"/>
      <c r="N171" s="33">
        <f>IF(H171=0,0,L171/H171)</f>
        <v>1.2496868428888603</v>
      </c>
      <c r="O171" s="28"/>
      <c r="P171" s="34">
        <f>+P167-P169</f>
        <v>780015.88999999966</v>
      </c>
      <c r="Q171" s="15"/>
      <c r="R171" s="33">
        <f>IF(P$12=0,0,P171/P$12)</f>
        <v>0.22464384020706429</v>
      </c>
      <c r="S171" s="15"/>
      <c r="T171" s="34">
        <f>+T167-T169</f>
        <v>114500.95999999979</v>
      </c>
      <c r="U171" s="15"/>
      <c r="V171" s="33">
        <f>IF(T$12=0,0,T171/T$12)</f>
        <v>7.6375073815556305E-2</v>
      </c>
      <c r="W171" s="17"/>
      <c r="X171" s="34">
        <f>P171-T171</f>
        <v>665514.92999999993</v>
      </c>
      <c r="Y171" s="17"/>
      <c r="Z171" s="33">
        <f>IF(T171=0,0,X171/T171)</f>
        <v>5.8123087352280818</v>
      </c>
    </row>
    <row r="172" spans="1:26" ht="15" customHeight="1" x14ac:dyDescent="0.3">
      <c r="A172" s="10"/>
      <c r="B172" s="10"/>
      <c r="C172" s="10"/>
      <c r="D172" s="4"/>
      <c r="E172" s="4"/>
      <c r="F172" s="9"/>
      <c r="G172" s="4"/>
      <c r="H172" s="4"/>
      <c r="I172" s="4"/>
      <c r="J172" s="9"/>
      <c r="K172" s="4"/>
      <c r="L172" s="4"/>
      <c r="M172" s="4"/>
      <c r="N172" s="9"/>
      <c r="P172" s="4"/>
      <c r="Q172" s="4"/>
      <c r="R172" s="9"/>
      <c r="S172" s="4"/>
      <c r="T172" s="4"/>
      <c r="U172" s="4"/>
      <c r="V172" s="9"/>
      <c r="W172" s="4"/>
      <c r="X172" s="4"/>
      <c r="Y172" s="4"/>
      <c r="Z172" s="9"/>
    </row>
    <row r="173" spans="1:26" ht="15" customHeight="1" x14ac:dyDescent="0.3">
      <c r="A173" s="10"/>
      <c r="B173" s="10"/>
      <c r="C173" s="10"/>
      <c r="D173" s="4"/>
      <c r="E173" s="4"/>
      <c r="F173" s="9"/>
      <c r="G173" s="4"/>
      <c r="H173" s="4"/>
      <c r="I173" s="4"/>
      <c r="J173" s="9"/>
      <c r="K173" s="4"/>
      <c r="L173" s="4"/>
      <c r="M173" s="4"/>
      <c r="N173" s="9"/>
      <c r="P173" s="4"/>
      <c r="Q173" s="4"/>
      <c r="R173" s="9"/>
      <c r="S173" s="4"/>
      <c r="T173" s="4"/>
      <c r="U173" s="4"/>
      <c r="V173" s="9"/>
      <c r="W173" s="4"/>
      <c r="X173" s="4"/>
      <c r="Y173" s="4"/>
      <c r="Z173" s="9"/>
    </row>
    <row r="174" spans="1:26" s="62" customFormat="1" ht="15" customHeight="1" x14ac:dyDescent="0.3">
      <c r="A174" s="11"/>
      <c r="B174" s="27" t="s">
        <v>296</v>
      </c>
      <c r="C174" s="27"/>
      <c r="D174" s="31">
        <f>SUM(D171:D173)</f>
        <v>323059.61999999994</v>
      </c>
      <c r="E174" s="15"/>
      <c r="F174" s="32">
        <f>IF(D$12=0,0,D174/D$12)</f>
        <v>0.58549798478156534</v>
      </c>
      <c r="G174" s="15"/>
      <c r="H174" s="31">
        <f>SUM(H171:H173)</f>
        <v>143602.04000000004</v>
      </c>
      <c r="I174" s="15"/>
      <c r="J174" s="32">
        <f>IF(H$12=0,0,H174/H$12)</f>
        <v>0.86116755030037606</v>
      </c>
      <c r="K174" s="17"/>
      <c r="L174" s="31">
        <f>+D174-H174</f>
        <v>179457.5799999999</v>
      </c>
      <c r="M174" s="17"/>
      <c r="N174" s="32">
        <f>IF(H174=0,0,L174/H174)</f>
        <v>1.2496868428888603</v>
      </c>
      <c r="O174" s="28"/>
      <c r="P174" s="31">
        <f>SUM(P171:P173)</f>
        <v>780015.88999999966</v>
      </c>
      <c r="Q174" s="15"/>
      <c r="R174" s="32">
        <f>IF(P$12=0,0,P174/P$12)</f>
        <v>0.22464384020706429</v>
      </c>
      <c r="S174" s="15"/>
      <c r="T174" s="31">
        <f>SUM(T171:T173)</f>
        <v>114500.95999999979</v>
      </c>
      <c r="U174" s="15"/>
      <c r="V174" s="32">
        <f>IF(T$12=0,0,T174/T$12)</f>
        <v>7.6375073815556305E-2</v>
      </c>
      <c r="W174" s="17"/>
      <c r="X174" s="31">
        <f>+P174-T174</f>
        <v>665514.92999999993</v>
      </c>
      <c r="Y174" s="17"/>
      <c r="Z174" s="32">
        <f>IF(T174=0,0,X174/T174)</f>
        <v>5.8123087352280818</v>
      </c>
    </row>
    <row r="175" spans="1:26" ht="15" customHeight="1" x14ac:dyDescent="0.3">
      <c r="A175" s="10"/>
      <c r="C175" s="10"/>
      <c r="D175" s="19"/>
      <c r="E175" s="19"/>
      <c r="G175" s="19"/>
      <c r="H175" s="19"/>
      <c r="I175" s="19"/>
      <c r="J175" s="40"/>
      <c r="K175" s="19"/>
      <c r="L175" s="19"/>
      <c r="M175" s="19"/>
      <c r="P175" s="19"/>
      <c r="Q175" s="19"/>
      <c r="R175" s="40"/>
      <c r="S175" s="19"/>
      <c r="T175" s="19"/>
      <c r="U175" s="19"/>
      <c r="V175" s="40"/>
      <c r="W175" s="19"/>
      <c r="X175" s="19"/>
    </row>
    <row r="176" spans="1:26" ht="15" customHeight="1" x14ac:dyDescent="0.3">
      <c r="A176" s="10"/>
      <c r="B176" s="56">
        <v>44663.038552777776</v>
      </c>
      <c r="D176" s="19"/>
      <c r="E176" s="19"/>
      <c r="G176" s="19"/>
      <c r="H176" s="19"/>
      <c r="I176" s="19"/>
      <c r="J176" s="40"/>
      <c r="K176" s="19"/>
      <c r="L176" s="19"/>
      <c r="M176" s="19"/>
      <c r="P176" s="19"/>
      <c r="Q176" s="19"/>
      <c r="R176" s="40"/>
      <c r="S176" s="19"/>
      <c r="T176" s="19"/>
      <c r="U176" s="19"/>
      <c r="V176" s="40"/>
      <c r="W176" s="19"/>
      <c r="X176" s="19"/>
    </row>
    <row r="177" spans="1:24" ht="15" customHeight="1" x14ac:dyDescent="0.3">
      <c r="A177" s="10"/>
      <c r="B177" s="57" t="s">
        <v>297</v>
      </c>
      <c r="D177" s="19"/>
      <c r="E177" s="19"/>
      <c r="G177" s="19"/>
      <c r="H177" s="19"/>
      <c r="I177" s="19"/>
      <c r="J177" s="40"/>
      <c r="K177" s="19"/>
      <c r="L177" s="19"/>
      <c r="M177" s="19"/>
      <c r="P177" s="19"/>
      <c r="Q177" s="19"/>
      <c r="R177" s="40"/>
      <c r="S177" s="19"/>
      <c r="T177" s="19"/>
      <c r="U177" s="19"/>
      <c r="V177" s="40"/>
      <c r="W177" s="19"/>
      <c r="X177" s="19"/>
    </row>
    <row r="178" spans="1:24" ht="15" customHeight="1" x14ac:dyDescent="0.3">
      <c r="A178" s="10"/>
      <c r="B178" s="58"/>
      <c r="D178" s="19"/>
      <c r="E178" s="19"/>
      <c r="G178" s="19"/>
      <c r="H178" s="19"/>
      <c r="I178" s="19"/>
      <c r="J178" s="40"/>
      <c r="K178" s="19"/>
      <c r="L178" s="19"/>
      <c r="M178" s="19"/>
      <c r="P178" s="19"/>
      <c r="Q178" s="19"/>
      <c r="R178" s="40"/>
      <c r="S178" s="19"/>
      <c r="T178" s="19"/>
      <c r="U178" s="19"/>
      <c r="V178" s="40"/>
      <c r="W178" s="19"/>
      <c r="X178" s="19"/>
    </row>
    <row r="179" spans="1:24" ht="15" customHeight="1" x14ac:dyDescent="0.3">
      <c r="D179" s="19"/>
      <c r="E179" s="19"/>
      <c r="G179" s="19"/>
      <c r="H179" s="19"/>
      <c r="I179" s="19"/>
      <c r="J179" s="40"/>
      <c r="K179" s="19"/>
      <c r="L179" s="19"/>
      <c r="M179" s="19"/>
      <c r="P179" s="19"/>
      <c r="Q179" s="19"/>
      <c r="R179" s="40"/>
      <c r="S179" s="19"/>
      <c r="T179" s="19"/>
      <c r="U179" s="19"/>
      <c r="V179" s="40"/>
      <c r="W179" s="19"/>
      <c r="X17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7270D-FC04-3447-6F6B-C8E4C9C9DE28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","307"," - ","Art Store")</f>
        <v>Department 307 - Art Store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42474.009999999995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 t="shared" ref="L12:L25" si="0">+D12-H12</f>
        <v>42474.009999999995</v>
      </c>
      <c r="M12" s="5"/>
      <c r="N12" s="13">
        <f t="shared" ref="N12:N25" si="1">IF(H12=0,0,L12/H12)</f>
        <v>0</v>
      </c>
      <c r="O12" s="11"/>
      <c r="P12" s="5">
        <f>SUM(OSRRefP13x_0)</f>
        <v>186198.25</v>
      </c>
      <c r="Q12" s="5"/>
      <c r="R12" s="13"/>
      <c r="S12" s="5"/>
      <c r="T12" s="5">
        <f>SUM(OSRRefT13x_0)</f>
        <v>21311.919999999998</v>
      </c>
      <c r="U12" s="5"/>
      <c r="V12" s="13"/>
      <c r="W12" s="5"/>
      <c r="X12" s="5">
        <f t="shared" ref="X12:X25" si="2">+P12-T12</f>
        <v>164886.33000000002</v>
      </c>
      <c r="Y12" s="5"/>
      <c r="Z12" s="13">
        <f t="shared" ref="Z12:Z25" si="3">IF(T12=0,0,X12/T12)</f>
        <v>7.736812544341384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--23784.59</f>
        <v>23784.59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23784.59</v>
      </c>
      <c r="M13" s="3"/>
      <c r="N13" s="20">
        <f t="shared" si="1"/>
        <v>0</v>
      </c>
      <c r="O13" s="12"/>
      <c r="P13" s="3">
        <f>--129475.8</f>
        <v>129475.8</v>
      </c>
      <c r="Q13" s="3"/>
      <c r="R13" s="20"/>
      <c r="S13" s="3"/>
      <c r="T13" s="3">
        <f>-1096.44</f>
        <v>-1096.44</v>
      </c>
      <c r="U13" s="3"/>
      <c r="V13" s="20"/>
      <c r="W13" s="3"/>
      <c r="X13" s="3">
        <f t="shared" si="2"/>
        <v>130572.24</v>
      </c>
      <c r="Y13" s="3"/>
      <c r="Z13" s="20">
        <f t="shared" si="3"/>
        <v>-119.08744664550727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--17.51</f>
        <v>17.510000000000002</v>
      </c>
      <c r="U14" s="3"/>
      <c r="V14" s="20"/>
      <c r="W14" s="3"/>
      <c r="X14" s="3">
        <f t="shared" si="2"/>
        <v>-17.510000000000002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--7990.32</f>
        <v>7990.32</v>
      </c>
      <c r="U15" s="3"/>
      <c r="V15" s="20"/>
      <c r="W15" s="3"/>
      <c r="X15" s="3">
        <f t="shared" si="2"/>
        <v>-7990.32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--12479.05</f>
        <v>12479.05</v>
      </c>
      <c r="U16" s="3"/>
      <c r="V16" s="20"/>
      <c r="W16" s="3"/>
      <c r="X16" s="3">
        <f t="shared" si="2"/>
        <v>-12479.05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--374.55</f>
        <v>374.55</v>
      </c>
      <c r="U17" s="3"/>
      <c r="V17" s="20"/>
      <c r="W17" s="3"/>
      <c r="X17" s="3">
        <f t="shared" si="2"/>
        <v>-374.55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","4081"," - ","TAXABLE SALES-ELECTRONICS")</f>
        <v xml:space="preserve">          4081 - TAXABLE SALES-ELECTRONICS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--71.95</f>
        <v>71.95</v>
      </c>
      <c r="U18" s="3"/>
      <c r="V18" s="20"/>
      <c r="W18" s="3"/>
      <c r="X18" s="3">
        <f t="shared" si="2"/>
        <v>-71.95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","4083"," - ","TAXABLE SALES-COMPUTER EQUIPME")</f>
        <v xml:space="preserve">          4083 - TAXABLE SALES-COMPUTER EQUIPME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--9.99</f>
        <v>9.99</v>
      </c>
      <c r="U19" s="3"/>
      <c r="V19" s="20"/>
      <c r="W19" s="3"/>
      <c r="X19" s="3">
        <f t="shared" si="2"/>
        <v>-9.99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--19155.39</f>
        <v>19155.39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19155.39</v>
      </c>
      <c r="M20" s="3"/>
      <c r="N20" s="20">
        <f t="shared" si="1"/>
        <v>0</v>
      </c>
      <c r="O20" s="12"/>
      <c r="P20" s="3">
        <f>--60733.93</f>
        <v>60733.93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60733.93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","4131"," - ","NON-TAXABLE SALES-FOOD")</f>
        <v xml:space="preserve">          4131 - NON-TAXABLE SALES-FOOD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--1847.16</f>
        <v>1847.16</v>
      </c>
      <c r="U21" s="3"/>
      <c r="V21" s="20"/>
      <c r="W21" s="3"/>
      <c r="X21" s="3">
        <f t="shared" si="2"/>
        <v>-1847.16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","4200"," - ","TAXABLE RETURNS")</f>
        <v xml:space="preserve">          4200 - TAXABLE RETURNS</v>
      </c>
      <c r="C22" s="12"/>
      <c r="D22" s="3">
        <f>-328.73</f>
        <v>-328.73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-328.73</v>
      </c>
      <c r="M22" s="3"/>
      <c r="N22" s="20">
        <f t="shared" si="1"/>
        <v>0</v>
      </c>
      <c r="O22" s="12"/>
      <c r="P22" s="3">
        <f>-2001.84</f>
        <v>-2001.84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-2001.84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","4227"," - ","SALES RETURN TAXABLE-SCHOOL SU")</f>
        <v xml:space="preserve">          4227 - SALES RETURN TAXABLE-SCHOOL SU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-159.97</f>
        <v>-159.97</v>
      </c>
      <c r="U23" s="3"/>
      <c r="V23" s="20"/>
      <c r="W23" s="3"/>
      <c r="X23" s="3">
        <f t="shared" si="2"/>
        <v>159.97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","4228"," - ","SALES RETURN TAXABLE-ART/TECH")</f>
        <v xml:space="preserve">          4228 - SALES RETURN TAXABLE-ART/TECH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-222.2</f>
        <v>-222.2</v>
      </c>
      <c r="U24" s="3"/>
      <c r="V24" s="20"/>
      <c r="W24" s="3"/>
      <c r="X24" s="3">
        <f t="shared" si="2"/>
        <v>222.2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","4500"," - ","SALES DISCOUNT")</f>
        <v xml:space="preserve">          4500 - SALES DISCOUNT</v>
      </c>
      <c r="C25" s="12"/>
      <c r="D25" s="3">
        <f>-137.24</f>
        <v>-137.24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-137.24</v>
      </c>
      <c r="M25" s="3"/>
      <c r="N25" s="20">
        <f t="shared" si="1"/>
        <v>0</v>
      </c>
      <c r="O25" s="12"/>
      <c r="P25" s="3">
        <f>-2009.64</f>
        <v>-2009.64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-2009.64</v>
      </c>
      <c r="Y25" s="3"/>
      <c r="Z25" s="20">
        <f t="shared" si="3"/>
        <v>0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8" t="s">
        <v>287</v>
      </c>
      <c r="C27" s="11"/>
      <c r="D27" s="5">
        <f>SUM(OSRRefD16x_0)</f>
        <v>22858.059999999998</v>
      </c>
      <c r="E27" s="5"/>
      <c r="F27" s="13">
        <f t="shared" ref="F27:F37" si="4">IF(D$12=0,0,D27/D$12)</f>
        <v>0.53816581010363751</v>
      </c>
      <c r="G27" s="5"/>
      <c r="H27" s="5">
        <f>SUM(OSRRefH16x_0)</f>
        <v>30.48</v>
      </c>
      <c r="I27" s="5"/>
      <c r="J27" s="13">
        <f t="shared" ref="J27:J37" si="5">IF(H$12=0,0,H27/H$12)</f>
        <v>0</v>
      </c>
      <c r="K27" s="5"/>
      <c r="L27" s="5">
        <f t="shared" ref="L27:L37" si="6">+D27-H27</f>
        <v>22827.579999999998</v>
      </c>
      <c r="M27" s="5"/>
      <c r="N27" s="13">
        <f t="shared" ref="N27:N37" si="7">IF(H27=0,0,L27/H27)</f>
        <v>748.9363517060367</v>
      </c>
      <c r="O27" s="11"/>
      <c r="P27" s="5">
        <f>SUM(OSRRefP16x_0)</f>
        <v>104577</v>
      </c>
      <c r="Q27" s="5"/>
      <c r="R27" s="13">
        <f t="shared" ref="R27:R37" si="8">IF(P$12=0,0,P27/P$12)</f>
        <v>0.56164330223296943</v>
      </c>
      <c r="S27" s="5"/>
      <c r="T27" s="5">
        <f>SUM(OSRRefT16x_0)</f>
        <v>13773.499999999995</v>
      </c>
      <c r="U27" s="5"/>
      <c r="V27" s="13">
        <f t="shared" ref="V27:V37" si="9">IF(T$12=0,0,T27/T$12)</f>
        <v>0.64628151757326391</v>
      </c>
      <c r="W27" s="5"/>
      <c r="X27" s="5">
        <f t="shared" ref="X27:X37" si="10">+P27-T27</f>
        <v>90803.5</v>
      </c>
      <c r="Y27" s="5"/>
      <c r="Z27" s="13">
        <f t="shared" ref="Z27:Z37" si="11">IF(T27=0,0,X27/T27)</f>
        <v>6.5926235161723623</v>
      </c>
    </row>
    <row r="28" spans="1:26" s="69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22343.05</v>
      </c>
      <c r="E28" s="3"/>
      <c r="F28" s="20">
        <f t="shared" si="4"/>
        <v>0.52604051277475339</v>
      </c>
      <c r="G28" s="3"/>
      <c r="H28" s="3"/>
      <c r="I28" s="3"/>
      <c r="J28" s="20">
        <f t="shared" si="5"/>
        <v>0</v>
      </c>
      <c r="K28" s="3"/>
      <c r="L28" s="3">
        <f t="shared" si="6"/>
        <v>22343.05</v>
      </c>
      <c r="M28" s="3"/>
      <c r="N28" s="20">
        <f t="shared" si="7"/>
        <v>0</v>
      </c>
      <c r="O28" s="12"/>
      <c r="P28" s="3">
        <v>130009.49</v>
      </c>
      <c r="Q28" s="3"/>
      <c r="R28" s="20">
        <f t="shared" si="8"/>
        <v>0.69823153547361483</v>
      </c>
      <c r="S28" s="3"/>
      <c r="T28" s="3"/>
      <c r="U28" s="3"/>
      <c r="V28" s="20">
        <f t="shared" si="9"/>
        <v>0</v>
      </c>
      <c r="W28" s="3"/>
      <c r="X28" s="3">
        <f t="shared" si="10"/>
        <v>130009.49</v>
      </c>
      <c r="Y28" s="3"/>
      <c r="Z28" s="20">
        <f t="shared" si="11"/>
        <v>0</v>
      </c>
    </row>
    <row r="29" spans="1:26" s="69" customFormat="1" ht="15" hidden="1" customHeight="1" outlineLevel="1" x14ac:dyDescent="0.3">
      <c r="A29" s="42"/>
      <c r="B29" s="12" t="str">
        <f>CONCATENATE("          ","5026"," - ","PURCHASES @ COST-WRITING INSTR")</f>
        <v xml:space="preserve">          5026 - PURCHASES @ COST-WRITING INSTR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>
        <v>364.91</v>
      </c>
      <c r="U29" s="3"/>
      <c r="V29" s="20">
        <f t="shared" si="9"/>
        <v>1.7122342801587094E-2</v>
      </c>
      <c r="W29" s="3"/>
      <c r="X29" s="3">
        <f t="shared" si="10"/>
        <v>-364.91</v>
      </c>
      <c r="Y29" s="3"/>
      <c r="Z29" s="20">
        <f t="shared" si="11"/>
        <v>-1</v>
      </c>
    </row>
    <row r="30" spans="1:26" s="69" customFormat="1" ht="15" hidden="1" customHeight="1" outlineLevel="1" x14ac:dyDescent="0.3">
      <c r="A30" s="42"/>
      <c r="B30" s="12" t="str">
        <f>CONCATENATE("          ","5027"," - ","PURCHASES @ COST-SCHOOL SUPPLI")</f>
        <v xml:space="preserve">          5027 - PURCHASES @ COST-SCHOOL SUPPLI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>
        <v>895.47</v>
      </c>
      <c r="U30" s="3"/>
      <c r="V30" s="20">
        <f t="shared" si="9"/>
        <v>4.201733114613794E-2</v>
      </c>
      <c r="W30" s="3"/>
      <c r="X30" s="3">
        <f t="shared" si="10"/>
        <v>-895.47</v>
      </c>
      <c r="Y30" s="3"/>
      <c r="Z30" s="20">
        <f t="shared" si="11"/>
        <v>-1</v>
      </c>
    </row>
    <row r="31" spans="1:26" s="69" customFormat="1" ht="15" hidden="1" customHeight="1" outlineLevel="1" x14ac:dyDescent="0.3">
      <c r="A31" s="42"/>
      <c r="B31" s="12" t="str">
        <f>CONCATENATE("          ","5028"," - ","PURCHASES @ COST-ART/TECH")</f>
        <v xml:space="preserve">          5028 - PURCHASES @ COST-ART/TECH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>
        <v>41441.85</v>
      </c>
      <c r="U31" s="3"/>
      <c r="V31" s="20">
        <f t="shared" si="9"/>
        <v>1.9445385493188789</v>
      </c>
      <c r="W31" s="3"/>
      <c r="X31" s="3">
        <f t="shared" si="10"/>
        <v>-41441.85</v>
      </c>
      <c r="Y31" s="3"/>
      <c r="Z31" s="20">
        <f t="shared" si="11"/>
        <v>-1</v>
      </c>
    </row>
    <row r="32" spans="1:26" s="69" customFormat="1" ht="15" hidden="1" customHeight="1" outlineLevel="1" x14ac:dyDescent="0.3">
      <c r="A32" s="42"/>
      <c r="B32" s="12" t="str">
        <f>CONCATENATE("          ","5031"," - ","PURCHASES @ COST-FOOD")</f>
        <v xml:space="preserve">          5031 - PURCHASES @ COST-FOOD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>
        <v>2441.5700000000002</v>
      </c>
      <c r="U32" s="3"/>
      <c r="V32" s="20">
        <f t="shared" si="9"/>
        <v>0.11456358695040149</v>
      </c>
      <c r="W32" s="3"/>
      <c r="X32" s="3">
        <f t="shared" si="10"/>
        <v>-2441.5700000000002</v>
      </c>
      <c r="Y32" s="3"/>
      <c r="Z32" s="20">
        <f t="shared" si="11"/>
        <v>-1</v>
      </c>
    </row>
    <row r="33" spans="1:26" s="69" customFormat="1" ht="15" hidden="1" customHeight="1" outlineLevel="1" x14ac:dyDescent="0.3">
      <c r="A33" s="42"/>
      <c r="B33" s="12" t="str">
        <f>CONCATENATE("          ","5042"," - ","PURCHASES @ COST-EVERYDAY GIFT")</f>
        <v xml:space="preserve">          5042 - PURCHASES @ COST-EVERYDAY GIFT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69" customFormat="1" ht="15" hidden="1" customHeight="1" outlineLevel="1" x14ac:dyDescent="0.3">
      <c r="A34" s="42"/>
      <c r="B34" s="12" t="str">
        <f>CONCATENATE("          ","5200"," - ","PURCHASES OFFSET")</f>
        <v xml:space="preserve">          5200 - PURCHASES OFFSET</v>
      </c>
      <c r="C34" s="12"/>
      <c r="D34" s="3">
        <v>-22518.080000000002</v>
      </c>
      <c r="E34" s="3"/>
      <c r="F34" s="20">
        <f t="shared" si="4"/>
        <v>-0.53016138575095695</v>
      </c>
      <c r="G34" s="3"/>
      <c r="H34" s="3"/>
      <c r="I34" s="3"/>
      <c r="J34" s="20">
        <f t="shared" si="5"/>
        <v>0</v>
      </c>
      <c r="K34" s="3"/>
      <c r="L34" s="3">
        <f t="shared" si="6"/>
        <v>-22518.080000000002</v>
      </c>
      <c r="M34" s="3"/>
      <c r="N34" s="20">
        <f t="shared" si="7"/>
        <v>0</v>
      </c>
      <c r="O34" s="12"/>
      <c r="P34" s="3">
        <v>-131312.22</v>
      </c>
      <c r="Q34" s="3"/>
      <c r="R34" s="20">
        <f t="shared" si="8"/>
        <v>-0.70522800294847021</v>
      </c>
      <c r="S34" s="3"/>
      <c r="T34" s="3">
        <v>-45863.33</v>
      </c>
      <c r="U34" s="3"/>
      <c r="V34" s="20">
        <f t="shared" si="9"/>
        <v>-2.1520036674311842</v>
      </c>
      <c r="W34" s="3"/>
      <c r="X34" s="3">
        <f t="shared" si="10"/>
        <v>-85448.89</v>
      </c>
      <c r="Y34" s="3"/>
      <c r="Z34" s="20">
        <f t="shared" si="11"/>
        <v>1.8631200569169311</v>
      </c>
    </row>
    <row r="35" spans="1:26" s="69" customFormat="1" ht="15" hidden="1" customHeight="1" outlineLevel="1" x14ac:dyDescent="0.3">
      <c r="A35" s="42"/>
      <c r="B35" s="12" t="str">
        <f>CONCATENATE("          ","5300"," - ","COG$ OFFSET")</f>
        <v xml:space="preserve">          5300 - COG$ OFFSET</v>
      </c>
      <c r="C35" s="12"/>
      <c r="D35" s="3">
        <v>22858.06</v>
      </c>
      <c r="E35" s="3"/>
      <c r="F35" s="20">
        <f t="shared" si="4"/>
        <v>0.53816581010363762</v>
      </c>
      <c r="G35" s="3"/>
      <c r="H35" s="3"/>
      <c r="I35" s="3"/>
      <c r="J35" s="20">
        <f t="shared" si="5"/>
        <v>0</v>
      </c>
      <c r="K35" s="3"/>
      <c r="L35" s="3">
        <f t="shared" si="6"/>
        <v>22858.06</v>
      </c>
      <c r="M35" s="3"/>
      <c r="N35" s="20">
        <f t="shared" si="7"/>
        <v>0</v>
      </c>
      <c r="O35" s="12"/>
      <c r="P35" s="3">
        <v>104577</v>
      </c>
      <c r="Q35" s="3"/>
      <c r="R35" s="20">
        <f t="shared" si="8"/>
        <v>0.56164330223296943</v>
      </c>
      <c r="S35" s="3"/>
      <c r="T35" s="3">
        <v>14145</v>
      </c>
      <c r="U35" s="3"/>
      <c r="V35" s="20">
        <f t="shared" si="9"/>
        <v>0.66371307700103988</v>
      </c>
      <c r="W35" s="3"/>
      <c r="X35" s="3">
        <f t="shared" si="10"/>
        <v>90432</v>
      </c>
      <c r="Y35" s="3"/>
      <c r="Z35" s="20">
        <f t="shared" si="11"/>
        <v>6.3932131495227997</v>
      </c>
    </row>
    <row r="36" spans="1:26" s="69" customFormat="1" ht="15" hidden="1" customHeight="1" outlineLevel="1" x14ac:dyDescent="0.3">
      <c r="A36" s="42"/>
      <c r="B36" s="12" t="str">
        <f>CONCATENATE("          ","5500"," - ","FREIGHT-IN")</f>
        <v xml:space="preserve">          5500 - FREIGHT-IN</v>
      </c>
      <c r="C36" s="12"/>
      <c r="D36" s="3">
        <v>175.03</v>
      </c>
      <c r="E36" s="3"/>
      <c r="F36" s="20">
        <f t="shared" si="4"/>
        <v>4.1208729762035662E-3</v>
      </c>
      <c r="G36" s="3"/>
      <c r="H36" s="3"/>
      <c r="I36" s="3"/>
      <c r="J36" s="20">
        <f t="shared" si="5"/>
        <v>0</v>
      </c>
      <c r="K36" s="3"/>
      <c r="L36" s="3">
        <f t="shared" si="6"/>
        <v>175.03</v>
      </c>
      <c r="M36" s="3"/>
      <c r="N36" s="20">
        <f t="shared" si="7"/>
        <v>0</v>
      </c>
      <c r="O36" s="12"/>
      <c r="P36" s="3">
        <v>1302.73</v>
      </c>
      <c r="Q36" s="3"/>
      <c r="R36" s="20">
        <f t="shared" si="8"/>
        <v>6.9964674748554294E-3</v>
      </c>
      <c r="S36" s="3"/>
      <c r="T36" s="3"/>
      <c r="U36" s="3"/>
      <c r="V36" s="20">
        <f t="shared" si="9"/>
        <v>0</v>
      </c>
      <c r="W36" s="3"/>
      <c r="X36" s="3">
        <f t="shared" si="10"/>
        <v>1302.73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","5528"," - ","FREIGHT-IN-ART/TECH")</f>
        <v xml:space="preserve">          5528 - FREIGHT-IN-ART/TECH</v>
      </c>
      <c r="C37" s="12"/>
      <c r="D37" s="3"/>
      <c r="E37" s="3"/>
      <c r="F37" s="20">
        <f t="shared" si="4"/>
        <v>0</v>
      </c>
      <c r="G37" s="3"/>
      <c r="H37" s="3">
        <v>30.48</v>
      </c>
      <c r="I37" s="3"/>
      <c r="J37" s="20">
        <f t="shared" si="5"/>
        <v>0</v>
      </c>
      <c r="K37" s="3"/>
      <c r="L37" s="3">
        <f t="shared" si="6"/>
        <v>-30.48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348.03</v>
      </c>
      <c r="U37" s="3"/>
      <c r="V37" s="20">
        <f t="shared" si="9"/>
        <v>1.6330297786403103E-2</v>
      </c>
      <c r="W37" s="3"/>
      <c r="X37" s="3">
        <f t="shared" si="10"/>
        <v>-348.03</v>
      </c>
      <c r="Y37" s="3"/>
      <c r="Z37" s="20">
        <f t="shared" si="11"/>
        <v>-1</v>
      </c>
    </row>
    <row r="38" spans="1:26" ht="15" customHeight="1" x14ac:dyDescent="0.3">
      <c r="A38" s="10"/>
      <c r="B38" s="11"/>
      <c r="C38" s="11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O38" s="11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7" t="s">
        <v>288</v>
      </c>
      <c r="C39" s="27"/>
      <c r="D39" s="22">
        <f>D12-D27</f>
        <v>19615.949999999997</v>
      </c>
      <c r="E39" s="15"/>
      <c r="F39" s="21">
        <f>IF(D$12=0,0,D39/D$12)</f>
        <v>0.46183418989636249</v>
      </c>
      <c r="G39" s="15"/>
      <c r="H39" s="22">
        <f>H12-H27</f>
        <v>-30.48</v>
      </c>
      <c r="I39" s="15"/>
      <c r="J39" s="21">
        <f>IF(H$12=0,0,H39/H$12)</f>
        <v>0</v>
      </c>
      <c r="K39" s="17"/>
      <c r="L39" s="22">
        <f>+D39-H39</f>
        <v>19646.429999999997</v>
      </c>
      <c r="M39" s="17"/>
      <c r="N39" s="21">
        <f>IF(H39=0,0,L39/H39)</f>
        <v>-644.56791338582661</v>
      </c>
      <c r="O39" s="28"/>
      <c r="P39" s="22">
        <f>P12-P27</f>
        <v>81621.25</v>
      </c>
      <c r="Q39" s="15"/>
      <c r="R39" s="21">
        <f>IF(P$12=0,0,P39/P$12)</f>
        <v>0.43835669776703057</v>
      </c>
      <c r="S39" s="15"/>
      <c r="T39" s="22">
        <f>T12-T27</f>
        <v>7538.4200000000037</v>
      </c>
      <c r="U39" s="15"/>
      <c r="V39" s="21">
        <f>IF(T$12=0,0,T39/T$12)</f>
        <v>0.35371848242673604</v>
      </c>
      <c r="W39" s="17"/>
      <c r="X39" s="22">
        <f>+P39-T39</f>
        <v>74082.83</v>
      </c>
      <c r="Y39" s="17"/>
      <c r="Z39" s="21">
        <f>IF(T39=0,0,X39/T39)</f>
        <v>9.8273683344785727</v>
      </c>
    </row>
    <row r="40" spans="1:26" ht="15" customHeight="1" x14ac:dyDescent="0.3">
      <c r="A40" s="10"/>
      <c r="B40" s="11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3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62" customFormat="1" ht="15" customHeight="1" x14ac:dyDescent="0.3">
      <c r="A41" s="11"/>
      <c r="B41" s="28" t="s">
        <v>289</v>
      </c>
      <c r="C41" s="11"/>
      <c r="D41" s="23" cm="1">
        <f t="array" ref="D41">SUM(OSRRefD22x_0)</f>
        <v>7958</v>
      </c>
      <c r="E41" s="23"/>
      <c r="F41" s="35">
        <f t="shared" ref="F41:F80" si="12">IF(D$12=0,0,D41/D$12)</f>
        <v>0.18736163597456423</v>
      </c>
      <c r="G41" s="23"/>
      <c r="H41" s="23" cm="1">
        <f t="array" ref="H41">SUM(OSRRefH22x_0)</f>
        <v>114.11</v>
      </c>
      <c r="I41" s="23"/>
      <c r="J41" s="35">
        <f t="shared" ref="J41:J80" si="13">IF(H$12=0,0,H41/H$12)</f>
        <v>0</v>
      </c>
      <c r="K41" s="5"/>
      <c r="L41" s="23">
        <f t="shared" ref="L41:L80" si="14">+D41-H41</f>
        <v>7843.89</v>
      </c>
      <c r="M41" s="5"/>
      <c r="N41" s="35">
        <f t="shared" ref="N41:N80" si="15">IF(H41=0,0,L41/H41)</f>
        <v>68.739724826921389</v>
      </c>
      <c r="O41" s="11"/>
      <c r="P41" s="23" cm="1">
        <f t="array" ref="P41">SUM(OSRRefP22x_0)</f>
        <v>49169.30000000001</v>
      </c>
      <c r="Q41" s="23"/>
      <c r="R41" s="35">
        <f t="shared" ref="R41:R80" si="16">IF(P$12=0,0,P41/P$12)</f>
        <v>0.26406961397327855</v>
      </c>
      <c r="S41" s="23"/>
      <c r="T41" s="23" cm="1">
        <f t="array" ref="T41">SUM(OSRRefT22x_0)</f>
        <v>12647.859999999997</v>
      </c>
      <c r="U41" s="23"/>
      <c r="V41" s="35">
        <f t="shared" ref="V41:V80" si="17">IF(T$12=0,0,T41/T$12)</f>
        <v>0.59346412711759422</v>
      </c>
      <c r="W41" s="5"/>
      <c r="X41" s="23">
        <f t="shared" ref="X41:X80" si="18">+P41-T41</f>
        <v>36521.440000000017</v>
      </c>
      <c r="Y41" s="5"/>
      <c r="Z41" s="35">
        <f t="shared" ref="Z41:Z80" si="19">IF(T41=0,0,X41/T41)</f>
        <v>2.8875588439467252</v>
      </c>
    </row>
    <row r="42" spans="1:26" s="68" customFormat="1" ht="15" customHeight="1" outlineLevel="1" collapsed="1" x14ac:dyDescent="0.3">
      <c r="A42" s="26"/>
      <c r="B42" s="14" t="str">
        <f>CONCATENATE("     ","*Benefits                                         ")</f>
        <v xml:space="preserve">     *Benefits                                         </v>
      </c>
      <c r="C42" s="14"/>
      <c r="D42" s="2">
        <f>SUM(OSRRefD22_0x_0)</f>
        <v>265.07000000000005</v>
      </c>
      <c r="E42" s="2"/>
      <c r="F42" s="6">
        <f t="shared" si="12"/>
        <v>6.240757583284462E-3</v>
      </c>
      <c r="G42" s="2"/>
      <c r="H42" s="2">
        <f>SUM(OSRRefH22_0x_0)</f>
        <v>0</v>
      </c>
      <c r="I42" s="2"/>
      <c r="J42" s="6">
        <f t="shared" si="13"/>
        <v>0</v>
      </c>
      <c r="K42" s="2"/>
      <c r="L42" s="2">
        <f t="shared" si="14"/>
        <v>265.07000000000005</v>
      </c>
      <c r="M42" s="2"/>
      <c r="N42" s="6">
        <f t="shared" si="15"/>
        <v>0</v>
      </c>
      <c r="O42" s="14"/>
      <c r="P42" s="2">
        <f>SUM(OSRRefP22_0x_0)</f>
        <v>919.44</v>
      </c>
      <c r="Q42" s="2"/>
      <c r="R42" s="6">
        <f t="shared" si="16"/>
        <v>4.9379626285424279E-3</v>
      </c>
      <c r="S42" s="2"/>
      <c r="T42" s="2">
        <f>SUM(OSRRefT22_0x_0)</f>
        <v>778.2</v>
      </c>
      <c r="U42" s="2"/>
      <c r="V42" s="6">
        <f t="shared" si="17"/>
        <v>3.6514776707119778E-2</v>
      </c>
      <c r="W42" s="2"/>
      <c r="X42" s="2">
        <f t="shared" si="18"/>
        <v>141.24</v>
      </c>
      <c r="Y42" s="2"/>
      <c r="Z42" s="6">
        <f t="shared" si="19"/>
        <v>0.18149575944487278</v>
      </c>
    </row>
    <row r="43" spans="1:26" s="69" customFormat="1" ht="15" hidden="1" customHeight="1" outlineLevel="2" x14ac:dyDescent="0.3">
      <c r="A43" s="25"/>
      <c r="B43" s="12" t="str">
        <f>CONCATENATE("          ","6111"," - ","F.I.C.A.")</f>
        <v xml:space="preserve">          6111 - F.I.C.A.</v>
      </c>
      <c r="C43" s="12"/>
      <c r="D43" s="8">
        <v>156.9</v>
      </c>
      <c r="E43" s="3"/>
      <c r="F43" s="7">
        <f t="shared" si="12"/>
        <v>3.6940237100287921E-3</v>
      </c>
      <c r="G43" s="3"/>
      <c r="H43" s="8"/>
      <c r="I43" s="3"/>
      <c r="J43" s="7">
        <f t="shared" si="13"/>
        <v>0</v>
      </c>
      <c r="K43" s="3"/>
      <c r="L43" s="8">
        <f t="shared" si="14"/>
        <v>156.9</v>
      </c>
      <c r="M43" s="3"/>
      <c r="N43" s="7">
        <f t="shared" si="15"/>
        <v>0</v>
      </c>
      <c r="O43" s="12"/>
      <c r="P43" s="8">
        <v>343.11</v>
      </c>
      <c r="Q43" s="3"/>
      <c r="R43" s="7">
        <f t="shared" si="16"/>
        <v>1.8427133445131736E-3</v>
      </c>
      <c r="S43" s="3"/>
      <c r="T43" s="8">
        <v>484.61</v>
      </c>
      <c r="U43" s="3"/>
      <c r="V43" s="7">
        <f t="shared" si="17"/>
        <v>2.2738917938881154E-2</v>
      </c>
      <c r="W43" s="3"/>
      <c r="X43" s="8">
        <f t="shared" si="18"/>
        <v>-141.5</v>
      </c>
      <c r="Y43" s="3"/>
      <c r="Z43" s="7">
        <f t="shared" si="19"/>
        <v>-0.29198737128825242</v>
      </c>
    </row>
    <row r="44" spans="1:26" s="69" customFormat="1" ht="15" hidden="1" customHeight="1" outlineLevel="2" x14ac:dyDescent="0.3">
      <c r="A44" s="25"/>
      <c r="B44" s="12" t="str">
        <f>CONCATENATE("          ","6112"," - ","COMPENSATION INSURANCE")</f>
        <v xml:space="preserve">          6112 - COMPENSATION INSURANCE</v>
      </c>
      <c r="C44" s="12"/>
      <c r="D44" s="8">
        <v>92.01</v>
      </c>
      <c r="E44" s="3"/>
      <c r="F44" s="7">
        <f t="shared" si="12"/>
        <v>2.1662659117893512E-3</v>
      </c>
      <c r="G44" s="3"/>
      <c r="H44" s="8"/>
      <c r="I44" s="3"/>
      <c r="J44" s="7">
        <f t="shared" si="13"/>
        <v>0</v>
      </c>
      <c r="K44" s="3"/>
      <c r="L44" s="8">
        <f t="shared" si="14"/>
        <v>92.01</v>
      </c>
      <c r="M44" s="3"/>
      <c r="N44" s="7">
        <f t="shared" si="15"/>
        <v>0</v>
      </c>
      <c r="O44" s="12"/>
      <c r="P44" s="8">
        <v>490.22</v>
      </c>
      <c r="Q44" s="3"/>
      <c r="R44" s="7">
        <f t="shared" si="16"/>
        <v>2.6327852168320596E-3</v>
      </c>
      <c r="S44" s="3"/>
      <c r="T44" s="8">
        <v>255.57</v>
      </c>
      <c r="U44" s="3"/>
      <c r="V44" s="7">
        <f t="shared" si="17"/>
        <v>1.1991880600152403E-2</v>
      </c>
      <c r="W44" s="3"/>
      <c r="X44" s="8">
        <f t="shared" si="18"/>
        <v>234.65000000000003</v>
      </c>
      <c r="Y44" s="3"/>
      <c r="Z44" s="7">
        <f t="shared" si="19"/>
        <v>0.91814375709199059</v>
      </c>
    </row>
    <row r="45" spans="1:26" s="69" customFormat="1" ht="15" hidden="1" customHeight="1" outlineLevel="2" x14ac:dyDescent="0.3">
      <c r="A45" s="25"/>
      <c r="B45" s="12" t="str">
        <f>CONCATENATE("          ","6114"," - ","STATE UNEMPLOYMENT INSURANCE")</f>
        <v xml:space="preserve">          6114 - STATE UNEMPLOYMENT INSURANCE</v>
      </c>
      <c r="C45" s="12"/>
      <c r="D45" s="8">
        <v>16.16</v>
      </c>
      <c r="E45" s="3"/>
      <c r="F45" s="7">
        <f t="shared" si="12"/>
        <v>3.8046796146631791E-4</v>
      </c>
      <c r="G45" s="3"/>
      <c r="H45" s="8"/>
      <c r="I45" s="3"/>
      <c r="J45" s="7">
        <f t="shared" si="13"/>
        <v>0</v>
      </c>
      <c r="K45" s="3"/>
      <c r="L45" s="8">
        <f t="shared" si="14"/>
        <v>16.16</v>
      </c>
      <c r="M45" s="3"/>
      <c r="N45" s="7">
        <f t="shared" si="15"/>
        <v>0</v>
      </c>
      <c r="O45" s="12"/>
      <c r="P45" s="8">
        <v>86.11</v>
      </c>
      <c r="Q45" s="3"/>
      <c r="R45" s="7">
        <f t="shared" si="16"/>
        <v>4.6246406719719436E-4</v>
      </c>
      <c r="S45" s="3"/>
      <c r="T45" s="8">
        <v>38.020000000000003</v>
      </c>
      <c r="U45" s="3"/>
      <c r="V45" s="7">
        <f t="shared" si="17"/>
        <v>1.7839781680862169E-3</v>
      </c>
      <c r="W45" s="3"/>
      <c r="X45" s="8">
        <f t="shared" si="18"/>
        <v>48.089999999999996</v>
      </c>
      <c r="Y45" s="3"/>
      <c r="Z45" s="7">
        <f t="shared" si="19"/>
        <v>1.2648605996843765</v>
      </c>
    </row>
    <row r="46" spans="1:26" s="68" customFormat="1" ht="15" customHeight="1" outlineLevel="1" collapsed="1" x14ac:dyDescent="0.3">
      <c r="A46" s="26"/>
      <c r="B46" s="14" t="str">
        <f>CONCATENATE("     ","*Payroll                                          ")</f>
        <v xml:space="preserve">     *Payroll                                          </v>
      </c>
      <c r="C46" s="14"/>
      <c r="D46" s="2">
        <f>SUM(OSRRefD22_1x_0)</f>
        <v>6083.2</v>
      </c>
      <c r="E46" s="2"/>
      <c r="F46" s="6">
        <f t="shared" si="12"/>
        <v>0.14322170193019215</v>
      </c>
      <c r="G46" s="2"/>
      <c r="H46" s="2">
        <f>SUM(OSRRefH22_1x_0)</f>
        <v>0</v>
      </c>
      <c r="I46" s="2"/>
      <c r="J46" s="6">
        <f t="shared" si="13"/>
        <v>0</v>
      </c>
      <c r="K46" s="2"/>
      <c r="L46" s="2">
        <f t="shared" si="14"/>
        <v>6083.2</v>
      </c>
      <c r="M46" s="2"/>
      <c r="N46" s="6">
        <f t="shared" si="15"/>
        <v>0</v>
      </c>
      <c r="O46" s="14"/>
      <c r="P46" s="2">
        <f>SUM(OSRRefP22_1x_0)</f>
        <v>32875.82</v>
      </c>
      <c r="Q46" s="2"/>
      <c r="R46" s="6">
        <f t="shared" si="16"/>
        <v>0.17656352838976735</v>
      </c>
      <c r="S46" s="2"/>
      <c r="T46" s="2">
        <f>SUM(OSRRefT22_1x_0)</f>
        <v>8152.5399999999991</v>
      </c>
      <c r="U46" s="2"/>
      <c r="V46" s="6">
        <f t="shared" si="17"/>
        <v>0.38253428128483963</v>
      </c>
      <c r="W46" s="2"/>
      <c r="X46" s="2">
        <f t="shared" si="18"/>
        <v>24723.279999999999</v>
      </c>
      <c r="Y46" s="2"/>
      <c r="Z46" s="6">
        <f t="shared" si="19"/>
        <v>3.0325861633306923</v>
      </c>
    </row>
    <row r="47" spans="1:26" s="69" customFormat="1" ht="15" hidden="1" customHeight="1" outlineLevel="2" x14ac:dyDescent="0.3">
      <c r="A47" s="25"/>
      <c r="B47" s="12" t="str">
        <f>CONCATENATE("          ","6004"," - ","STAFF HOURLY")</f>
        <v xml:space="preserve">          6004 - STAFF HOURLY</v>
      </c>
      <c r="C47" s="12"/>
      <c r="D47" s="8"/>
      <c r="E47" s="3"/>
      <c r="F47" s="7">
        <f t="shared" si="12"/>
        <v>0</v>
      </c>
      <c r="G47" s="3"/>
      <c r="H47" s="8"/>
      <c r="I47" s="3"/>
      <c r="J47" s="7">
        <f t="shared" si="13"/>
        <v>0</v>
      </c>
      <c r="K47" s="3"/>
      <c r="L47" s="8">
        <f t="shared" si="14"/>
        <v>0</v>
      </c>
      <c r="M47" s="3"/>
      <c r="N47" s="7">
        <f t="shared" si="15"/>
        <v>0</v>
      </c>
      <c r="O47" s="12"/>
      <c r="P47" s="8">
        <v>783.61</v>
      </c>
      <c r="Q47" s="3"/>
      <c r="R47" s="7">
        <f t="shared" si="16"/>
        <v>4.2084713470722738E-3</v>
      </c>
      <c r="S47" s="3"/>
      <c r="T47" s="8"/>
      <c r="U47" s="3"/>
      <c r="V47" s="7">
        <f t="shared" si="17"/>
        <v>0</v>
      </c>
      <c r="W47" s="3"/>
      <c r="X47" s="8">
        <f t="shared" si="18"/>
        <v>783.61</v>
      </c>
      <c r="Y47" s="3"/>
      <c r="Z47" s="7">
        <f t="shared" si="19"/>
        <v>0</v>
      </c>
    </row>
    <row r="48" spans="1:26" s="69" customFormat="1" ht="15" hidden="1" customHeight="1" outlineLevel="2" x14ac:dyDescent="0.3">
      <c r="A48" s="25"/>
      <c r="B48" s="12" t="str">
        <f>CONCATENATE("          ","6005"," - ","TEMPORARY WAGES-HOURLY")</f>
        <v xml:space="preserve">          6005 - TEMPORARY WAGES-HOURLY</v>
      </c>
      <c r="C48" s="12"/>
      <c r="D48" s="8">
        <v>1530.97</v>
      </c>
      <c r="E48" s="3"/>
      <c r="F48" s="7">
        <f t="shared" si="12"/>
        <v>3.6044866025129255E-2</v>
      </c>
      <c r="G48" s="3"/>
      <c r="H48" s="8"/>
      <c r="I48" s="3"/>
      <c r="J48" s="7">
        <f t="shared" si="13"/>
        <v>0</v>
      </c>
      <c r="K48" s="3"/>
      <c r="L48" s="8">
        <f t="shared" si="14"/>
        <v>1530.97</v>
      </c>
      <c r="M48" s="3"/>
      <c r="N48" s="7">
        <f t="shared" si="15"/>
        <v>0</v>
      </c>
      <c r="O48" s="12"/>
      <c r="P48" s="8">
        <v>3701.31</v>
      </c>
      <c r="Q48" s="3"/>
      <c r="R48" s="7">
        <f t="shared" si="16"/>
        <v>1.9878328609425705E-2</v>
      </c>
      <c r="S48" s="3"/>
      <c r="T48" s="8">
        <v>5379.19</v>
      </c>
      <c r="U48" s="3"/>
      <c r="V48" s="7">
        <f t="shared" si="17"/>
        <v>0.25240288064144384</v>
      </c>
      <c r="W48" s="3"/>
      <c r="X48" s="8">
        <f t="shared" si="18"/>
        <v>-1677.8799999999997</v>
      </c>
      <c r="Y48" s="3"/>
      <c r="Z48" s="7">
        <f t="shared" si="19"/>
        <v>-0.31192056796655254</v>
      </c>
    </row>
    <row r="49" spans="1:26" s="69" customFormat="1" ht="15" hidden="1" customHeight="1" outlineLevel="2" x14ac:dyDescent="0.3">
      <c r="A49" s="25"/>
      <c r="B49" s="12" t="str">
        <f>CONCATENATE("          ","6007"," - ","STUDENT HOURLY")</f>
        <v xml:space="preserve">          6007 - STUDENT HOURLY</v>
      </c>
      <c r="C49" s="12"/>
      <c r="D49" s="8">
        <v>3964.7</v>
      </c>
      <c r="E49" s="3"/>
      <c r="F49" s="7">
        <f t="shared" si="12"/>
        <v>9.3344141511479614E-2</v>
      </c>
      <c r="G49" s="3"/>
      <c r="H49" s="8"/>
      <c r="I49" s="3"/>
      <c r="J49" s="7">
        <f t="shared" si="13"/>
        <v>0</v>
      </c>
      <c r="K49" s="3"/>
      <c r="L49" s="8">
        <f t="shared" si="14"/>
        <v>3964.7</v>
      </c>
      <c r="M49" s="3"/>
      <c r="N49" s="7">
        <f t="shared" si="15"/>
        <v>0</v>
      </c>
      <c r="O49" s="12"/>
      <c r="P49" s="8">
        <v>22916.27</v>
      </c>
      <c r="Q49" s="3"/>
      <c r="R49" s="7">
        <f t="shared" si="16"/>
        <v>0.12307457239796829</v>
      </c>
      <c r="S49" s="3"/>
      <c r="T49" s="8">
        <v>2773.35</v>
      </c>
      <c r="U49" s="3"/>
      <c r="V49" s="7">
        <f t="shared" si="17"/>
        <v>0.13013140064339582</v>
      </c>
      <c r="W49" s="3"/>
      <c r="X49" s="8">
        <f t="shared" si="18"/>
        <v>20142.920000000002</v>
      </c>
      <c r="Y49" s="3"/>
      <c r="Z49" s="7">
        <f t="shared" si="19"/>
        <v>7.2630284673769996</v>
      </c>
    </row>
    <row r="50" spans="1:26" s="69" customFormat="1" ht="15" hidden="1" customHeight="1" outlineLevel="2" x14ac:dyDescent="0.3">
      <c r="A50" s="25"/>
      <c r="B50" s="12" t="str">
        <f>CONCATENATE("          ","6008"," - ","STUDENT HOURLY-FICA EXEMPT")</f>
        <v xml:space="preserve">          6008 - STUDENT HOURLY-FICA EXEMPT</v>
      </c>
      <c r="C50" s="12"/>
      <c r="D50" s="8">
        <v>587.53</v>
      </c>
      <c r="E50" s="3"/>
      <c r="F50" s="7">
        <f t="shared" si="12"/>
        <v>1.3832694393583277E-2</v>
      </c>
      <c r="G50" s="3"/>
      <c r="H50" s="8"/>
      <c r="I50" s="3"/>
      <c r="J50" s="7">
        <f t="shared" si="13"/>
        <v>0</v>
      </c>
      <c r="K50" s="3"/>
      <c r="L50" s="8">
        <f t="shared" si="14"/>
        <v>587.53</v>
      </c>
      <c r="M50" s="3"/>
      <c r="N50" s="7">
        <f t="shared" si="15"/>
        <v>0</v>
      </c>
      <c r="O50" s="12"/>
      <c r="P50" s="8">
        <v>5474.63</v>
      </c>
      <c r="Q50" s="3"/>
      <c r="R50" s="7">
        <f t="shared" si="16"/>
        <v>2.9402156035301084E-2</v>
      </c>
      <c r="S50" s="3"/>
      <c r="T50" s="8"/>
      <c r="U50" s="3"/>
      <c r="V50" s="7">
        <f t="shared" si="17"/>
        <v>0</v>
      </c>
      <c r="W50" s="3"/>
      <c r="X50" s="8">
        <f t="shared" si="18"/>
        <v>5474.63</v>
      </c>
      <c r="Y50" s="3"/>
      <c r="Z50" s="7">
        <f t="shared" si="19"/>
        <v>0</v>
      </c>
    </row>
    <row r="51" spans="1:26" s="68" customFormat="1" ht="15" customHeight="1" outlineLevel="1" collapsed="1" x14ac:dyDescent="0.3">
      <c r="A51" s="26"/>
      <c r="B51" s="14" t="str">
        <f>CONCATENATE("     ","Advertising/Promo                                 ")</f>
        <v xml:space="preserve">     Advertising/Promo                                 </v>
      </c>
      <c r="C51" s="14"/>
      <c r="D51" s="2">
        <f>SUM(OSRRefD22_2x_0)</f>
        <v>0</v>
      </c>
      <c r="E51" s="2"/>
      <c r="F51" s="6">
        <f t="shared" si="12"/>
        <v>0</v>
      </c>
      <c r="G51" s="2"/>
      <c r="H51" s="2">
        <f>SUM(OSRRefH22_2x_0)</f>
        <v>0</v>
      </c>
      <c r="I51" s="2"/>
      <c r="J51" s="6">
        <f t="shared" si="13"/>
        <v>0</v>
      </c>
      <c r="K51" s="2"/>
      <c r="L51" s="2">
        <f t="shared" si="14"/>
        <v>0</v>
      </c>
      <c r="M51" s="2"/>
      <c r="N51" s="6">
        <f t="shared" si="15"/>
        <v>0</v>
      </c>
      <c r="O51" s="14"/>
      <c r="P51" s="2">
        <f>SUM(OSRRefP22_2x_0)</f>
        <v>1669.12</v>
      </c>
      <c r="Q51" s="2"/>
      <c r="R51" s="6">
        <f t="shared" si="16"/>
        <v>8.9642088472904544E-3</v>
      </c>
      <c r="S51" s="2"/>
      <c r="T51" s="2">
        <f>SUM(OSRRefT22_2x_0)</f>
        <v>124.72</v>
      </c>
      <c r="U51" s="2"/>
      <c r="V51" s="6">
        <f t="shared" si="17"/>
        <v>5.8521240695347957E-3</v>
      </c>
      <c r="W51" s="2"/>
      <c r="X51" s="2">
        <f t="shared" si="18"/>
        <v>1544.3999999999999</v>
      </c>
      <c r="Y51" s="2"/>
      <c r="Z51" s="6">
        <f t="shared" si="19"/>
        <v>12.382937780628607</v>
      </c>
    </row>
    <row r="52" spans="1:26" s="69" customFormat="1" ht="15" hidden="1" customHeight="1" outlineLevel="2" x14ac:dyDescent="0.3">
      <c r="A52" s="25"/>
      <c r="B52" s="12" t="str">
        <f>CONCATENATE("          ","6362"," - ","ADVERTISING EXPENSE")</f>
        <v xml:space="preserve">          6362 - ADVERTISING EXPENSE</v>
      </c>
      <c r="C52" s="12"/>
      <c r="D52" s="8"/>
      <c r="E52" s="3"/>
      <c r="F52" s="7">
        <f t="shared" si="12"/>
        <v>0</v>
      </c>
      <c r="G52" s="3"/>
      <c r="H52" s="8"/>
      <c r="I52" s="3"/>
      <c r="J52" s="7">
        <f t="shared" si="13"/>
        <v>0</v>
      </c>
      <c r="K52" s="3"/>
      <c r="L52" s="8">
        <f t="shared" si="14"/>
        <v>0</v>
      </c>
      <c r="M52" s="3"/>
      <c r="N52" s="7">
        <f t="shared" si="15"/>
        <v>0</v>
      </c>
      <c r="O52" s="12"/>
      <c r="P52" s="8">
        <v>1669.12</v>
      </c>
      <c r="Q52" s="3"/>
      <c r="R52" s="7">
        <f t="shared" si="16"/>
        <v>8.9642088472904544E-3</v>
      </c>
      <c r="S52" s="3"/>
      <c r="T52" s="8">
        <v>124.72</v>
      </c>
      <c r="U52" s="3"/>
      <c r="V52" s="7">
        <f t="shared" si="17"/>
        <v>5.8521240695347957E-3</v>
      </c>
      <c r="W52" s="3"/>
      <c r="X52" s="8">
        <f t="shared" si="18"/>
        <v>1544.3999999999999</v>
      </c>
      <c r="Y52" s="3"/>
      <c r="Z52" s="7">
        <f t="shared" si="19"/>
        <v>12.382937780628607</v>
      </c>
    </row>
    <row r="53" spans="1:26" s="68" customFormat="1" ht="15" customHeight="1" outlineLevel="1" collapsed="1" x14ac:dyDescent="0.3">
      <c r="A53" s="26"/>
      <c r="B53" s="14" t="str">
        <f>CONCATENATE("     ","Bad Debts/Over/Short                              ")</f>
        <v xml:space="preserve">     Bad Debts/Over/Short                              </v>
      </c>
      <c r="C53" s="14"/>
      <c r="D53" s="2">
        <f>SUM(OSRRefD22_3x_0)</f>
        <v>-0.64</v>
      </c>
      <c r="E53" s="2"/>
      <c r="F53" s="6">
        <f t="shared" si="12"/>
        <v>-1.5068038077873977E-5</v>
      </c>
      <c r="G53" s="2"/>
      <c r="H53" s="2">
        <f>SUM(OSRRefH22_3x_0)</f>
        <v>0</v>
      </c>
      <c r="I53" s="2"/>
      <c r="J53" s="6">
        <f t="shared" si="13"/>
        <v>0</v>
      </c>
      <c r="K53" s="2"/>
      <c r="L53" s="2">
        <f t="shared" si="14"/>
        <v>-0.64</v>
      </c>
      <c r="M53" s="2"/>
      <c r="N53" s="6">
        <f t="shared" si="15"/>
        <v>0</v>
      </c>
      <c r="O53" s="14"/>
      <c r="P53" s="2">
        <f>SUM(OSRRefP22_3x_0)</f>
        <v>-9.31</v>
      </c>
      <c r="Q53" s="2"/>
      <c r="R53" s="6">
        <f t="shared" si="16"/>
        <v>-5.0000469929228664E-5</v>
      </c>
      <c r="S53" s="2"/>
      <c r="T53" s="2">
        <f>SUM(OSRRefT22_3x_0)</f>
        <v>1.1000000000000001</v>
      </c>
      <c r="U53" s="2"/>
      <c r="V53" s="6">
        <f t="shared" si="17"/>
        <v>5.1614307861516002E-5</v>
      </c>
      <c r="W53" s="2"/>
      <c r="X53" s="2">
        <f t="shared" si="18"/>
        <v>-10.41</v>
      </c>
      <c r="Y53" s="2"/>
      <c r="Z53" s="6">
        <f t="shared" si="19"/>
        <v>-9.463636363636363</v>
      </c>
    </row>
    <row r="54" spans="1:26" s="69" customFormat="1" ht="15" hidden="1" customHeight="1" outlineLevel="2" x14ac:dyDescent="0.3">
      <c r="A54" s="25"/>
      <c r="B54" s="12" t="str">
        <f>CONCATENATE("          ","6272"," - ","CASH (OVER/SHORT)")</f>
        <v xml:space="preserve">          6272 - CASH (OVER/SHORT)</v>
      </c>
      <c r="C54" s="12"/>
      <c r="D54" s="8">
        <v>-0.64</v>
      </c>
      <c r="E54" s="3"/>
      <c r="F54" s="7">
        <f t="shared" si="12"/>
        <v>-1.5068038077873977E-5</v>
      </c>
      <c r="G54" s="3"/>
      <c r="H54" s="8"/>
      <c r="I54" s="3"/>
      <c r="J54" s="7">
        <f t="shared" si="13"/>
        <v>0</v>
      </c>
      <c r="K54" s="3"/>
      <c r="L54" s="8">
        <f t="shared" si="14"/>
        <v>-0.64</v>
      </c>
      <c r="M54" s="3"/>
      <c r="N54" s="7">
        <f t="shared" si="15"/>
        <v>0</v>
      </c>
      <c r="O54" s="12"/>
      <c r="P54" s="8">
        <v>-9.31</v>
      </c>
      <c r="Q54" s="3"/>
      <c r="R54" s="7">
        <f t="shared" si="16"/>
        <v>-5.0000469929228664E-5</v>
      </c>
      <c r="S54" s="3"/>
      <c r="T54" s="8">
        <v>1.1000000000000001</v>
      </c>
      <c r="U54" s="3"/>
      <c r="V54" s="7">
        <f t="shared" si="17"/>
        <v>5.1614307861516002E-5</v>
      </c>
      <c r="W54" s="3"/>
      <c r="X54" s="8">
        <f t="shared" si="18"/>
        <v>-10.41</v>
      </c>
      <c r="Y54" s="3"/>
      <c r="Z54" s="7">
        <f t="shared" si="19"/>
        <v>-9.463636363636363</v>
      </c>
    </row>
    <row r="55" spans="1:26" s="68" customFormat="1" ht="15" customHeight="1" outlineLevel="1" collapsed="1" x14ac:dyDescent="0.3">
      <c r="A55" s="26"/>
      <c r="B55" s="14" t="str">
        <f>CONCATENATE("     ","Discounts and Markdowns                           ")</f>
        <v xml:space="preserve">     Discounts and Markdowns                           </v>
      </c>
      <c r="C55" s="14"/>
      <c r="D55" s="2">
        <f>SUM(OSRRefD22_4x_0)</f>
        <v>-0.67</v>
      </c>
      <c r="E55" s="2"/>
      <c r="F55" s="6">
        <f t="shared" si="12"/>
        <v>-1.5774352362774319E-5</v>
      </c>
      <c r="G55" s="2"/>
      <c r="H55" s="2">
        <f>SUM(OSRRefH22_4x_0)</f>
        <v>0</v>
      </c>
      <c r="I55" s="2"/>
      <c r="J55" s="6">
        <f t="shared" si="13"/>
        <v>0</v>
      </c>
      <c r="K55" s="2"/>
      <c r="L55" s="2">
        <f t="shared" si="14"/>
        <v>-0.67</v>
      </c>
      <c r="M55" s="2"/>
      <c r="N55" s="6">
        <f t="shared" si="15"/>
        <v>0</v>
      </c>
      <c r="O55" s="14"/>
      <c r="P55" s="2">
        <f>SUM(OSRRefP22_4x_0)</f>
        <v>-0.67</v>
      </c>
      <c r="Q55" s="2"/>
      <c r="R55" s="6">
        <f t="shared" si="16"/>
        <v>-3.5983152365825136E-6</v>
      </c>
      <c r="S55" s="2"/>
      <c r="T55" s="2">
        <f>SUM(OSRRefT22_4x_0)</f>
        <v>0</v>
      </c>
      <c r="U55" s="2"/>
      <c r="V55" s="6">
        <f t="shared" si="17"/>
        <v>0</v>
      </c>
      <c r="W55" s="2"/>
      <c r="X55" s="2">
        <f t="shared" si="18"/>
        <v>-0.67</v>
      </c>
      <c r="Y55" s="2"/>
      <c r="Z55" s="6">
        <f t="shared" si="19"/>
        <v>0</v>
      </c>
    </row>
    <row r="56" spans="1:26" s="69" customFormat="1" ht="15" hidden="1" customHeight="1" outlineLevel="2" x14ac:dyDescent="0.3">
      <c r="A56" s="25"/>
      <c r="B56" s="12" t="str">
        <f>CONCATENATE("          ","6382"," - ","DISCOUNTS/MARK DOWNS")</f>
        <v xml:space="preserve">          6382 - DISCOUNTS/MARK DOWNS</v>
      </c>
      <c r="C56" s="12"/>
      <c r="D56" s="8"/>
      <c r="E56" s="3"/>
      <c r="F56" s="7">
        <f t="shared" si="12"/>
        <v>0</v>
      </c>
      <c r="G56" s="3"/>
      <c r="H56" s="8"/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69" customFormat="1" ht="15" hidden="1" customHeight="1" outlineLevel="2" x14ac:dyDescent="0.3">
      <c r="A57" s="25"/>
      <c r="B57" s="12" t="str">
        <f>CONCATENATE("          ","9175"," - ","EARNED DISCOUNTS")</f>
        <v xml:space="preserve">          9175 - EARNED DISCOUNTS</v>
      </c>
      <c r="C57" s="12"/>
      <c r="D57" s="8">
        <v>-0.67</v>
      </c>
      <c r="E57" s="3"/>
      <c r="F57" s="7">
        <f t="shared" si="12"/>
        <v>-1.5774352362774319E-5</v>
      </c>
      <c r="G57" s="3"/>
      <c r="H57" s="8"/>
      <c r="I57" s="3"/>
      <c r="J57" s="7">
        <f t="shared" si="13"/>
        <v>0</v>
      </c>
      <c r="K57" s="3"/>
      <c r="L57" s="8">
        <f t="shared" si="14"/>
        <v>-0.67</v>
      </c>
      <c r="M57" s="3"/>
      <c r="N57" s="7">
        <f t="shared" si="15"/>
        <v>0</v>
      </c>
      <c r="O57" s="12"/>
      <c r="P57" s="8">
        <v>-0.67</v>
      </c>
      <c r="Q57" s="3"/>
      <c r="R57" s="7">
        <f t="shared" si="16"/>
        <v>-3.5983152365825136E-6</v>
      </c>
      <c r="S57" s="3"/>
      <c r="T57" s="8">
        <v>0</v>
      </c>
      <c r="U57" s="3"/>
      <c r="V57" s="7">
        <f t="shared" si="17"/>
        <v>0</v>
      </c>
      <c r="W57" s="3"/>
      <c r="X57" s="8">
        <f t="shared" si="18"/>
        <v>-0.67</v>
      </c>
      <c r="Y57" s="3"/>
      <c r="Z57" s="7">
        <f t="shared" si="19"/>
        <v>0</v>
      </c>
    </row>
    <row r="58" spans="1:26" s="68" customFormat="1" ht="15" customHeight="1" outlineLevel="1" collapsed="1" x14ac:dyDescent="0.3">
      <c r="A58" s="26"/>
      <c r="B58" s="14" t="str">
        <f>CONCATENATE("     ","Freight out/Postage                               ")</f>
        <v xml:space="preserve">     Freight out/Postage                               </v>
      </c>
      <c r="C58" s="14"/>
      <c r="D58" s="2">
        <f>SUM(OSRRefD22_5x_0)</f>
        <v>0</v>
      </c>
      <c r="E58" s="2"/>
      <c r="F58" s="6">
        <f t="shared" si="12"/>
        <v>0</v>
      </c>
      <c r="G58" s="2"/>
      <c r="H58" s="2">
        <f>SUM(OSRRefH22_5x_0)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SUM(OSRRefP22_5x_0)</f>
        <v>54.5</v>
      </c>
      <c r="Q58" s="2"/>
      <c r="R58" s="6">
        <f t="shared" si="16"/>
        <v>2.9269877670708508E-4</v>
      </c>
      <c r="S58" s="2"/>
      <c r="T58" s="2">
        <f>SUM(OSRRefT22_5x_0)</f>
        <v>0</v>
      </c>
      <c r="U58" s="2"/>
      <c r="V58" s="6">
        <f t="shared" si="17"/>
        <v>0</v>
      </c>
      <c r="W58" s="2"/>
      <c r="X58" s="2">
        <f t="shared" si="18"/>
        <v>54.5</v>
      </c>
      <c r="Y58" s="2"/>
      <c r="Z58" s="6">
        <f t="shared" si="19"/>
        <v>0</v>
      </c>
    </row>
    <row r="59" spans="1:26" s="69" customFormat="1" ht="15" hidden="1" customHeight="1" outlineLevel="2" x14ac:dyDescent="0.3">
      <c r="A59" s="25"/>
      <c r="B59" s="12" t="str">
        <f>CONCATENATE("          ","6307"," - ","POSTAGE")</f>
        <v xml:space="preserve">          6307 - POSTAGE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>
        <v>54.5</v>
      </c>
      <c r="Q59" s="3"/>
      <c r="R59" s="7">
        <f t="shared" si="16"/>
        <v>2.9269877670708508E-4</v>
      </c>
      <c r="S59" s="3"/>
      <c r="T59" s="8"/>
      <c r="U59" s="3"/>
      <c r="V59" s="7">
        <f t="shared" si="17"/>
        <v>0</v>
      </c>
      <c r="W59" s="3"/>
      <c r="X59" s="8">
        <f t="shared" si="18"/>
        <v>54.5</v>
      </c>
      <c r="Y59" s="3"/>
      <c r="Z59" s="7">
        <f t="shared" si="19"/>
        <v>0</v>
      </c>
    </row>
    <row r="60" spans="1:26" s="68" customFormat="1" ht="15" customHeight="1" outlineLevel="1" collapsed="1" x14ac:dyDescent="0.3">
      <c r="A60" s="26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SUM(OSRRefD22_6x_0)</f>
        <v>0</v>
      </c>
      <c r="E60" s="2"/>
      <c r="F60" s="6">
        <f t="shared" si="12"/>
        <v>0</v>
      </c>
      <c r="G60" s="2"/>
      <c r="H60" s="2">
        <f>SUM(OSRRefH22_6x_0)</f>
        <v>0</v>
      </c>
      <c r="I60" s="2"/>
      <c r="J60" s="6">
        <f t="shared" si="13"/>
        <v>0</v>
      </c>
      <c r="K60" s="2"/>
      <c r="L60" s="2">
        <f t="shared" si="14"/>
        <v>0</v>
      </c>
      <c r="M60" s="2"/>
      <c r="N60" s="6">
        <f t="shared" si="15"/>
        <v>0</v>
      </c>
      <c r="O60" s="14"/>
      <c r="P60" s="2">
        <f>SUM(OSRRefP22_6x_0)</f>
        <v>388.04</v>
      </c>
      <c r="Q60" s="2"/>
      <c r="R60" s="6">
        <f t="shared" si="16"/>
        <v>2.0840152901544459E-3</v>
      </c>
      <c r="S60" s="2"/>
      <c r="T60" s="2">
        <f>SUM(OSRRefT22_6x_0)</f>
        <v>879.55</v>
      </c>
      <c r="U60" s="2"/>
      <c r="V60" s="6">
        <f t="shared" si="17"/>
        <v>4.1270331345087632E-2</v>
      </c>
      <c r="W60" s="2"/>
      <c r="X60" s="2">
        <f t="shared" si="18"/>
        <v>-491.50999999999993</v>
      </c>
      <c r="Y60" s="2"/>
      <c r="Z60" s="6">
        <f t="shared" si="19"/>
        <v>-0.55881985106020116</v>
      </c>
    </row>
    <row r="61" spans="1:26" s="69" customFormat="1" ht="15" hidden="1" customHeight="1" outlineLevel="2" x14ac:dyDescent="0.3">
      <c r="A61" s="25"/>
      <c r="B61" s="12" t="str">
        <f>CONCATENATE("          ","6279"," - ","GENERAL EXPENSE")</f>
        <v xml:space="preserve">          6279 - GENERAL EXPENSE</v>
      </c>
      <c r="C61" s="12"/>
      <c r="D61" s="8"/>
      <c r="E61" s="3"/>
      <c r="F61" s="7">
        <f t="shared" si="12"/>
        <v>0</v>
      </c>
      <c r="G61" s="3"/>
      <c r="H61" s="8"/>
      <c r="I61" s="3"/>
      <c r="J61" s="7">
        <f t="shared" si="13"/>
        <v>0</v>
      </c>
      <c r="K61" s="3"/>
      <c r="L61" s="8">
        <f t="shared" si="14"/>
        <v>0</v>
      </c>
      <c r="M61" s="3"/>
      <c r="N61" s="7">
        <f t="shared" si="15"/>
        <v>0</v>
      </c>
      <c r="O61" s="12"/>
      <c r="P61" s="8">
        <v>388.04</v>
      </c>
      <c r="Q61" s="3"/>
      <c r="R61" s="7">
        <f t="shared" si="16"/>
        <v>2.0840152901544459E-3</v>
      </c>
      <c r="S61" s="3"/>
      <c r="T61" s="8">
        <v>879.55</v>
      </c>
      <c r="U61" s="3"/>
      <c r="V61" s="7">
        <f t="shared" si="17"/>
        <v>4.1270331345087632E-2</v>
      </c>
      <c r="W61" s="3"/>
      <c r="X61" s="8">
        <f t="shared" si="18"/>
        <v>-491.50999999999993</v>
      </c>
      <c r="Y61" s="3"/>
      <c r="Z61" s="7">
        <f t="shared" si="19"/>
        <v>-0.55881985106020116</v>
      </c>
    </row>
    <row r="62" spans="1:26" s="68" customFormat="1" ht="15" customHeight="1" outlineLevel="1" collapsed="1" x14ac:dyDescent="0.3">
      <c r="A62" s="26"/>
      <c r="B62" s="14" t="str">
        <f>CONCATENATE("     ","Inventory Adjustment                              ")</f>
        <v xml:space="preserve">     Inventory Adjustment                              </v>
      </c>
      <c r="C62" s="14"/>
      <c r="D62" s="2">
        <f>SUM(OSRRefD22_7x_0)</f>
        <v>650</v>
      </c>
      <c r="E62" s="2"/>
      <c r="F62" s="6">
        <f t="shared" si="12"/>
        <v>1.5303476172840757E-2</v>
      </c>
      <c r="G62" s="2"/>
      <c r="H62" s="2">
        <f>SUM(OSRRefH22_7x_0)</f>
        <v>0</v>
      </c>
      <c r="I62" s="2"/>
      <c r="J62" s="6">
        <f t="shared" si="13"/>
        <v>0</v>
      </c>
      <c r="K62" s="2"/>
      <c r="L62" s="2">
        <f t="shared" si="14"/>
        <v>650</v>
      </c>
      <c r="M62" s="2"/>
      <c r="N62" s="6">
        <f t="shared" si="15"/>
        <v>0</v>
      </c>
      <c r="O62" s="14"/>
      <c r="P62" s="2">
        <f>SUM(OSRRefP22_7x_0)</f>
        <v>5850</v>
      </c>
      <c r="Q62" s="2"/>
      <c r="R62" s="6">
        <f t="shared" si="16"/>
        <v>3.1418125573145828E-2</v>
      </c>
      <c r="S62" s="2"/>
      <c r="T62" s="2">
        <f>SUM(OSRRefT22_7x_0)</f>
        <v>0</v>
      </c>
      <c r="U62" s="2"/>
      <c r="V62" s="6">
        <f t="shared" si="17"/>
        <v>0</v>
      </c>
      <c r="W62" s="2"/>
      <c r="X62" s="2">
        <f t="shared" si="18"/>
        <v>5850</v>
      </c>
      <c r="Y62" s="2"/>
      <c r="Z62" s="6">
        <f t="shared" si="19"/>
        <v>0</v>
      </c>
    </row>
    <row r="63" spans="1:26" s="69" customFormat="1" ht="15" hidden="1" customHeight="1" outlineLevel="2" x14ac:dyDescent="0.3">
      <c r="A63" s="25"/>
      <c r="B63" s="12" t="str">
        <f>CONCATENATE("          ","6408"," - ","INVENTORY ADJUSTMENT")</f>
        <v xml:space="preserve">          6408 - INVENTORY ADJUSTMENT</v>
      </c>
      <c r="C63" s="12"/>
      <c r="D63" s="8">
        <v>650</v>
      </c>
      <c r="E63" s="3"/>
      <c r="F63" s="7">
        <f t="shared" si="12"/>
        <v>1.5303476172840757E-2</v>
      </c>
      <c r="G63" s="3"/>
      <c r="H63" s="8"/>
      <c r="I63" s="3"/>
      <c r="J63" s="7">
        <f t="shared" si="13"/>
        <v>0</v>
      </c>
      <c r="K63" s="3"/>
      <c r="L63" s="8">
        <f t="shared" si="14"/>
        <v>650</v>
      </c>
      <c r="M63" s="3"/>
      <c r="N63" s="7">
        <f t="shared" si="15"/>
        <v>0</v>
      </c>
      <c r="O63" s="12"/>
      <c r="P63" s="8">
        <v>5850</v>
      </c>
      <c r="Q63" s="3"/>
      <c r="R63" s="7">
        <f t="shared" si="16"/>
        <v>3.1418125573145828E-2</v>
      </c>
      <c r="S63" s="3"/>
      <c r="T63" s="8"/>
      <c r="U63" s="3"/>
      <c r="V63" s="7">
        <f t="shared" si="17"/>
        <v>0</v>
      </c>
      <c r="W63" s="3"/>
      <c r="X63" s="8">
        <f t="shared" si="18"/>
        <v>5850</v>
      </c>
      <c r="Y63" s="3"/>
      <c r="Z63" s="7">
        <f t="shared" si="19"/>
        <v>0</v>
      </c>
    </row>
    <row r="64" spans="1:26" s="68" customFormat="1" ht="15" customHeight="1" outlineLevel="1" collapsed="1" x14ac:dyDescent="0.3">
      <c r="A64" s="26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SUM(OSRRefD22_8x_0)</f>
        <v>673.8599999999999</v>
      </c>
      <c r="E64" s="2"/>
      <c r="F64" s="6">
        <f t="shared" si="12"/>
        <v>1.5865231467431493E-2</v>
      </c>
      <c r="G64" s="2"/>
      <c r="H64" s="2">
        <f>SUM(OSRRefH22_8x_0)</f>
        <v>61.11</v>
      </c>
      <c r="I64" s="2"/>
      <c r="J64" s="6">
        <f t="shared" si="13"/>
        <v>0</v>
      </c>
      <c r="K64" s="2"/>
      <c r="L64" s="2">
        <f t="shared" si="14"/>
        <v>612.74999999999989</v>
      </c>
      <c r="M64" s="2"/>
      <c r="N64" s="6">
        <f t="shared" si="15"/>
        <v>10.027000490918015</v>
      </c>
      <c r="O64" s="14"/>
      <c r="P64" s="2">
        <f>SUM(OSRRefP22_8x_0)</f>
        <v>1057.25</v>
      </c>
      <c r="Q64" s="2"/>
      <c r="R64" s="6">
        <f t="shared" si="16"/>
        <v>5.6780877371296456E-3</v>
      </c>
      <c r="S64" s="2"/>
      <c r="T64" s="2">
        <f>SUM(OSRRefT22_8x_0)</f>
        <v>261.93</v>
      </c>
      <c r="U64" s="2"/>
      <c r="V64" s="6">
        <f t="shared" si="17"/>
        <v>1.2290305143788078E-2</v>
      </c>
      <c r="W64" s="2"/>
      <c r="X64" s="2">
        <f t="shared" si="18"/>
        <v>795.31999999999994</v>
      </c>
      <c r="Y64" s="2"/>
      <c r="Z64" s="6">
        <f t="shared" si="19"/>
        <v>3.0363837666552129</v>
      </c>
    </row>
    <row r="65" spans="1:26" s="69" customFormat="1" ht="15" hidden="1" customHeight="1" outlineLevel="2" x14ac:dyDescent="0.3">
      <c r="A65" s="25"/>
      <c r="B65" s="12" t="str">
        <f>CONCATENATE("          ","6373"," - ","MAINTENANCE CONTRACTS")</f>
        <v xml:space="preserve">          6373 - MAINTENANCE CONTRACTS</v>
      </c>
      <c r="C65" s="12"/>
      <c r="D65" s="8">
        <v>139.06</v>
      </c>
      <c r="E65" s="3"/>
      <c r="F65" s="7">
        <f t="shared" si="12"/>
        <v>3.2740021486080549E-3</v>
      </c>
      <c r="G65" s="3"/>
      <c r="H65" s="8">
        <v>61.11</v>
      </c>
      <c r="I65" s="3"/>
      <c r="J65" s="7">
        <f t="shared" si="13"/>
        <v>0</v>
      </c>
      <c r="K65" s="3"/>
      <c r="L65" s="8">
        <f t="shared" si="14"/>
        <v>77.95</v>
      </c>
      <c r="M65" s="3"/>
      <c r="N65" s="7">
        <f t="shared" si="15"/>
        <v>1.2755686467026675</v>
      </c>
      <c r="O65" s="12"/>
      <c r="P65" s="8">
        <v>339.23</v>
      </c>
      <c r="Q65" s="3"/>
      <c r="R65" s="7">
        <f t="shared" si="16"/>
        <v>1.8218753398595315E-3</v>
      </c>
      <c r="S65" s="3"/>
      <c r="T65" s="8">
        <v>261.93</v>
      </c>
      <c r="U65" s="3"/>
      <c r="V65" s="7">
        <f t="shared" si="17"/>
        <v>1.2290305143788078E-2</v>
      </c>
      <c r="W65" s="3"/>
      <c r="X65" s="8">
        <f t="shared" si="18"/>
        <v>77.300000000000011</v>
      </c>
      <c r="Y65" s="3"/>
      <c r="Z65" s="7">
        <f t="shared" si="19"/>
        <v>0.29511701599664036</v>
      </c>
    </row>
    <row r="66" spans="1:26" s="69" customFormat="1" ht="15" hidden="1" customHeight="1" outlineLevel="2" x14ac:dyDescent="0.3">
      <c r="A66" s="25"/>
      <c r="B66" s="12" t="str">
        <f>CONCATENATE("          ","6375"," - ","OUTSIDE REPAIRS &amp; MAINTENANCE")</f>
        <v xml:space="preserve">          6375 - OUTSIDE REPAIRS &amp; MAINTENANCE</v>
      </c>
      <c r="C66" s="12"/>
      <c r="D66" s="8">
        <v>534.79999999999995</v>
      </c>
      <c r="E66" s="3"/>
      <c r="F66" s="7">
        <f t="shared" si="12"/>
        <v>1.2591229318823441E-2</v>
      </c>
      <c r="G66" s="3"/>
      <c r="H66" s="8"/>
      <c r="I66" s="3"/>
      <c r="J66" s="7">
        <f t="shared" si="13"/>
        <v>0</v>
      </c>
      <c r="K66" s="3"/>
      <c r="L66" s="8">
        <f t="shared" si="14"/>
        <v>534.79999999999995</v>
      </c>
      <c r="M66" s="3"/>
      <c r="N66" s="7">
        <f t="shared" si="15"/>
        <v>0</v>
      </c>
      <c r="O66" s="12"/>
      <c r="P66" s="8">
        <v>718.02</v>
      </c>
      <c r="Q66" s="3"/>
      <c r="R66" s="7">
        <f t="shared" si="16"/>
        <v>3.8562123972701139E-3</v>
      </c>
      <c r="S66" s="3"/>
      <c r="T66" s="8"/>
      <c r="U66" s="3"/>
      <c r="V66" s="7">
        <f t="shared" si="17"/>
        <v>0</v>
      </c>
      <c r="W66" s="3"/>
      <c r="X66" s="8">
        <f t="shared" si="18"/>
        <v>718.02</v>
      </c>
      <c r="Y66" s="3"/>
      <c r="Z66" s="7">
        <f t="shared" si="19"/>
        <v>0</v>
      </c>
    </row>
    <row r="67" spans="1:26" s="68" customFormat="1" ht="15" customHeight="1" outlineLevel="1" collapsed="1" x14ac:dyDescent="0.3">
      <c r="A67" s="26"/>
      <c r="B67" s="14" t="str">
        <f>CONCATENATE("     ","Services                                          ")</f>
        <v xml:space="preserve">     Services                                          </v>
      </c>
      <c r="C67" s="14"/>
      <c r="D67" s="2">
        <f>SUM(OSRRefD22_9x_0)</f>
        <v>250.08</v>
      </c>
      <c r="E67" s="2"/>
      <c r="F67" s="6">
        <f t="shared" si="12"/>
        <v>5.8878358789292567E-3</v>
      </c>
      <c r="G67" s="2"/>
      <c r="H67" s="2">
        <f>SUM(OSRRefH22_9x_0)</f>
        <v>0</v>
      </c>
      <c r="I67" s="2"/>
      <c r="J67" s="6">
        <f t="shared" si="13"/>
        <v>0</v>
      </c>
      <c r="K67" s="2"/>
      <c r="L67" s="2">
        <f t="shared" si="14"/>
        <v>250.08</v>
      </c>
      <c r="M67" s="2"/>
      <c r="N67" s="6">
        <f t="shared" si="15"/>
        <v>0</v>
      </c>
      <c r="O67" s="14"/>
      <c r="P67" s="2">
        <f>SUM(OSRRefP22_9x_0)</f>
        <v>4180.1100000000006</v>
      </c>
      <c r="Q67" s="2"/>
      <c r="R67" s="6">
        <f t="shared" si="16"/>
        <v>2.2449781348643182E-2</v>
      </c>
      <c r="S67" s="2"/>
      <c r="T67" s="2">
        <f>SUM(OSRRefT22_9x_0)</f>
        <v>18.5</v>
      </c>
      <c r="U67" s="2"/>
      <c r="V67" s="6">
        <f t="shared" si="17"/>
        <v>8.6805881403458724E-4</v>
      </c>
      <c r="W67" s="2"/>
      <c r="X67" s="2">
        <f t="shared" si="18"/>
        <v>4161.6100000000006</v>
      </c>
      <c r="Y67" s="2"/>
      <c r="Z67" s="6">
        <f t="shared" si="19"/>
        <v>224.95189189189193</v>
      </c>
    </row>
    <row r="68" spans="1:26" s="69" customFormat="1" ht="15" hidden="1" customHeight="1" outlineLevel="2" x14ac:dyDescent="0.3">
      <c r="A68" s="25"/>
      <c r="B68" s="12" t="str">
        <f>CONCATENATE("          ","6282"," - ","JANITORIAL/EXTERMINATOR EXPENS")</f>
        <v xml:space="preserve">          6282 - JANITORIAL/EXTERMINATOR EXPENS</v>
      </c>
      <c r="C68" s="12"/>
      <c r="D68" s="8">
        <v>69</v>
      </c>
      <c r="E68" s="3"/>
      <c r="F68" s="7">
        <f t="shared" si="12"/>
        <v>1.6245228552707882E-3</v>
      </c>
      <c r="G68" s="3"/>
      <c r="H68" s="8"/>
      <c r="I68" s="3"/>
      <c r="J68" s="7">
        <f t="shared" si="13"/>
        <v>0</v>
      </c>
      <c r="K68" s="3"/>
      <c r="L68" s="8">
        <f t="shared" si="14"/>
        <v>69</v>
      </c>
      <c r="M68" s="3"/>
      <c r="N68" s="7">
        <f t="shared" si="15"/>
        <v>0</v>
      </c>
      <c r="O68" s="12"/>
      <c r="P68" s="8">
        <v>836.6</v>
      </c>
      <c r="Q68" s="3"/>
      <c r="R68" s="7">
        <f t="shared" si="16"/>
        <v>4.4930604879476581E-3</v>
      </c>
      <c r="S68" s="3"/>
      <c r="T68" s="8">
        <v>176</v>
      </c>
      <c r="U68" s="3"/>
      <c r="V68" s="7">
        <f t="shared" si="17"/>
        <v>8.2582892578425601E-3</v>
      </c>
      <c r="W68" s="3"/>
      <c r="X68" s="8">
        <f t="shared" si="18"/>
        <v>660.6</v>
      </c>
      <c r="Y68" s="3"/>
      <c r="Z68" s="7">
        <f t="shared" si="19"/>
        <v>3.7534090909090909</v>
      </c>
    </row>
    <row r="69" spans="1:26" s="69" customFormat="1" ht="15" hidden="1" customHeight="1" outlineLevel="2" x14ac:dyDescent="0.3">
      <c r="A69" s="25"/>
      <c r="B69" s="12" t="str">
        <f>CONCATENATE("          ","6285"," - ","JANITORIAL SERVICES")</f>
        <v xml:space="preserve">          6285 - JANITORIAL SERVICES</v>
      </c>
      <c r="C69" s="12"/>
      <c r="D69" s="8">
        <v>181.08</v>
      </c>
      <c r="E69" s="3"/>
      <c r="F69" s="7">
        <f t="shared" si="12"/>
        <v>4.2633130236584688E-3</v>
      </c>
      <c r="G69" s="3"/>
      <c r="H69" s="8"/>
      <c r="I69" s="3"/>
      <c r="J69" s="7">
        <f t="shared" si="13"/>
        <v>0</v>
      </c>
      <c r="K69" s="3"/>
      <c r="L69" s="8">
        <f t="shared" si="14"/>
        <v>181.08</v>
      </c>
      <c r="M69" s="3"/>
      <c r="N69" s="7">
        <f t="shared" si="15"/>
        <v>0</v>
      </c>
      <c r="O69" s="12"/>
      <c r="P69" s="8">
        <v>3343.51</v>
      </c>
      <c r="Q69" s="3"/>
      <c r="R69" s="7">
        <f t="shared" si="16"/>
        <v>1.7956720860695524E-2</v>
      </c>
      <c r="S69" s="3"/>
      <c r="T69" s="8">
        <v>-157.5</v>
      </c>
      <c r="U69" s="3"/>
      <c r="V69" s="7">
        <f t="shared" si="17"/>
        <v>-7.3902304438079732E-3</v>
      </c>
      <c r="W69" s="3"/>
      <c r="X69" s="8">
        <f t="shared" si="18"/>
        <v>3501.01</v>
      </c>
      <c r="Y69" s="3"/>
      <c r="Z69" s="7">
        <f t="shared" si="19"/>
        <v>-22.228634920634921</v>
      </c>
    </row>
    <row r="70" spans="1:26" s="68" customFormat="1" ht="15" customHeight="1" outlineLevel="1" collapsed="1" x14ac:dyDescent="0.3">
      <c r="A70" s="26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SUM(OSRRefD22_10x_0)</f>
        <v>0</v>
      </c>
      <c r="E70" s="2"/>
      <c r="F70" s="6">
        <f t="shared" si="12"/>
        <v>0</v>
      </c>
      <c r="G70" s="2"/>
      <c r="H70" s="2">
        <f>SUM(OSRRefH22_10x_0)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SUM(OSRRefP22_10x_0)</f>
        <v>45.27</v>
      </c>
      <c r="Q70" s="2"/>
      <c r="R70" s="6">
        <f t="shared" si="16"/>
        <v>2.4312795635834388E-4</v>
      </c>
      <c r="S70" s="2"/>
      <c r="T70" s="2">
        <f>SUM(OSRRefT22_10x_0)</f>
        <v>0</v>
      </c>
      <c r="U70" s="2"/>
      <c r="V70" s="6">
        <f t="shared" si="17"/>
        <v>0</v>
      </c>
      <c r="W70" s="2"/>
      <c r="X70" s="2">
        <f t="shared" si="18"/>
        <v>45.27</v>
      </c>
      <c r="Y70" s="2"/>
      <c r="Z70" s="6">
        <f t="shared" si="19"/>
        <v>0</v>
      </c>
    </row>
    <row r="71" spans="1:26" s="69" customFormat="1" ht="15" hidden="1" customHeight="1" outlineLevel="2" x14ac:dyDescent="0.3">
      <c r="A71" s="25"/>
      <c r="B71" s="12" t="str">
        <f>CONCATENATE("          ","6258"," - ","MEMBERSHIP DUES")</f>
        <v xml:space="preserve">          6258 - MEMBERSHIP DUES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45.27</v>
      </c>
      <c r="Q71" s="3"/>
      <c r="R71" s="7">
        <f t="shared" si="16"/>
        <v>2.4312795635834388E-4</v>
      </c>
      <c r="S71" s="3"/>
      <c r="T71" s="8"/>
      <c r="U71" s="3"/>
      <c r="V71" s="7">
        <f t="shared" si="17"/>
        <v>0</v>
      </c>
      <c r="W71" s="3"/>
      <c r="X71" s="8">
        <f t="shared" si="18"/>
        <v>45.27</v>
      </c>
      <c r="Y71" s="3"/>
      <c r="Z71" s="7">
        <f t="shared" si="19"/>
        <v>0</v>
      </c>
    </row>
    <row r="72" spans="1:26" s="68" customFormat="1" ht="15" customHeight="1" outlineLevel="1" collapsed="1" x14ac:dyDescent="0.3">
      <c r="A72" s="26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SUM(OSRRefD22_11x_0)</f>
        <v>0</v>
      </c>
      <c r="E72" s="2"/>
      <c r="F72" s="6">
        <f t="shared" si="12"/>
        <v>0</v>
      </c>
      <c r="G72" s="2"/>
      <c r="H72" s="2">
        <f>SUM(OSRRefH22_11x_0)</f>
        <v>0</v>
      </c>
      <c r="I72" s="2"/>
      <c r="J72" s="6">
        <f t="shared" si="13"/>
        <v>0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SUM(OSRRefP22_11x_0)</f>
        <v>1747.49</v>
      </c>
      <c r="Q72" s="2"/>
      <c r="R72" s="6">
        <f t="shared" si="16"/>
        <v>9.3851043175754868E-3</v>
      </c>
      <c r="S72" s="2"/>
      <c r="T72" s="2">
        <f>SUM(OSRRefT22_11x_0)</f>
        <v>1892.27</v>
      </c>
      <c r="U72" s="2"/>
      <c r="V72" s="6">
        <f t="shared" si="17"/>
        <v>8.8789278488282622E-2</v>
      </c>
      <c r="W72" s="2"/>
      <c r="X72" s="2">
        <f t="shared" si="18"/>
        <v>-144.77999999999997</v>
      </c>
      <c r="Y72" s="2"/>
      <c r="Z72" s="6">
        <f t="shared" si="19"/>
        <v>-7.6511280102733739E-2</v>
      </c>
    </row>
    <row r="73" spans="1:26" s="69" customFormat="1" ht="15" hidden="1" customHeight="1" outlineLevel="2" x14ac:dyDescent="0.3">
      <c r="A73" s="25"/>
      <c r="B73" s="12" t="str">
        <f>CONCATENATE("          ","6234"," - ","EXPENDABLE SUPPLIES &amp; EQUIPMEN")</f>
        <v xml:space="preserve">          6234 - EXPENDABLE SUPPLIES &amp; EQUIPMEN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>
        <v>1393.55</v>
      </c>
      <c r="Q73" s="3"/>
      <c r="R73" s="7">
        <f t="shared" si="16"/>
        <v>7.4842271611038234E-3</v>
      </c>
      <c r="S73" s="3"/>
      <c r="T73" s="8"/>
      <c r="U73" s="3"/>
      <c r="V73" s="7">
        <f t="shared" si="17"/>
        <v>0</v>
      </c>
      <c r="W73" s="3"/>
      <c r="X73" s="8">
        <f t="shared" si="18"/>
        <v>1393.55</v>
      </c>
      <c r="Y73" s="3"/>
      <c r="Z73" s="7">
        <f t="shared" si="19"/>
        <v>0</v>
      </c>
    </row>
    <row r="74" spans="1:26" s="69" customFormat="1" ht="15" hidden="1" customHeight="1" outlineLevel="2" x14ac:dyDescent="0.3">
      <c r="A74" s="25"/>
      <c r="B74" s="12" t="str">
        <f>CONCATENATE("          ","6235"," - ","COVID-19 EXPENSES")</f>
        <v xml:space="preserve">          6235 - COVID-19 EXPENSES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444.3</v>
      </c>
      <c r="U74" s="3"/>
      <c r="V74" s="7">
        <f t="shared" si="17"/>
        <v>2.0847488166246871E-2</v>
      </c>
      <c r="W74" s="3"/>
      <c r="X74" s="8">
        <f t="shared" si="18"/>
        <v>-444.3</v>
      </c>
      <c r="Y74" s="3"/>
      <c r="Z74" s="7">
        <f t="shared" si="19"/>
        <v>-1</v>
      </c>
    </row>
    <row r="75" spans="1:26" s="69" customFormat="1" ht="15" hidden="1" customHeight="1" outlineLevel="2" x14ac:dyDescent="0.3">
      <c r="A75" s="25"/>
      <c r="B75" s="12" t="str">
        <f>CONCATENATE("          ","6241"," - ","OFFICE EXPENSE")</f>
        <v xml:space="preserve">          6241 - OFFICE EXPENSE</v>
      </c>
      <c r="C75" s="12"/>
      <c r="D75" s="8"/>
      <c r="E75" s="3"/>
      <c r="F75" s="7">
        <f t="shared" si="12"/>
        <v>0</v>
      </c>
      <c r="G75" s="3"/>
      <c r="H75" s="8"/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>
        <v>11.03</v>
      </c>
      <c r="Q75" s="3"/>
      <c r="R75" s="7">
        <f t="shared" si="16"/>
        <v>5.9237935909709136E-5</v>
      </c>
      <c r="S75" s="3"/>
      <c r="T75" s="8">
        <v>225.24</v>
      </c>
      <c r="U75" s="3"/>
      <c r="V75" s="7">
        <f t="shared" si="17"/>
        <v>1.056873336611624E-2</v>
      </c>
      <c r="W75" s="3"/>
      <c r="X75" s="8">
        <f t="shared" si="18"/>
        <v>-214.21</v>
      </c>
      <c r="Y75" s="3"/>
      <c r="Z75" s="7">
        <f t="shared" si="19"/>
        <v>-0.95103001243118446</v>
      </c>
    </row>
    <row r="76" spans="1:26" s="69" customFormat="1" ht="15" hidden="1" customHeight="1" outlineLevel="2" x14ac:dyDescent="0.3">
      <c r="A76" s="25"/>
      <c r="B76" s="12" t="str">
        <f>CONCATENATE("          ","6247"," - ","STORE SUPPLIES")</f>
        <v xml:space="preserve">          6247 - STORE SUPPLIES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>
        <v>342.91</v>
      </c>
      <c r="Q76" s="3"/>
      <c r="R76" s="7">
        <f t="shared" si="16"/>
        <v>1.8416392205619549E-3</v>
      </c>
      <c r="S76" s="3"/>
      <c r="T76" s="8">
        <v>1222.73</v>
      </c>
      <c r="U76" s="3"/>
      <c r="V76" s="7">
        <f t="shared" si="17"/>
        <v>5.7373056955919509E-2</v>
      </c>
      <c r="W76" s="3"/>
      <c r="X76" s="8">
        <f t="shared" si="18"/>
        <v>-879.81999999999994</v>
      </c>
      <c r="Y76" s="3"/>
      <c r="Z76" s="7">
        <f t="shared" si="19"/>
        <v>-0.7195537853818913</v>
      </c>
    </row>
    <row r="77" spans="1:26" s="68" customFormat="1" ht="15" customHeight="1" outlineLevel="1" collapsed="1" x14ac:dyDescent="0.3">
      <c r="A77" s="26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37.1</v>
      </c>
      <c r="E77" s="2"/>
      <c r="F77" s="6">
        <f t="shared" si="12"/>
        <v>8.7347533232675712E-4</v>
      </c>
      <c r="G77" s="2"/>
      <c r="H77" s="2">
        <f>SUM(OSRRefH22_12x_0)</f>
        <v>53</v>
      </c>
      <c r="I77" s="2"/>
      <c r="J77" s="6">
        <f t="shared" si="13"/>
        <v>0</v>
      </c>
      <c r="K77" s="2"/>
      <c r="L77" s="2">
        <f t="shared" si="14"/>
        <v>-15.899999999999999</v>
      </c>
      <c r="M77" s="2"/>
      <c r="N77" s="6">
        <f t="shared" si="15"/>
        <v>-0.3</v>
      </c>
      <c r="O77" s="14"/>
      <c r="P77" s="2">
        <f>SUM(OSRRefP22_12x_0)</f>
        <v>392.24</v>
      </c>
      <c r="Q77" s="2"/>
      <c r="R77" s="6">
        <f t="shared" si="16"/>
        <v>2.1065718931300376E-3</v>
      </c>
      <c r="S77" s="2"/>
      <c r="T77" s="2">
        <f>SUM(OSRRefT22_12x_0)</f>
        <v>525.04999999999995</v>
      </c>
      <c r="U77" s="2"/>
      <c r="V77" s="6">
        <f t="shared" si="17"/>
        <v>2.4636447584262703E-2</v>
      </c>
      <c r="W77" s="2"/>
      <c r="X77" s="2">
        <f t="shared" si="18"/>
        <v>-132.80999999999995</v>
      </c>
      <c r="Y77" s="2"/>
      <c r="Z77" s="6">
        <f t="shared" si="19"/>
        <v>-0.25294733834872862</v>
      </c>
    </row>
    <row r="78" spans="1:26" s="69" customFormat="1" ht="15" hidden="1" customHeight="1" outlineLevel="2" x14ac:dyDescent="0.3">
      <c r="A78" s="25"/>
      <c r="B78" s="12" t="str">
        <f>CONCATENATE("          ","6309"," - ","TELEPHONE")</f>
        <v xml:space="preserve">          6309 - TELEPHONE</v>
      </c>
      <c r="C78" s="12"/>
      <c r="D78" s="8">
        <v>37.1</v>
      </c>
      <c r="E78" s="3"/>
      <c r="F78" s="7">
        <f t="shared" si="12"/>
        <v>8.7347533232675712E-4</v>
      </c>
      <c r="G78" s="3"/>
      <c r="H78" s="8">
        <v>53</v>
      </c>
      <c r="I78" s="3"/>
      <c r="J78" s="7">
        <f t="shared" si="13"/>
        <v>0</v>
      </c>
      <c r="K78" s="3"/>
      <c r="L78" s="8">
        <f t="shared" si="14"/>
        <v>-15.899999999999999</v>
      </c>
      <c r="M78" s="3"/>
      <c r="N78" s="7">
        <f t="shared" si="15"/>
        <v>-0.3</v>
      </c>
      <c r="O78" s="12"/>
      <c r="P78" s="8">
        <v>392.24</v>
      </c>
      <c r="Q78" s="3"/>
      <c r="R78" s="7">
        <f t="shared" si="16"/>
        <v>2.1065718931300376E-3</v>
      </c>
      <c r="S78" s="3"/>
      <c r="T78" s="8">
        <v>525.04999999999995</v>
      </c>
      <c r="U78" s="3"/>
      <c r="V78" s="7">
        <f t="shared" si="17"/>
        <v>2.4636447584262703E-2</v>
      </c>
      <c r="W78" s="3"/>
      <c r="X78" s="8">
        <f t="shared" si="18"/>
        <v>-132.80999999999995</v>
      </c>
      <c r="Y78" s="3"/>
      <c r="Z78" s="7">
        <f t="shared" si="19"/>
        <v>-0.25294733834872862</v>
      </c>
    </row>
    <row r="79" spans="1:26" s="68" customFormat="1" ht="15" customHeight="1" outlineLevel="1" collapsed="1" x14ac:dyDescent="0.3">
      <c r="A79" s="26"/>
      <c r="B79" s="14" t="str">
        <f>CONCATENATE("     ","Training                                          ")</f>
        <v xml:space="preserve">     Training                                          </v>
      </c>
      <c r="C79" s="14"/>
      <c r="D79" s="2">
        <f>SUM(OSRRefD22_13x_0)</f>
        <v>0</v>
      </c>
      <c r="E79" s="2"/>
      <c r="F79" s="6">
        <f t="shared" si="12"/>
        <v>0</v>
      </c>
      <c r="G79" s="2"/>
      <c r="H79" s="2">
        <f>SUM(OSRRefH22_13x_0)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SUM(OSRRefP22_13x_0)</f>
        <v>0</v>
      </c>
      <c r="Q79" s="2"/>
      <c r="R79" s="6">
        <f t="shared" si="16"/>
        <v>0</v>
      </c>
      <c r="S79" s="2"/>
      <c r="T79" s="2">
        <f>SUM(OSRRefT22_13x_0)</f>
        <v>14</v>
      </c>
      <c r="U79" s="2"/>
      <c r="V79" s="6">
        <f t="shared" si="17"/>
        <v>6.5690937278293094E-4</v>
      </c>
      <c r="W79" s="2"/>
      <c r="X79" s="2">
        <f t="shared" si="18"/>
        <v>-14</v>
      </c>
      <c r="Y79" s="2"/>
      <c r="Z79" s="6">
        <f t="shared" si="19"/>
        <v>-1</v>
      </c>
    </row>
    <row r="80" spans="1:26" s="69" customFormat="1" ht="15" hidden="1" customHeight="1" outlineLevel="2" x14ac:dyDescent="0.3">
      <c r="A80" s="25"/>
      <c r="B80" s="12" t="str">
        <f>CONCATENATE("          ","6376"," - ","TRAINING")</f>
        <v xml:space="preserve">          6376 - TRAINING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14</v>
      </c>
      <c r="U80" s="3"/>
      <c r="V80" s="7">
        <f t="shared" si="17"/>
        <v>6.5690937278293094E-4</v>
      </c>
      <c r="W80" s="3"/>
      <c r="X80" s="8">
        <f t="shared" si="18"/>
        <v>-14</v>
      </c>
      <c r="Y80" s="3"/>
      <c r="Z80" s="7">
        <f t="shared" si="19"/>
        <v>-1</v>
      </c>
    </row>
    <row r="81" spans="1:26" s="64" customFormat="1" ht="15" customHeight="1" x14ac:dyDescent="0.3">
      <c r="A81" s="36"/>
      <c r="B81" s="36"/>
      <c r="C81" s="36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3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62" customFormat="1" ht="15" customHeight="1" x14ac:dyDescent="0.3">
      <c r="A82" s="11"/>
      <c r="B82" s="28" t="s">
        <v>290</v>
      </c>
      <c r="C82" s="11"/>
      <c r="D82" s="5">
        <f>SUM(0)</f>
        <v>0</v>
      </c>
      <c r="E82" s="5"/>
      <c r="F82" s="13">
        <f>IF(D$12=0,0,D82/D$12)</f>
        <v>0</v>
      </c>
      <c r="G82" s="5"/>
      <c r="H82" s="5">
        <f>SUM(0)</f>
        <v>0</v>
      </c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>
        <f>SUM(0)</f>
        <v>0</v>
      </c>
      <c r="Q82" s="5"/>
      <c r="R82" s="13">
        <f>IF(P$12=0,0,P82/P$12)</f>
        <v>0</v>
      </c>
      <c r="S82" s="5"/>
      <c r="T82" s="5">
        <f>SUM(0)</f>
        <v>0</v>
      </c>
      <c r="U82" s="5"/>
      <c r="V82" s="13">
        <f>IF(T$12=0,0,T82/T$12)</f>
        <v>0</v>
      </c>
      <c r="W82" s="5"/>
      <c r="X82" s="5">
        <f>+P82-T82</f>
        <v>0</v>
      </c>
      <c r="Y82" s="5"/>
      <c r="Z82" s="13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291</v>
      </c>
      <c r="C84" s="27"/>
      <c r="D84" s="22">
        <f>+D39-D41+D82</f>
        <v>11657.949999999997</v>
      </c>
      <c r="E84" s="15"/>
      <c r="F84" s="21">
        <f>IF(D$12=0,0,D84/D$12)</f>
        <v>0.27447255392179826</v>
      </c>
      <c r="G84" s="15"/>
      <c r="H84" s="22">
        <f>+H39-H41+H82</f>
        <v>-144.59</v>
      </c>
      <c r="I84" s="15"/>
      <c r="J84" s="21">
        <f>IF(H$12=0,0,H84/H$12)</f>
        <v>0</v>
      </c>
      <c r="K84" s="17"/>
      <c r="L84" s="22">
        <f>+D84-H84</f>
        <v>11802.539999999997</v>
      </c>
      <c r="M84" s="17"/>
      <c r="N84" s="21">
        <f>IF(H84=0,0,L84/H84)</f>
        <v>-81.627636766028061</v>
      </c>
      <c r="O84" s="28"/>
      <c r="P84" s="22">
        <f>+P39-P41+P82</f>
        <v>32451.94999999999</v>
      </c>
      <c r="Q84" s="15"/>
      <c r="R84" s="21">
        <f>IF(P$12=0,0,P84/P$12)</f>
        <v>0.17428708379375205</v>
      </c>
      <c r="S84" s="15"/>
      <c r="T84" s="22">
        <f>+T39-T41+T82</f>
        <v>-5109.4399999999932</v>
      </c>
      <c r="U84" s="15"/>
      <c r="V84" s="21">
        <f>IF(T$12=0,0,T84/T$12)</f>
        <v>-0.23974564469085816</v>
      </c>
      <c r="W84" s="17"/>
      <c r="X84" s="22">
        <f>+P84-T84</f>
        <v>37561.389999999985</v>
      </c>
      <c r="Y84" s="17"/>
      <c r="Z84" s="21">
        <f>IF(T84=0,0,X84/T84)</f>
        <v>-7.3513711874491205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48"/>
      <c r="B86" s="11" t="s">
        <v>292</v>
      </c>
      <c r="C86" s="11"/>
      <c r="D86" s="5">
        <v>4282.25</v>
      </c>
      <c r="E86" s="5"/>
      <c r="F86" s="13">
        <f>IF(D$12=0,0,D86/D$12)</f>
        <v>0.10082047821714975</v>
      </c>
      <c r="G86" s="5"/>
      <c r="H86" s="5">
        <v>171.69</v>
      </c>
      <c r="I86" s="5"/>
      <c r="J86" s="13">
        <f>IF(H$12=0,0,H86/H$12)</f>
        <v>0</v>
      </c>
      <c r="K86" s="5"/>
      <c r="L86" s="5">
        <f>+D86-H86</f>
        <v>4110.5600000000004</v>
      </c>
      <c r="M86" s="5"/>
      <c r="N86" s="13">
        <f>IF(H86=0,0,L86/H86)</f>
        <v>23.941755489545113</v>
      </c>
      <c r="O86" s="11"/>
      <c r="P86" s="5">
        <v>22222.3</v>
      </c>
      <c r="Q86" s="5"/>
      <c r="R86" s="13">
        <f>IF(P$12=0,0,P86/P$12)</f>
        <v>0.11934752340583223</v>
      </c>
      <c r="S86" s="5"/>
      <c r="T86" s="5">
        <v>4392.21</v>
      </c>
      <c r="U86" s="5"/>
      <c r="V86" s="13">
        <f>IF(T$12=0,0,T86/T$12)</f>
        <v>0.20609170830220835</v>
      </c>
      <c r="W86" s="5"/>
      <c r="X86" s="5">
        <f>+P86-T86</f>
        <v>17830.09</v>
      </c>
      <c r="Y86" s="5"/>
      <c r="Z86" s="13">
        <f>IF(T86=0,0,X86/T86)</f>
        <v>4.0594803071802126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7" t="s">
        <v>293</v>
      </c>
      <c r="C88" s="27"/>
      <c r="D88" s="34">
        <f>+D84-D86</f>
        <v>7375.6999999999971</v>
      </c>
      <c r="E88" s="15"/>
      <c r="F88" s="33">
        <f>IF(D$12=0,0,D88/D$12)</f>
        <v>0.17365207570464852</v>
      </c>
      <c r="G88" s="15"/>
      <c r="H88" s="34">
        <f>+H84-H86</f>
        <v>-316.27999999999997</v>
      </c>
      <c r="I88" s="15"/>
      <c r="J88" s="33">
        <f>IF(H$12=0,0,H88/H$12)</f>
        <v>0</v>
      </c>
      <c r="K88" s="17"/>
      <c r="L88" s="34">
        <f>D88-H88</f>
        <v>7691.9799999999968</v>
      </c>
      <c r="M88" s="17"/>
      <c r="N88" s="33">
        <f>IF(H88=0,0,L88/H88)</f>
        <v>-24.320159352472484</v>
      </c>
      <c r="O88" s="28"/>
      <c r="P88" s="34">
        <f>+P84-P86</f>
        <v>10229.649999999991</v>
      </c>
      <c r="Q88" s="15"/>
      <c r="R88" s="33">
        <f>IF(P$12=0,0,P88/P$12)</f>
        <v>5.4939560387919813E-2</v>
      </c>
      <c r="S88" s="15"/>
      <c r="T88" s="34">
        <f>+T84-T86</f>
        <v>-9501.6499999999942</v>
      </c>
      <c r="U88" s="15"/>
      <c r="V88" s="33">
        <f>IF(T$12=0,0,T88/T$12)</f>
        <v>-0.44583735299306654</v>
      </c>
      <c r="W88" s="17"/>
      <c r="X88" s="34">
        <f>P88-T88</f>
        <v>19731.299999999985</v>
      </c>
      <c r="Y88" s="17"/>
      <c r="Z88" s="33">
        <f>IF(T88=0,0,X88/T88)</f>
        <v>-2.0766182715633597</v>
      </c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7" t="s">
        <v>296</v>
      </c>
      <c r="C91" s="27"/>
      <c r="D91" s="31">
        <f>SUM(D88:D90)</f>
        <v>7375.6999999999971</v>
      </c>
      <c r="E91" s="15"/>
      <c r="F91" s="32">
        <f>IF(D$12=0,0,D91/D$12)</f>
        <v>0.17365207570464852</v>
      </c>
      <c r="G91" s="15"/>
      <c r="H91" s="31">
        <f>SUM(H88:H90)</f>
        <v>-316.27999999999997</v>
      </c>
      <c r="I91" s="15"/>
      <c r="J91" s="32">
        <f>IF(H$12=0,0,H91/H$12)</f>
        <v>0</v>
      </c>
      <c r="K91" s="17"/>
      <c r="L91" s="31">
        <f>+D91-H91</f>
        <v>7691.9799999999968</v>
      </c>
      <c r="M91" s="17"/>
      <c r="N91" s="32">
        <f>IF(H91=0,0,L91/H91)</f>
        <v>-24.320159352472484</v>
      </c>
      <c r="O91" s="28"/>
      <c r="P91" s="31">
        <f>SUM(P88:P90)</f>
        <v>10229.649999999991</v>
      </c>
      <c r="Q91" s="15"/>
      <c r="R91" s="32">
        <f>IF(P$12=0,0,P91/P$12)</f>
        <v>5.4939560387919813E-2</v>
      </c>
      <c r="S91" s="15"/>
      <c r="T91" s="31">
        <f>SUM(T88:T90)</f>
        <v>-9501.6499999999942</v>
      </c>
      <c r="U91" s="15"/>
      <c r="V91" s="32">
        <f>IF(T$12=0,0,T91/T$12)</f>
        <v>-0.44583735299306654</v>
      </c>
      <c r="W91" s="17"/>
      <c r="X91" s="31">
        <f>+P91-T91</f>
        <v>19731.299999999985</v>
      </c>
      <c r="Y91" s="17"/>
      <c r="Z91" s="32">
        <f>IF(T91=0,0,X91/T91)</f>
        <v>-2.0766182715633597</v>
      </c>
    </row>
    <row r="92" spans="1:26" ht="15" customHeight="1" x14ac:dyDescent="0.3">
      <c r="A92" s="10"/>
      <c r="C92" s="10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A93" s="10"/>
      <c r="B93" s="56">
        <v>44663.03859679398</v>
      </c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  <row r="94" spans="1:26" ht="15" customHeight="1" x14ac:dyDescent="0.3">
      <c r="A94" s="10"/>
      <c r="B94" s="57" t="s">
        <v>297</v>
      </c>
      <c r="D94" s="19"/>
      <c r="E94" s="19"/>
      <c r="G94" s="19"/>
      <c r="H94" s="19"/>
      <c r="I94" s="19"/>
      <c r="J94" s="40"/>
      <c r="K94" s="19"/>
      <c r="L94" s="19"/>
      <c r="M94" s="19"/>
      <c r="P94" s="19"/>
      <c r="Q94" s="19"/>
      <c r="R94" s="40"/>
      <c r="S94" s="19"/>
      <c r="T94" s="19"/>
      <c r="U94" s="19"/>
      <c r="V94" s="40"/>
      <c r="W94" s="19"/>
      <c r="X94" s="19"/>
    </row>
    <row r="95" spans="1:26" ht="15" customHeight="1" x14ac:dyDescent="0.3">
      <c r="A95" s="10"/>
      <c r="B95" s="58"/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23E1E-E4F5-7DCE-D4CD-14D27A911719}">
  <sheetPr>
    <tabColor rgb="FFFFFF00"/>
    <outlinePr summaryBelow="0" summaryRight="0"/>
  </sheetPr>
  <dimension ref="A2:Z17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306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509294.96</v>
      </c>
      <c r="E12" s="5"/>
      <c r="F12" s="13"/>
      <c r="G12" s="5"/>
      <c r="H12" s="5">
        <f>SUM(OSRRefH13x_0)</f>
        <v>166752.73000000001</v>
      </c>
      <c r="I12" s="5"/>
      <c r="J12" s="13"/>
      <c r="K12" s="5"/>
      <c r="L12" s="5">
        <f t="shared" ref="L12:L54" si="0">+D12-H12</f>
        <v>342542.23</v>
      </c>
      <c r="M12" s="5"/>
      <c r="N12" s="13">
        <f t="shared" ref="N12:N54" si="1">IF(H12=0,0,L12/H12)</f>
        <v>2.0541926360066185</v>
      </c>
      <c r="O12" s="11"/>
      <c r="P12" s="5">
        <f>SUM(OSRRefP13x_0)</f>
        <v>3286035.35</v>
      </c>
      <c r="Q12" s="5"/>
      <c r="R12" s="13"/>
      <c r="S12" s="5"/>
      <c r="T12" s="5">
        <f>SUM(OSRRefT13x_0)</f>
        <v>1477880.8700000003</v>
      </c>
      <c r="U12" s="5"/>
      <c r="V12" s="13"/>
      <c r="W12" s="5"/>
      <c r="X12" s="5">
        <f t="shared" ref="X12:X54" si="2">+P12-T12</f>
        <v>1808154.4799999997</v>
      </c>
      <c r="Y12" s="5"/>
      <c r="Z12" s="13">
        <f t="shared" ref="Z12:Z54" si="3">IF(T12=0,0,X12/T12)</f>
        <v>1.2234778301176599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--464340.44</f>
        <v>464340.44</v>
      </c>
      <c r="E13" s="3"/>
      <c r="F13" s="20"/>
      <c r="G13" s="3"/>
      <c r="H13" s="3">
        <f>-11260.63</f>
        <v>-11260.63</v>
      </c>
      <c r="I13" s="3"/>
      <c r="J13" s="20"/>
      <c r="K13" s="3"/>
      <c r="L13" s="3">
        <f t="shared" si="0"/>
        <v>475601.07</v>
      </c>
      <c r="M13" s="3"/>
      <c r="N13" s="20">
        <f t="shared" si="1"/>
        <v>-42.235742582786223</v>
      </c>
      <c r="O13" s="12"/>
      <c r="P13" s="3">
        <f>--3077121.7</f>
        <v>3077121.7</v>
      </c>
      <c r="Q13" s="3"/>
      <c r="R13" s="20"/>
      <c r="S13" s="3"/>
      <c r="T13" s="3">
        <f>-110458.73</f>
        <v>-110458.73</v>
      </c>
      <c r="U13" s="3"/>
      <c r="V13" s="20"/>
      <c r="W13" s="3"/>
      <c r="X13" s="3">
        <f t="shared" si="2"/>
        <v>3187580.43</v>
      </c>
      <c r="Y13" s="3"/>
      <c r="Z13" s="20">
        <f t="shared" si="3"/>
        <v>-28.857659598295221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--16.37</f>
        <v>16.37</v>
      </c>
      <c r="I14" s="3"/>
      <c r="J14" s="20"/>
      <c r="K14" s="3"/>
      <c r="L14" s="3">
        <f t="shared" si="0"/>
        <v>-16.37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--447.24</f>
        <v>447.24</v>
      </c>
      <c r="U14" s="3"/>
      <c r="V14" s="20"/>
      <c r="W14" s="3"/>
      <c r="X14" s="3">
        <f t="shared" si="2"/>
        <v>-447.24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--3028</f>
        <v>3028</v>
      </c>
      <c r="I15" s="3"/>
      <c r="J15" s="20"/>
      <c r="K15" s="3"/>
      <c r="L15" s="3">
        <f t="shared" si="0"/>
        <v>-3028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--49522</f>
        <v>49522</v>
      </c>
      <c r="U15" s="3"/>
      <c r="V15" s="20"/>
      <c r="W15" s="3"/>
      <c r="X15" s="3">
        <f t="shared" si="2"/>
        <v>-49522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--3372.76</f>
        <v>3372.76</v>
      </c>
      <c r="I16" s="3"/>
      <c r="J16" s="20"/>
      <c r="K16" s="3"/>
      <c r="L16" s="3">
        <f t="shared" si="0"/>
        <v>-3372.76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--31770.33</f>
        <v>31770.33</v>
      </c>
      <c r="U16" s="3"/>
      <c r="V16" s="20"/>
      <c r="W16" s="3"/>
      <c r="X16" s="3">
        <f t="shared" si="2"/>
        <v>-31770.33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--434.03</f>
        <v>434.03</v>
      </c>
      <c r="I17" s="3"/>
      <c r="J17" s="20"/>
      <c r="K17" s="3"/>
      <c r="L17" s="3">
        <f t="shared" si="0"/>
        <v>-434.03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--3240.32</f>
        <v>3240.32</v>
      </c>
      <c r="U17" s="3"/>
      <c r="V17" s="20"/>
      <c r="W17" s="3"/>
      <c r="X17" s="3">
        <f t="shared" si="2"/>
        <v>-3240.32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--82653.17</f>
        <v>82653.17</v>
      </c>
      <c r="I19" s="3"/>
      <c r="J19" s="20"/>
      <c r="K19" s="3"/>
      <c r="L19" s="3">
        <f t="shared" si="0"/>
        <v>-82653.17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--754001.15</f>
        <v>754001.15</v>
      </c>
      <c r="U19" s="3"/>
      <c r="V19" s="20"/>
      <c r="W19" s="3"/>
      <c r="X19" s="3">
        <f t="shared" si="2"/>
        <v>-754001.15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--47225.72</f>
        <v>47225.72</v>
      </c>
      <c r="I20" s="3"/>
      <c r="J20" s="20"/>
      <c r="K20" s="3"/>
      <c r="L20" s="3">
        <f t="shared" si="0"/>
        <v>-47225.72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--231358.81</f>
        <v>231358.81</v>
      </c>
      <c r="U20" s="3"/>
      <c r="V20" s="20"/>
      <c r="W20" s="3"/>
      <c r="X20" s="3">
        <f t="shared" si="2"/>
        <v>-231358.81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--10381.96</f>
        <v>10381.959999999999</v>
      </c>
      <c r="I21" s="3"/>
      <c r="J21" s="20"/>
      <c r="K21" s="3"/>
      <c r="L21" s="3">
        <f t="shared" si="0"/>
        <v>-10381.959999999999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--74228.25</f>
        <v>74228.25</v>
      </c>
      <c r="U21" s="3"/>
      <c r="V21" s="20"/>
      <c r="W21" s="3"/>
      <c r="X21" s="3">
        <f t="shared" si="2"/>
        <v>-74228.25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--8270.61</f>
        <v>8270.61</v>
      </c>
      <c r="I22" s="3"/>
      <c r="J22" s="20"/>
      <c r="K22" s="3"/>
      <c r="L22" s="3">
        <f t="shared" si="0"/>
        <v>-8270.61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--132383.49</f>
        <v>132383.49</v>
      </c>
      <c r="U22" s="3"/>
      <c r="V22" s="20"/>
      <c r="W22" s="3"/>
      <c r="X22" s="3">
        <f t="shared" si="2"/>
        <v>-132383.49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--1774.45</f>
        <v>1774.45</v>
      </c>
      <c r="I23" s="3"/>
      <c r="J23" s="20"/>
      <c r="K23" s="3"/>
      <c r="L23" s="3">
        <f t="shared" si="0"/>
        <v>-1774.45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--31346.85</f>
        <v>31346.85</v>
      </c>
      <c r="U23" s="3"/>
      <c r="V23" s="20"/>
      <c r="W23" s="3"/>
      <c r="X23" s="3">
        <f t="shared" si="2"/>
        <v>-31346.85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--8707.87</f>
        <v>8707.8700000000008</v>
      </c>
      <c r="I24" s="3"/>
      <c r="J24" s="20"/>
      <c r="K24" s="3"/>
      <c r="L24" s="3">
        <f t="shared" si="0"/>
        <v>-8707.8700000000008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--144197.44</f>
        <v>144197.44</v>
      </c>
      <c r="U24" s="3"/>
      <c r="V24" s="20"/>
      <c r="W24" s="3"/>
      <c r="X24" s="3">
        <f t="shared" si="2"/>
        <v>-144197.44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--68845.56</f>
        <v>68845.56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68845.56</v>
      </c>
      <c r="M25" s="3"/>
      <c r="N25" s="20">
        <f t="shared" si="1"/>
        <v>0</v>
      </c>
      <c r="O25" s="12"/>
      <c r="P25" s="3">
        <f>--386485.86</f>
        <v>386485.86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386485.86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--389.95</f>
        <v>389.95</v>
      </c>
      <c r="I27" s="3"/>
      <c r="J27" s="20"/>
      <c r="K27" s="3"/>
      <c r="L27" s="3">
        <f t="shared" si="0"/>
        <v>-389.95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--6607.31</f>
        <v>6607.31</v>
      </c>
      <c r="U27" s="3"/>
      <c r="V27" s="20"/>
      <c r="W27" s="3"/>
      <c r="X27" s="3">
        <f t="shared" si="2"/>
        <v>-6607.31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0</v>
      </c>
      <c r="M28" s="3"/>
      <c r="N28" s="20">
        <f t="shared" si="1"/>
        <v>0</v>
      </c>
      <c r="O28" s="12"/>
      <c r="P28" s="3">
        <f>0</f>
        <v>0</v>
      </c>
      <c r="Q28" s="3"/>
      <c r="R28" s="20"/>
      <c r="S28" s="3"/>
      <c r="T28" s="3">
        <f>--38.58</f>
        <v>38.58</v>
      </c>
      <c r="U28" s="3"/>
      <c r="V28" s="20"/>
      <c r="W28" s="3"/>
      <c r="X28" s="3">
        <f t="shared" si="2"/>
        <v>-38.58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--829.28</f>
        <v>829.28</v>
      </c>
      <c r="I29" s="3"/>
      <c r="J29" s="20"/>
      <c r="K29" s="3"/>
      <c r="L29" s="3">
        <f t="shared" si="0"/>
        <v>-829.28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--8557.27</f>
        <v>8557.27</v>
      </c>
      <c r="U29" s="3"/>
      <c r="V29" s="20"/>
      <c r="W29" s="3"/>
      <c r="X29" s="3">
        <f t="shared" si="2"/>
        <v>-8557.27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--68.25</f>
        <v>68.25</v>
      </c>
      <c r="U33" s="3"/>
      <c r="V33" s="20"/>
      <c r="W33" s="3"/>
      <c r="X33" s="3">
        <f t="shared" si="2"/>
        <v>-68.25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--16626.41</f>
        <v>16626.41</v>
      </c>
      <c r="I34" s="3"/>
      <c r="J34" s="20"/>
      <c r="K34" s="3"/>
      <c r="L34" s="3">
        <f t="shared" si="0"/>
        <v>-16626.41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--131751.69</f>
        <v>131751.69</v>
      </c>
      <c r="U34" s="3"/>
      <c r="V34" s="20"/>
      <c r="W34" s="3"/>
      <c r="X34" s="3">
        <f t="shared" si="2"/>
        <v>-131751.69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--1055.22</f>
        <v>1055.22</v>
      </c>
      <c r="I35" s="3"/>
      <c r="J35" s="20"/>
      <c r="K35" s="3"/>
      <c r="L35" s="3">
        <f t="shared" si="0"/>
        <v>-1055.22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--8289.6</f>
        <v>8289.6</v>
      </c>
      <c r="U35" s="3"/>
      <c r="V35" s="20"/>
      <c r="W35" s="3"/>
      <c r="X35" s="3">
        <f t="shared" si="2"/>
        <v>-8289.6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--16.9</f>
        <v>16.899999999999999</v>
      </c>
      <c r="I36" s="3"/>
      <c r="J36" s="20"/>
      <c r="K36" s="3"/>
      <c r="L36" s="3">
        <f t="shared" si="0"/>
        <v>-16.899999999999999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--1170.78</f>
        <v>1170.78</v>
      </c>
      <c r="U36" s="3"/>
      <c r="V36" s="20"/>
      <c r="W36" s="3"/>
      <c r="X36" s="3">
        <f t="shared" si="2"/>
        <v>-1170.78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--261.82</f>
        <v>261.82</v>
      </c>
      <c r="I37" s="3"/>
      <c r="J37" s="20"/>
      <c r="K37" s="3"/>
      <c r="L37" s="3">
        <f t="shared" si="0"/>
        <v>-261.82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--2381.48</f>
        <v>2381.48</v>
      </c>
      <c r="U37" s="3"/>
      <c r="V37" s="20"/>
      <c r="W37" s="3"/>
      <c r="X37" s="3">
        <f t="shared" si="2"/>
        <v>-2381.48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--29.9</f>
        <v>29.9</v>
      </c>
      <c r="I38" s="3"/>
      <c r="J38" s="20"/>
      <c r="K38" s="3"/>
      <c r="L38" s="3">
        <f t="shared" si="0"/>
        <v>-29.9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--679.25</f>
        <v>679.25</v>
      </c>
      <c r="U38" s="3"/>
      <c r="V38" s="20"/>
      <c r="W38" s="3"/>
      <c r="X38" s="3">
        <f t="shared" si="2"/>
        <v>-679.25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0</f>
        <v>0</v>
      </c>
      <c r="I39" s="3"/>
      <c r="J39" s="20"/>
      <c r="K39" s="3"/>
      <c r="L39" s="3">
        <f t="shared" si="0"/>
        <v>0</v>
      </c>
      <c r="M39" s="3"/>
      <c r="N39" s="20">
        <f t="shared" si="1"/>
        <v>0</v>
      </c>
      <c r="O39" s="12"/>
      <c r="P39" s="3">
        <f>0</f>
        <v>0</v>
      </c>
      <c r="Q39" s="3"/>
      <c r="R39" s="20"/>
      <c r="S39" s="3"/>
      <c r="T39" s="3">
        <f>--53716.09</f>
        <v>53716.09</v>
      </c>
      <c r="U39" s="3"/>
      <c r="V39" s="20"/>
      <c r="W39" s="3"/>
      <c r="X39" s="3">
        <f t="shared" si="2"/>
        <v>-53716.09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","4200"," - ","TAXABLE RETURNS")</f>
        <v xml:space="preserve">          4200 - TAXABLE RETURNS</v>
      </c>
      <c r="C40" s="12"/>
      <c r="D40" s="3">
        <f>-14884.48</f>
        <v>-14884.48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-14884.48</v>
      </c>
      <c r="M40" s="3"/>
      <c r="N40" s="20">
        <f t="shared" si="1"/>
        <v>0</v>
      </c>
      <c r="O40" s="12"/>
      <c r="P40" s="3">
        <f>-93205.14</f>
        <v>-93205.14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-93205.14</v>
      </c>
      <c r="Y40" s="3"/>
      <c r="Z40" s="20">
        <f t="shared" si="3"/>
        <v>0</v>
      </c>
    </row>
    <row r="41" spans="1:26" s="69" customFormat="1" ht="15" hidden="1" customHeight="1" outlineLevel="1" x14ac:dyDescent="0.3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-34.23</f>
        <v>-34.229999999999997</v>
      </c>
      <c r="U41" s="3"/>
      <c r="V41" s="20"/>
      <c r="W41" s="3"/>
      <c r="X41" s="3">
        <f t="shared" si="2"/>
        <v>34.229999999999997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-64.39</f>
        <v>-64.39</v>
      </c>
      <c r="I42" s="3"/>
      <c r="J42" s="20"/>
      <c r="K42" s="3"/>
      <c r="L42" s="3">
        <f t="shared" si="0"/>
        <v>64.39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-686.15</f>
        <v>-686.15</v>
      </c>
      <c r="U42" s="3"/>
      <c r="V42" s="20"/>
      <c r="W42" s="3"/>
      <c r="X42" s="3">
        <f t="shared" si="2"/>
        <v>686.15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-98.38</f>
        <v>-98.38</v>
      </c>
      <c r="I43" s="3"/>
      <c r="J43" s="20"/>
      <c r="K43" s="3"/>
      <c r="L43" s="3">
        <f t="shared" si="0"/>
        <v>98.38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-12615.42</f>
        <v>-12615.42</v>
      </c>
      <c r="U43" s="3"/>
      <c r="V43" s="20"/>
      <c r="W43" s="3"/>
      <c r="X43" s="3">
        <f t="shared" si="2"/>
        <v>12615.42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-3924.84</f>
        <v>-3924.84</v>
      </c>
      <c r="I44" s="3"/>
      <c r="J44" s="20"/>
      <c r="K44" s="3"/>
      <c r="L44" s="3">
        <f t="shared" si="0"/>
        <v>3924.84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-35054.35</f>
        <v>-35054.35</v>
      </c>
      <c r="U44" s="3"/>
      <c r="V44" s="20"/>
      <c r="W44" s="3"/>
      <c r="X44" s="3">
        <f t="shared" si="2"/>
        <v>35054.35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-1214.87</f>
        <v>-1214.8699999999999</v>
      </c>
      <c r="I45" s="3"/>
      <c r="J45" s="20"/>
      <c r="K45" s="3"/>
      <c r="L45" s="3">
        <f t="shared" si="0"/>
        <v>1214.8699999999999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-5256.29</f>
        <v>-5256.29</v>
      </c>
      <c r="U45" s="3"/>
      <c r="V45" s="20"/>
      <c r="W45" s="3"/>
      <c r="X45" s="3">
        <f t="shared" si="2"/>
        <v>5256.29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-565.08</f>
        <v>-565.08000000000004</v>
      </c>
      <c r="I46" s="3"/>
      <c r="J46" s="20"/>
      <c r="K46" s="3"/>
      <c r="L46" s="3">
        <f t="shared" si="0"/>
        <v>565.08000000000004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-2303.82</f>
        <v>-2303.8200000000002</v>
      </c>
      <c r="U46" s="3"/>
      <c r="V46" s="20"/>
      <c r="W46" s="3"/>
      <c r="X46" s="3">
        <f t="shared" si="2"/>
        <v>2303.8200000000002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-572.63</f>
        <v>-572.63</v>
      </c>
      <c r="I47" s="3"/>
      <c r="J47" s="20"/>
      <c r="K47" s="3"/>
      <c r="L47" s="3">
        <f t="shared" si="0"/>
        <v>572.63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-5942.23</f>
        <v>-5942.23</v>
      </c>
      <c r="U47" s="3"/>
      <c r="V47" s="20"/>
      <c r="W47" s="3"/>
      <c r="X47" s="3">
        <f t="shared" si="2"/>
        <v>5942.23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-240.42</f>
        <v>-240.42</v>
      </c>
      <c r="I48" s="3"/>
      <c r="J48" s="20"/>
      <c r="K48" s="3"/>
      <c r="L48" s="3">
        <f t="shared" si="0"/>
        <v>240.42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-1235.26</f>
        <v>-1235.26</v>
      </c>
      <c r="U48" s="3"/>
      <c r="V48" s="20"/>
      <c r="W48" s="3"/>
      <c r="X48" s="3">
        <f t="shared" si="2"/>
        <v>1235.26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0"/>
        <v>0</v>
      </c>
      <c r="M49" s="3"/>
      <c r="N49" s="20">
        <f t="shared" si="1"/>
        <v>0</v>
      </c>
      <c r="O49" s="12"/>
      <c r="P49" s="3">
        <f>0</f>
        <v>0</v>
      </c>
      <c r="Q49" s="3"/>
      <c r="R49" s="20"/>
      <c r="S49" s="3"/>
      <c r="T49" s="3">
        <f>-11353.59</f>
        <v>-11353.59</v>
      </c>
      <c r="U49" s="3"/>
      <c r="V49" s="20"/>
      <c r="W49" s="3"/>
      <c r="X49" s="3">
        <f t="shared" si="2"/>
        <v>11353.59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","4300"," - ","NON-TAX RETURNS")</f>
        <v xml:space="preserve">          4300 - NON-TAX RETURNS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0</v>
      </c>
      <c r="M50" s="3"/>
      <c r="N50" s="20">
        <f t="shared" si="1"/>
        <v>0</v>
      </c>
      <c r="O50" s="12"/>
      <c r="P50" s="3">
        <f>-1898.53</f>
        <v>-1898.53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-1898.53</v>
      </c>
      <c r="Y50" s="3"/>
      <c r="Z50" s="20">
        <f t="shared" si="3"/>
        <v>0</v>
      </c>
    </row>
    <row r="51" spans="1:26" s="69" customFormat="1" ht="15" hidden="1" customHeight="1" outlineLevel="1" x14ac:dyDescent="0.3">
      <c r="A51" s="42"/>
      <c r="B51" s="12" t="str">
        <f>CONCATENATE("          ","4340"," - ","SALES RETURN NON TAXABLE-LOGO")</f>
        <v xml:space="preserve">          4340 - SALES RETURN NON TAXABLE-LOGO</v>
      </c>
      <c r="C51" s="12"/>
      <c r="D51" s="3">
        <f>0</f>
        <v>0</v>
      </c>
      <c r="E51" s="3"/>
      <c r="F51" s="20"/>
      <c r="G51" s="3"/>
      <c r="H51" s="3">
        <f>-350.55</f>
        <v>-350.55</v>
      </c>
      <c r="I51" s="3"/>
      <c r="J51" s="20"/>
      <c r="K51" s="3"/>
      <c r="L51" s="3">
        <f t="shared" si="0"/>
        <v>350.55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-2643.39</f>
        <v>-2643.39</v>
      </c>
      <c r="U51" s="3"/>
      <c r="V51" s="20"/>
      <c r="W51" s="3"/>
      <c r="X51" s="3">
        <f t="shared" si="2"/>
        <v>2643.39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","4341"," - ","SALES RETURN NON TAXABLE-LOGO")</f>
        <v xml:space="preserve">          4341 - SALES RETURN NON TAXABLE-LOGO</v>
      </c>
      <c r="C52" s="12"/>
      <c r="D52" s="3">
        <f>0</f>
        <v>0</v>
      </c>
      <c r="E52" s="3"/>
      <c r="F52" s="20"/>
      <c r="G52" s="3"/>
      <c r="H52" s="3">
        <f>-29.9</f>
        <v>-29.9</v>
      </c>
      <c r="I52" s="3"/>
      <c r="J52" s="20"/>
      <c r="K52" s="3"/>
      <c r="L52" s="3">
        <f t="shared" si="0"/>
        <v>29.9</v>
      </c>
      <c r="M52" s="3"/>
      <c r="N52" s="20">
        <f t="shared" si="1"/>
        <v>-1</v>
      </c>
      <c r="O52" s="12"/>
      <c r="P52" s="3">
        <f>0</f>
        <v>0</v>
      </c>
      <c r="Q52" s="3"/>
      <c r="R52" s="20"/>
      <c r="S52" s="3"/>
      <c r="T52" s="3">
        <f>-381.34</f>
        <v>-381.34</v>
      </c>
      <c r="U52" s="3"/>
      <c r="V52" s="20"/>
      <c r="W52" s="3"/>
      <c r="X52" s="3">
        <f t="shared" si="2"/>
        <v>381.34</v>
      </c>
      <c r="Y52" s="3"/>
      <c r="Z52" s="20">
        <f t="shared" si="3"/>
        <v>-1</v>
      </c>
    </row>
    <row r="53" spans="1:26" s="69" customFormat="1" ht="15" hidden="1" customHeight="1" outlineLevel="1" x14ac:dyDescent="0.3">
      <c r="A53" s="42"/>
      <c r="B53" s="12" t="str">
        <f>CONCATENATE("          ","4342"," - ","SALES RETURN NON TAXABLE-EVERY")</f>
        <v xml:space="preserve">          4342 - SALES RETURN NON TAXABLE-EVERY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-118.7</f>
        <v>-118.7</v>
      </c>
      <c r="U53" s="3"/>
      <c r="V53" s="20"/>
      <c r="W53" s="3"/>
      <c r="X53" s="3">
        <f t="shared" si="2"/>
        <v>118.7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","4500"," - ","SALES DISCOUNT")</f>
        <v xml:space="preserve">          4500 - SALES DISCOUNT</v>
      </c>
      <c r="C54" s="12"/>
      <c r="D54" s="3">
        <f>-9006.56</f>
        <v>-9006.56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-9006.56</v>
      </c>
      <c r="M54" s="3"/>
      <c r="N54" s="20">
        <f t="shared" si="1"/>
        <v>0</v>
      </c>
      <c r="O54" s="12"/>
      <c r="P54" s="3">
        <f>-82468.54</f>
        <v>-82468.539999999994</v>
      </c>
      <c r="Q54" s="3"/>
      <c r="R54" s="20"/>
      <c r="S54" s="3"/>
      <c r="T54" s="3">
        <f>0</f>
        <v>0</v>
      </c>
      <c r="U54" s="3"/>
      <c r="V54" s="20"/>
      <c r="W54" s="3"/>
      <c r="X54" s="3">
        <f t="shared" si="2"/>
        <v>-82468.539999999994</v>
      </c>
      <c r="Y54" s="3"/>
      <c r="Z54" s="20">
        <f t="shared" si="3"/>
        <v>0</v>
      </c>
    </row>
    <row r="55" spans="1:26" ht="15" customHeight="1" x14ac:dyDescent="0.3">
      <c r="A55" s="10"/>
      <c r="B55" s="11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collapsed="1" x14ac:dyDescent="0.3">
      <c r="A56" s="11"/>
      <c r="B56" s="28" t="s">
        <v>287</v>
      </c>
      <c r="C56" s="11"/>
      <c r="D56" s="5">
        <f>SUM(OSRRefD16x_0)</f>
        <v>219982.02</v>
      </c>
      <c r="E56" s="5"/>
      <c r="F56" s="13">
        <f t="shared" ref="F56:F82" si="4">IF(D$12=0,0,D56/D$12)</f>
        <v>0.43193441380217074</v>
      </c>
      <c r="G56" s="5"/>
      <c r="H56" s="5">
        <f>SUM(OSRRefH16x_0)</f>
        <v>88675</v>
      </c>
      <c r="I56" s="5"/>
      <c r="J56" s="13">
        <f t="shared" ref="J56:J82" si="5">IF(H$12=0,0,H56/H$12)</f>
        <v>0.5317754018180092</v>
      </c>
      <c r="K56" s="5"/>
      <c r="L56" s="5">
        <f t="shared" ref="L56:L82" si="6">+D56-H56</f>
        <v>131307.01999999999</v>
      </c>
      <c r="M56" s="5"/>
      <c r="N56" s="13">
        <f t="shared" ref="N56:N82" si="7">IF(H56=0,0,L56/H56)</f>
        <v>1.4807670707640259</v>
      </c>
      <c r="O56" s="11"/>
      <c r="P56" s="5">
        <f>SUM(OSRRefP16x_0)</f>
        <v>1560551.06</v>
      </c>
      <c r="Q56" s="5"/>
      <c r="R56" s="13">
        <f t="shared" ref="R56:R82" si="8">IF(P$12=0,0,P56/P$12)</f>
        <v>0.47490391726917974</v>
      </c>
      <c r="S56" s="5"/>
      <c r="T56" s="5">
        <f>SUM(OSRRefT16x_0)</f>
        <v>833951.54000000015</v>
      </c>
      <c r="U56" s="5"/>
      <c r="V56" s="13">
        <f t="shared" ref="V56:V82" si="9">IF(T$12=0,0,T56/T$12)</f>
        <v>0.56428874405824059</v>
      </c>
      <c r="W56" s="5"/>
      <c r="X56" s="5">
        <f t="shared" ref="X56:X82" si="10">+P56-T56</f>
        <v>726599.5199999999</v>
      </c>
      <c r="Y56" s="5"/>
      <c r="Z56" s="13">
        <f t="shared" ref="Z56:Z82" si="11">IF(T56=0,0,X56/T56)</f>
        <v>0.87127307181422053</v>
      </c>
    </row>
    <row r="57" spans="1:26" s="69" customFormat="1" ht="15" hidden="1" customHeight="1" outlineLevel="1" x14ac:dyDescent="0.3">
      <c r="A57" s="42"/>
      <c r="B57" s="12" t="str">
        <f>CONCATENATE("          ","5000"," - ","PURCHASES @ COST")</f>
        <v xml:space="preserve">          5000 - PURCHASES @ COST</v>
      </c>
      <c r="C57" s="12"/>
      <c r="D57" s="3">
        <v>364854.79</v>
      </c>
      <c r="E57" s="3"/>
      <c r="F57" s="20">
        <f t="shared" si="4"/>
        <v>0.71639191167334537</v>
      </c>
      <c r="G57" s="3"/>
      <c r="H57" s="3"/>
      <c r="I57" s="3"/>
      <c r="J57" s="20">
        <f t="shared" si="5"/>
        <v>0</v>
      </c>
      <c r="K57" s="3"/>
      <c r="L57" s="3">
        <f t="shared" si="6"/>
        <v>364854.79</v>
      </c>
      <c r="M57" s="3"/>
      <c r="N57" s="20">
        <f t="shared" si="7"/>
        <v>0</v>
      </c>
      <c r="O57" s="12"/>
      <c r="P57" s="3">
        <v>1786609.28</v>
      </c>
      <c r="Q57" s="3"/>
      <c r="R57" s="20">
        <f t="shared" si="8"/>
        <v>0.543697522913136</v>
      </c>
      <c r="S57" s="3"/>
      <c r="T57" s="3"/>
      <c r="U57" s="3"/>
      <c r="V57" s="20">
        <f t="shared" si="9"/>
        <v>0</v>
      </c>
      <c r="W57" s="3"/>
      <c r="X57" s="3">
        <f t="shared" si="10"/>
        <v>1786609.28</v>
      </c>
      <c r="Y57" s="3"/>
      <c r="Z57" s="20">
        <f t="shared" si="11"/>
        <v>0</v>
      </c>
    </row>
    <row r="58" spans="1:26" s="69" customFormat="1" ht="15" hidden="1" customHeight="1" outlineLevel="1" x14ac:dyDescent="0.3">
      <c r="A58" s="42"/>
      <c r="B58" s="12" t="str">
        <f>CONCATENATE("          ","5025"," - ","PURCHASES @ COST-TEST FORMS")</f>
        <v xml:space="preserve">          5025 - PURCHASES @ COST-TEST FORMS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/>
      <c r="Q58" s="3"/>
      <c r="R58" s="20">
        <f t="shared" si="8"/>
        <v>0</v>
      </c>
      <c r="S58" s="3"/>
      <c r="T58" s="3">
        <v>599.29</v>
      </c>
      <c r="U58" s="3"/>
      <c r="V58" s="20">
        <f t="shared" si="9"/>
        <v>4.0550629767607712E-4</v>
      </c>
      <c r="W58" s="3"/>
      <c r="X58" s="3">
        <f t="shared" si="10"/>
        <v>-599.29</v>
      </c>
      <c r="Y58" s="3"/>
      <c r="Z58" s="20">
        <f t="shared" si="11"/>
        <v>-1</v>
      </c>
    </row>
    <row r="59" spans="1:26" s="69" customFormat="1" ht="15" hidden="1" customHeight="1" outlineLevel="1" x14ac:dyDescent="0.3">
      <c r="A59" s="42"/>
      <c r="B59" s="12" t="str">
        <f>CONCATENATE("          ","5026"," - ","PURCHASES @ COST-WRITING INSTR")</f>
        <v xml:space="preserve">          5026 - PURCHASES @ COST-WRITING INSTR</v>
      </c>
      <c r="C59" s="12"/>
      <c r="D59" s="3"/>
      <c r="E59" s="3"/>
      <c r="F59" s="20">
        <f t="shared" si="4"/>
        <v>0</v>
      </c>
      <c r="G59" s="3"/>
      <c r="H59" s="3">
        <v>209.64</v>
      </c>
      <c r="I59" s="3"/>
      <c r="J59" s="20">
        <f t="shared" si="5"/>
        <v>1.257190811808598E-3</v>
      </c>
      <c r="K59" s="3"/>
      <c r="L59" s="3">
        <f t="shared" si="6"/>
        <v>-209.64</v>
      </c>
      <c r="M59" s="3"/>
      <c r="N59" s="20">
        <f t="shared" si="7"/>
        <v>-1</v>
      </c>
      <c r="O59" s="12"/>
      <c r="P59" s="3"/>
      <c r="Q59" s="3"/>
      <c r="R59" s="20">
        <f t="shared" si="8"/>
        <v>0</v>
      </c>
      <c r="S59" s="3"/>
      <c r="T59" s="3">
        <v>219.64</v>
      </c>
      <c r="U59" s="3"/>
      <c r="V59" s="20">
        <f t="shared" si="9"/>
        <v>1.4861820357685524E-4</v>
      </c>
      <c r="W59" s="3"/>
      <c r="X59" s="3">
        <f t="shared" si="10"/>
        <v>-219.64</v>
      </c>
      <c r="Y59" s="3"/>
      <c r="Z59" s="20">
        <f t="shared" si="11"/>
        <v>-1</v>
      </c>
    </row>
    <row r="60" spans="1:26" s="69" customFormat="1" ht="15" hidden="1" customHeight="1" outlineLevel="1" x14ac:dyDescent="0.3">
      <c r="A60" s="42"/>
      <c r="B60" s="12" t="str">
        <f>CONCATENATE("          ","5027"," - ","PURCHASES @ COST-SCHOOL SUPPLI")</f>
        <v xml:space="preserve">          5027 - PURCHASES @ COST-SCHOOL SUPPLI</v>
      </c>
      <c r="C60" s="12"/>
      <c r="D60" s="3"/>
      <c r="E60" s="3"/>
      <c r="F60" s="20">
        <f t="shared" si="4"/>
        <v>0</v>
      </c>
      <c r="G60" s="3"/>
      <c r="H60" s="3">
        <v>2824.53</v>
      </c>
      <c r="I60" s="3"/>
      <c r="J60" s="20">
        <f t="shared" si="5"/>
        <v>1.6938433331796128E-2</v>
      </c>
      <c r="K60" s="3"/>
      <c r="L60" s="3">
        <f t="shared" si="6"/>
        <v>-2824.53</v>
      </c>
      <c r="M60" s="3"/>
      <c r="N60" s="20">
        <f t="shared" si="7"/>
        <v>-1</v>
      </c>
      <c r="O60" s="12"/>
      <c r="P60" s="3">
        <v>0</v>
      </c>
      <c r="Q60" s="3"/>
      <c r="R60" s="20">
        <f t="shared" si="8"/>
        <v>0</v>
      </c>
      <c r="S60" s="3"/>
      <c r="T60" s="3">
        <v>21000.41</v>
      </c>
      <c r="U60" s="3"/>
      <c r="V60" s="20">
        <f t="shared" si="9"/>
        <v>1.4209812459376374E-2</v>
      </c>
      <c r="W60" s="3"/>
      <c r="X60" s="3">
        <f t="shared" si="10"/>
        <v>-21000.41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","5028"," - ","PURCHASES @ COST-ART/TECH")</f>
        <v xml:space="preserve">          5028 - PURCHASES @ COST-ART/TECH</v>
      </c>
      <c r="C61" s="12"/>
      <c r="D61" s="3"/>
      <c r="E61" s="3"/>
      <c r="F61" s="20">
        <f t="shared" si="4"/>
        <v>0</v>
      </c>
      <c r="G61" s="3"/>
      <c r="H61" s="3">
        <v>3443.78</v>
      </c>
      <c r="I61" s="3"/>
      <c r="J61" s="20">
        <f t="shared" si="5"/>
        <v>2.0652015712126572E-2</v>
      </c>
      <c r="K61" s="3"/>
      <c r="L61" s="3">
        <f t="shared" si="6"/>
        <v>-3443.78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4193.51</v>
      </c>
      <c r="U61" s="3"/>
      <c r="V61" s="20">
        <f t="shared" si="9"/>
        <v>2.8375155840538076E-3</v>
      </c>
      <c r="W61" s="3"/>
      <c r="X61" s="3">
        <f t="shared" si="10"/>
        <v>-4193.51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","5031"," - ","PURCHASES @ COST-FOOD")</f>
        <v xml:space="preserve">          5031 - PURCHASES @ COST-FOOD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>
        <v>5344.15</v>
      </c>
      <c r="U62" s="3"/>
      <c r="V62" s="20">
        <f t="shared" si="9"/>
        <v>3.6160898408543569E-3</v>
      </c>
      <c r="W62" s="3"/>
      <c r="X62" s="3">
        <f t="shared" si="10"/>
        <v>-5344.15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","5040"," - ","PURCHASES @ COST-LOGO CLOTHING")</f>
        <v xml:space="preserve">          5040 - PURCHASES @ COST-LOGO CLOTHING</v>
      </c>
      <c r="C63" s="12"/>
      <c r="D63" s="3"/>
      <c r="E63" s="3"/>
      <c r="F63" s="20">
        <f t="shared" si="4"/>
        <v>0</v>
      </c>
      <c r="G63" s="3"/>
      <c r="H63" s="3">
        <v>45900.51</v>
      </c>
      <c r="I63" s="3"/>
      <c r="J63" s="20">
        <f t="shared" si="5"/>
        <v>0.275260920765735</v>
      </c>
      <c r="K63" s="3"/>
      <c r="L63" s="3">
        <f t="shared" si="6"/>
        <v>-45900.51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239871.6</v>
      </c>
      <c r="U63" s="3"/>
      <c r="V63" s="20">
        <f t="shared" si="9"/>
        <v>0.16230780495859584</v>
      </c>
      <c r="W63" s="3"/>
      <c r="X63" s="3">
        <f t="shared" si="10"/>
        <v>-239871.6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","5041"," - ","PURCHASES @ COST-LOGO GIFTS")</f>
        <v xml:space="preserve">          5041 - PURCHASES @ COST-LOGO GIFTS</v>
      </c>
      <c r="C64" s="12"/>
      <c r="D64" s="3"/>
      <c r="E64" s="3"/>
      <c r="F64" s="20">
        <f t="shared" si="4"/>
        <v>0</v>
      </c>
      <c r="G64" s="3"/>
      <c r="H64" s="3">
        <v>899.63</v>
      </c>
      <c r="I64" s="3"/>
      <c r="J64" s="20">
        <f t="shared" si="5"/>
        <v>5.3949941329296371E-3</v>
      </c>
      <c r="K64" s="3"/>
      <c r="L64" s="3">
        <f t="shared" si="6"/>
        <v>-899.63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68463.44</v>
      </c>
      <c r="U64" s="3"/>
      <c r="V64" s="20">
        <f t="shared" si="9"/>
        <v>4.6325411871661878E-2</v>
      </c>
      <c r="W64" s="3"/>
      <c r="X64" s="3">
        <f t="shared" si="10"/>
        <v>-68463.44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","5042"," - ","PURCHASES @ COST-EVERYDAY GIFT")</f>
        <v xml:space="preserve">          5042 - PURCHASES @ COST-EVERYDAY GIFT</v>
      </c>
      <c r="C65" s="12"/>
      <c r="D65" s="3"/>
      <c r="E65" s="3"/>
      <c r="F65" s="20">
        <f t="shared" si="4"/>
        <v>0</v>
      </c>
      <c r="G65" s="3"/>
      <c r="H65" s="3">
        <v>-270</v>
      </c>
      <c r="I65" s="3"/>
      <c r="J65" s="20">
        <f t="shared" si="5"/>
        <v>-1.6191638961473073E-3</v>
      </c>
      <c r="K65" s="3"/>
      <c r="L65" s="3">
        <f t="shared" si="6"/>
        <v>270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18748.18</v>
      </c>
      <c r="U65" s="3"/>
      <c r="V65" s="20">
        <f t="shared" si="9"/>
        <v>1.2685853359750164E-2</v>
      </c>
      <c r="W65" s="3"/>
      <c r="X65" s="3">
        <f t="shared" si="10"/>
        <v>-18748.18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","5043"," - ","PURCHASES @ COST-CARDS")</f>
        <v xml:space="preserve">          5043 - PURCHASES @ COST-CARDS</v>
      </c>
      <c r="C66" s="12"/>
      <c r="D66" s="3"/>
      <c r="E66" s="3"/>
      <c r="F66" s="20">
        <f t="shared" si="4"/>
        <v>0</v>
      </c>
      <c r="G66" s="3"/>
      <c r="H66" s="3"/>
      <c r="I66" s="3"/>
      <c r="J66" s="20">
        <f t="shared" si="5"/>
        <v>0</v>
      </c>
      <c r="K66" s="3"/>
      <c r="L66" s="3">
        <f t="shared" si="6"/>
        <v>0</v>
      </c>
      <c r="M66" s="3"/>
      <c r="N66" s="20">
        <f t="shared" si="7"/>
        <v>0</v>
      </c>
      <c r="O66" s="12"/>
      <c r="P66" s="3">
        <v>0</v>
      </c>
      <c r="Q66" s="3"/>
      <c r="R66" s="20">
        <f t="shared" si="8"/>
        <v>0</v>
      </c>
      <c r="S66" s="3"/>
      <c r="T66" s="3">
        <v>55364.33</v>
      </c>
      <c r="U66" s="3"/>
      <c r="V66" s="20">
        <f t="shared" si="9"/>
        <v>3.7461970801476029E-2</v>
      </c>
      <c r="W66" s="3"/>
      <c r="X66" s="3">
        <f t="shared" si="10"/>
        <v>-55364.33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","5044"," - ","PURCHASES @ COST-ACCESSORIES")</f>
        <v xml:space="preserve">          5044 - PURCHASES @ COST-ACCESSORIES</v>
      </c>
      <c r="C67" s="12"/>
      <c r="D67" s="3"/>
      <c r="E67" s="3"/>
      <c r="F67" s="20">
        <f t="shared" si="4"/>
        <v>0</v>
      </c>
      <c r="G67" s="3"/>
      <c r="H67" s="3"/>
      <c r="I67" s="3"/>
      <c r="J67" s="20">
        <f t="shared" si="5"/>
        <v>0</v>
      </c>
      <c r="K67" s="3"/>
      <c r="L67" s="3">
        <f t="shared" si="6"/>
        <v>0</v>
      </c>
      <c r="M67" s="3"/>
      <c r="N67" s="20">
        <f t="shared" si="7"/>
        <v>0</v>
      </c>
      <c r="O67" s="12"/>
      <c r="P67" s="3">
        <v>0</v>
      </c>
      <c r="Q67" s="3"/>
      <c r="R67" s="20">
        <f t="shared" si="8"/>
        <v>0</v>
      </c>
      <c r="S67" s="3"/>
      <c r="T67" s="3">
        <v>1064.83</v>
      </c>
      <c r="U67" s="3"/>
      <c r="V67" s="20">
        <f t="shared" si="9"/>
        <v>7.2051139006894358E-4</v>
      </c>
      <c r="W67" s="3"/>
      <c r="X67" s="3">
        <f t="shared" si="10"/>
        <v>-1064.83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","5045"," - ","PURCHASES @ COST-SPECIAL ORDER")</f>
        <v xml:space="preserve">          5045 - PURCHASES @ COST-SPECIAL ORDER</v>
      </c>
      <c r="C68" s="12"/>
      <c r="D68" s="3"/>
      <c r="E68" s="3"/>
      <c r="F68" s="20">
        <f t="shared" si="4"/>
        <v>0</v>
      </c>
      <c r="G68" s="3"/>
      <c r="H68" s="3">
        <v>13853.18</v>
      </c>
      <c r="I68" s="3"/>
      <c r="J68" s="20">
        <f t="shared" si="5"/>
        <v>8.307618112159243E-2</v>
      </c>
      <c r="K68" s="3"/>
      <c r="L68" s="3">
        <f t="shared" si="6"/>
        <v>-13853.18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109226.69</v>
      </c>
      <c r="U68" s="3"/>
      <c r="V68" s="20">
        <f t="shared" si="9"/>
        <v>7.3907641825013928E-2</v>
      </c>
      <c r="W68" s="3"/>
      <c r="X68" s="3">
        <f t="shared" si="10"/>
        <v>-109226.69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","5086"," - ","PURCHASES @ COST-COMPUTER SUPP")</f>
        <v xml:space="preserve">          5086 - PURCHASES @ COST-COMPUTER SUPP</v>
      </c>
      <c r="C69" s="12"/>
      <c r="D69" s="3"/>
      <c r="E69" s="3"/>
      <c r="F69" s="20">
        <f t="shared" si="4"/>
        <v>0</v>
      </c>
      <c r="G69" s="3"/>
      <c r="H69" s="3"/>
      <c r="I69" s="3"/>
      <c r="J69" s="20">
        <f t="shared" si="5"/>
        <v>0</v>
      </c>
      <c r="K69" s="3"/>
      <c r="L69" s="3">
        <f t="shared" si="6"/>
        <v>0</v>
      </c>
      <c r="M69" s="3"/>
      <c r="N69" s="20">
        <f t="shared" si="7"/>
        <v>0</v>
      </c>
      <c r="O69" s="12"/>
      <c r="P69" s="3"/>
      <c r="Q69" s="3"/>
      <c r="R69" s="20">
        <f t="shared" si="8"/>
        <v>0</v>
      </c>
      <c r="S69" s="3"/>
      <c r="T69" s="3">
        <v>13.21</v>
      </c>
      <c r="U69" s="3"/>
      <c r="V69" s="20">
        <f t="shared" si="9"/>
        <v>8.9384741816165454E-6</v>
      </c>
      <c r="W69" s="3"/>
      <c r="X69" s="3">
        <f t="shared" si="10"/>
        <v>-13.21</v>
      </c>
      <c r="Y69" s="3"/>
      <c r="Z69" s="20">
        <f t="shared" si="11"/>
        <v>-1</v>
      </c>
    </row>
    <row r="70" spans="1:26" s="69" customFormat="1" ht="15" hidden="1" customHeight="1" outlineLevel="1" x14ac:dyDescent="0.3">
      <c r="A70" s="42"/>
      <c r="B70" s="12" t="str">
        <f>CONCATENATE("          ","5200"," - ","PURCHASES OFFSET")</f>
        <v xml:space="preserve">          5200 - PURCHASES OFFSET</v>
      </c>
      <c r="C70" s="12"/>
      <c r="D70" s="3">
        <v>-385967.61</v>
      </c>
      <c r="E70" s="3"/>
      <c r="F70" s="20">
        <f t="shared" si="4"/>
        <v>-0.7578469066334369</v>
      </c>
      <c r="G70" s="3"/>
      <c r="H70" s="3">
        <v>-68518.25</v>
      </c>
      <c r="I70" s="3"/>
      <c r="J70" s="20">
        <f t="shared" si="5"/>
        <v>-0.41089732084146385</v>
      </c>
      <c r="K70" s="3"/>
      <c r="L70" s="3">
        <f t="shared" si="6"/>
        <v>-317449.36</v>
      </c>
      <c r="M70" s="3"/>
      <c r="N70" s="20">
        <f t="shared" si="7"/>
        <v>4.6330628701112477</v>
      </c>
      <c r="O70" s="12"/>
      <c r="P70" s="3">
        <v>-1859920.91</v>
      </c>
      <c r="Q70" s="3"/>
      <c r="R70" s="20">
        <f t="shared" si="8"/>
        <v>-0.56600757809863489</v>
      </c>
      <c r="S70" s="3"/>
      <c r="T70" s="3">
        <v>-543871.46</v>
      </c>
      <c r="U70" s="3"/>
      <c r="V70" s="20">
        <f t="shared" si="9"/>
        <v>-0.36800764597487473</v>
      </c>
      <c r="W70" s="3"/>
      <c r="X70" s="3">
        <f t="shared" si="10"/>
        <v>-1316049.45</v>
      </c>
      <c r="Y70" s="3"/>
      <c r="Z70" s="20">
        <f t="shared" si="11"/>
        <v>2.4197803098548323</v>
      </c>
    </row>
    <row r="71" spans="1:26" s="69" customFormat="1" ht="15" hidden="1" customHeight="1" outlineLevel="1" x14ac:dyDescent="0.3">
      <c r="A71" s="42"/>
      <c r="B71" s="12" t="str">
        <f>CONCATENATE("          ","5300"," - ","COG$ OFFSET")</f>
        <v xml:space="preserve">          5300 - COG$ OFFSET</v>
      </c>
      <c r="C71" s="12"/>
      <c r="D71" s="3">
        <v>222982.02</v>
      </c>
      <c r="E71" s="3"/>
      <c r="F71" s="20">
        <f t="shared" si="4"/>
        <v>0.43782490995002182</v>
      </c>
      <c r="G71" s="3"/>
      <c r="H71" s="3">
        <v>88675</v>
      </c>
      <c r="I71" s="3"/>
      <c r="J71" s="20">
        <f t="shared" si="5"/>
        <v>0.5317754018180092</v>
      </c>
      <c r="K71" s="3"/>
      <c r="L71" s="3">
        <f t="shared" si="6"/>
        <v>134307.01999999999</v>
      </c>
      <c r="M71" s="3"/>
      <c r="N71" s="20">
        <f t="shared" si="7"/>
        <v>1.514598477586693</v>
      </c>
      <c r="O71" s="12"/>
      <c r="P71" s="3">
        <v>1563551.06</v>
      </c>
      <c r="Q71" s="3"/>
      <c r="R71" s="20">
        <f t="shared" si="8"/>
        <v>0.47581687153791574</v>
      </c>
      <c r="S71" s="3"/>
      <c r="T71" s="3">
        <v>833035</v>
      </c>
      <c r="U71" s="3"/>
      <c r="V71" s="20">
        <f t="shared" si="9"/>
        <v>0.56366857228485523</v>
      </c>
      <c r="W71" s="3"/>
      <c r="X71" s="3">
        <f t="shared" si="10"/>
        <v>730516.06</v>
      </c>
      <c r="Y71" s="3"/>
      <c r="Z71" s="20">
        <f t="shared" si="11"/>
        <v>0.87693321409064451</v>
      </c>
    </row>
    <row r="72" spans="1:26" s="69" customFormat="1" ht="15" hidden="1" customHeight="1" outlineLevel="1" x14ac:dyDescent="0.3">
      <c r="A72" s="42"/>
      <c r="B72" s="12" t="str">
        <f>CONCATENATE("          ","5500"," - ","FREIGHT-IN")</f>
        <v xml:space="preserve">          5500 - FREIGHT-IN</v>
      </c>
      <c r="C72" s="12"/>
      <c r="D72" s="3">
        <v>18112.82</v>
      </c>
      <c r="E72" s="3"/>
      <c r="F72" s="20">
        <f t="shared" si="4"/>
        <v>3.5564498812240351E-2</v>
      </c>
      <c r="G72" s="3"/>
      <c r="H72" s="3"/>
      <c r="I72" s="3"/>
      <c r="J72" s="20">
        <f t="shared" si="5"/>
        <v>0</v>
      </c>
      <c r="K72" s="3"/>
      <c r="L72" s="3">
        <f t="shared" si="6"/>
        <v>18112.82</v>
      </c>
      <c r="M72" s="3"/>
      <c r="N72" s="20">
        <f t="shared" si="7"/>
        <v>0</v>
      </c>
      <c r="O72" s="12"/>
      <c r="P72" s="3">
        <v>70311.63</v>
      </c>
      <c r="Q72" s="3"/>
      <c r="R72" s="20">
        <f t="shared" si="8"/>
        <v>2.139710091676281E-2</v>
      </c>
      <c r="S72" s="3"/>
      <c r="T72" s="3"/>
      <c r="U72" s="3"/>
      <c r="V72" s="20">
        <f t="shared" si="9"/>
        <v>0</v>
      </c>
      <c r="W72" s="3"/>
      <c r="X72" s="3">
        <f t="shared" si="10"/>
        <v>70311.63</v>
      </c>
      <c r="Y72" s="3"/>
      <c r="Z72" s="20">
        <f t="shared" si="11"/>
        <v>0</v>
      </c>
    </row>
    <row r="73" spans="1:26" s="69" customFormat="1" ht="15" hidden="1" customHeight="1" outlineLevel="1" x14ac:dyDescent="0.3">
      <c r="A73" s="42"/>
      <c r="B73" s="12" t="str">
        <f>CONCATENATE("          ","5525"," - ","FREIGHT-IN-TEST FORMS")</f>
        <v xml:space="preserve">          5525 - FREIGHT-IN-TEST FORMS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48.14</v>
      </c>
      <c r="U73" s="3"/>
      <c r="V73" s="20">
        <f t="shared" si="9"/>
        <v>3.2573667456701021E-5</v>
      </c>
      <c r="W73" s="3"/>
      <c r="X73" s="3">
        <f t="shared" si="10"/>
        <v>-48.14</v>
      </c>
      <c r="Y73" s="3"/>
      <c r="Z73" s="20">
        <f t="shared" si="11"/>
        <v>-1</v>
      </c>
    </row>
    <row r="74" spans="1:26" s="69" customFormat="1" ht="15" hidden="1" customHeight="1" outlineLevel="1" x14ac:dyDescent="0.3">
      <c r="A74" s="42"/>
      <c r="B74" s="12" t="str">
        <f>CONCATENATE("          ","5526"," - ","FREIGHT-IN-WRITING INSTRUMENTS")</f>
        <v xml:space="preserve">          5526 - FREIGHT-IN-WRITING INSTRUMENTS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/>
      <c r="Q74" s="3"/>
      <c r="R74" s="20">
        <f t="shared" si="8"/>
        <v>0</v>
      </c>
      <c r="S74" s="3"/>
      <c r="T74" s="3">
        <v>0</v>
      </c>
      <c r="U74" s="3"/>
      <c r="V74" s="20">
        <f t="shared" si="9"/>
        <v>0</v>
      </c>
      <c r="W74" s="3"/>
      <c r="X74" s="3">
        <f t="shared" si="10"/>
        <v>0</v>
      </c>
      <c r="Y74" s="3"/>
      <c r="Z74" s="20">
        <f t="shared" si="11"/>
        <v>0</v>
      </c>
    </row>
    <row r="75" spans="1:26" s="69" customFormat="1" ht="15" hidden="1" customHeight="1" outlineLevel="1" x14ac:dyDescent="0.3">
      <c r="A75" s="42"/>
      <c r="B75" s="12" t="str">
        <f>CONCATENATE("          ","5527"," - ","FREIGHT-IN-SCHOOL SUPPLIES")</f>
        <v xml:space="preserve">          5527 - FREIGHT-IN-SCHOOL SUPPLIES</v>
      </c>
      <c r="C75" s="12"/>
      <c r="D75" s="3"/>
      <c r="E75" s="3"/>
      <c r="F75" s="20">
        <f t="shared" si="4"/>
        <v>0</v>
      </c>
      <c r="G75" s="3"/>
      <c r="H75" s="3">
        <v>41.12</v>
      </c>
      <c r="I75" s="3"/>
      <c r="J75" s="20">
        <f t="shared" si="5"/>
        <v>2.4659266447991582E-4</v>
      </c>
      <c r="K75" s="3"/>
      <c r="L75" s="3">
        <f t="shared" si="6"/>
        <v>-41.12</v>
      </c>
      <c r="M75" s="3"/>
      <c r="N75" s="20">
        <f t="shared" si="7"/>
        <v>-1</v>
      </c>
      <c r="O75" s="12"/>
      <c r="P75" s="3">
        <v>0</v>
      </c>
      <c r="Q75" s="3"/>
      <c r="R75" s="20">
        <f t="shared" si="8"/>
        <v>0</v>
      </c>
      <c r="S75" s="3"/>
      <c r="T75" s="3">
        <v>218.62</v>
      </c>
      <c r="U75" s="3"/>
      <c r="V75" s="20">
        <f t="shared" si="9"/>
        <v>1.4792802616086367E-4</v>
      </c>
      <c r="W75" s="3"/>
      <c r="X75" s="3">
        <f t="shared" si="10"/>
        <v>-218.62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","5528"," - ","FREIGHT-IN-ART/TECH")</f>
        <v xml:space="preserve">          5528 - FREIGHT-IN-ART/TECH</v>
      </c>
      <c r="C76" s="12"/>
      <c r="D76" s="3"/>
      <c r="E76" s="3"/>
      <c r="F76" s="20">
        <f t="shared" si="4"/>
        <v>0</v>
      </c>
      <c r="G76" s="3"/>
      <c r="H76" s="3">
        <v>73.23</v>
      </c>
      <c r="I76" s="3"/>
      <c r="J76" s="20">
        <f t="shared" si="5"/>
        <v>4.3915323005506415E-4</v>
      </c>
      <c r="K76" s="3"/>
      <c r="L76" s="3">
        <f t="shared" si="6"/>
        <v>-73.23</v>
      </c>
      <c r="M76" s="3"/>
      <c r="N76" s="20">
        <f t="shared" si="7"/>
        <v>-1</v>
      </c>
      <c r="O76" s="12"/>
      <c r="P76" s="3"/>
      <c r="Q76" s="3"/>
      <c r="R76" s="20">
        <f t="shared" si="8"/>
        <v>0</v>
      </c>
      <c r="S76" s="3"/>
      <c r="T76" s="3">
        <v>107.18</v>
      </c>
      <c r="U76" s="3"/>
      <c r="V76" s="20">
        <f t="shared" si="9"/>
        <v>7.2522760241155288E-5</v>
      </c>
      <c r="W76" s="3"/>
      <c r="X76" s="3">
        <f t="shared" si="10"/>
        <v>-107.18</v>
      </c>
      <c r="Y76" s="3"/>
      <c r="Z76" s="20">
        <f t="shared" si="11"/>
        <v>-1</v>
      </c>
    </row>
    <row r="77" spans="1:26" s="69" customFormat="1" ht="15" hidden="1" customHeight="1" outlineLevel="1" x14ac:dyDescent="0.3">
      <c r="A77" s="42"/>
      <c r="B77" s="12" t="str">
        <f>CONCATENATE("          ","5540"," - ","FREIGHT-IN-LOGO CLOTHING")</f>
        <v xml:space="preserve">          5540 - FREIGHT-IN-LOGO CLOTHING</v>
      </c>
      <c r="C77" s="12"/>
      <c r="D77" s="3"/>
      <c r="E77" s="3"/>
      <c r="F77" s="20">
        <f t="shared" si="4"/>
        <v>0</v>
      </c>
      <c r="G77" s="3"/>
      <c r="H77" s="3">
        <v>1167.1400000000001</v>
      </c>
      <c r="I77" s="3"/>
      <c r="J77" s="20">
        <f t="shared" si="5"/>
        <v>6.9992257398124756E-3</v>
      </c>
      <c r="K77" s="3"/>
      <c r="L77" s="3">
        <f t="shared" si="6"/>
        <v>-1167.1400000000001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7108.37</v>
      </c>
      <c r="U77" s="3"/>
      <c r="V77" s="20">
        <f t="shared" si="9"/>
        <v>4.8098396456001209E-3</v>
      </c>
      <c r="W77" s="3"/>
      <c r="X77" s="3">
        <f t="shared" si="10"/>
        <v>-7108.37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","5541"," - ","FREIGHT-IN-LOGO GIFTS")</f>
        <v xml:space="preserve">          5541 - FREIGHT-IN-LOGO GIFTS</v>
      </c>
      <c r="C78" s="12"/>
      <c r="D78" s="3"/>
      <c r="E78" s="3"/>
      <c r="F78" s="20">
        <f t="shared" si="4"/>
        <v>0</v>
      </c>
      <c r="G78" s="3"/>
      <c r="H78" s="3">
        <v>60.07</v>
      </c>
      <c r="I78" s="3"/>
      <c r="J78" s="20">
        <f t="shared" si="5"/>
        <v>3.6023398237618057E-4</v>
      </c>
      <c r="K78" s="3"/>
      <c r="L78" s="3">
        <f t="shared" si="6"/>
        <v>-60.07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2138</v>
      </c>
      <c r="U78" s="3"/>
      <c r="V78" s="20">
        <f t="shared" si="9"/>
        <v>1.4466659954804066E-3</v>
      </c>
      <c r="W78" s="3"/>
      <c r="X78" s="3">
        <f t="shared" si="10"/>
        <v>-2138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","5542"," - ","FREIGHT-IN-EVERYDAY GIFTS")</f>
        <v xml:space="preserve">          5542 - FREIGHT-IN-EVERYDAY GIFTS</v>
      </c>
      <c r="C79" s="12"/>
      <c r="D79" s="3"/>
      <c r="E79" s="3"/>
      <c r="F79" s="20">
        <f t="shared" si="4"/>
        <v>0</v>
      </c>
      <c r="G79" s="3"/>
      <c r="H79" s="3">
        <v>297.79000000000002</v>
      </c>
      <c r="I79" s="3"/>
      <c r="J79" s="20">
        <f t="shared" si="5"/>
        <v>1.7858178393840988E-3</v>
      </c>
      <c r="K79" s="3"/>
      <c r="L79" s="3">
        <f t="shared" si="6"/>
        <v>-297.79000000000002</v>
      </c>
      <c r="M79" s="3"/>
      <c r="N79" s="20">
        <f t="shared" si="7"/>
        <v>-1</v>
      </c>
      <c r="O79" s="12"/>
      <c r="P79" s="3">
        <v>0</v>
      </c>
      <c r="Q79" s="3"/>
      <c r="R79" s="20">
        <f t="shared" si="8"/>
        <v>0</v>
      </c>
      <c r="S79" s="3"/>
      <c r="T79" s="3">
        <v>681.72</v>
      </c>
      <c r="U79" s="3"/>
      <c r="V79" s="20">
        <f t="shared" si="9"/>
        <v>4.6128210591155419E-4</v>
      </c>
      <c r="W79" s="3"/>
      <c r="X79" s="3">
        <f t="shared" si="10"/>
        <v>-681.72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","5543"," - ","FREIGHT-IN-CARDS")</f>
        <v xml:space="preserve">          5543 - FREIGHT-IN-CARDS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/>
      <c r="Q80" s="3"/>
      <c r="R80" s="20">
        <f t="shared" si="8"/>
        <v>0</v>
      </c>
      <c r="S80" s="3"/>
      <c r="T80" s="3">
        <v>9110.5300000000007</v>
      </c>
      <c r="U80" s="3"/>
      <c r="V80" s="20">
        <f t="shared" si="9"/>
        <v>6.1645902487390599E-3</v>
      </c>
      <c r="W80" s="3"/>
      <c r="X80" s="3">
        <f t="shared" si="10"/>
        <v>-9110.5300000000007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","5544"," - ","FREIGHT-IN-ACCESSORIES")</f>
        <v xml:space="preserve">          5544 - FREIGHT-IN-ACCESSORIES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>
        <v>0</v>
      </c>
      <c r="Q81" s="3"/>
      <c r="R81" s="20">
        <f t="shared" si="8"/>
        <v>0</v>
      </c>
      <c r="S81" s="3"/>
      <c r="T81" s="3"/>
      <c r="U81" s="3"/>
      <c r="V81" s="20">
        <f t="shared" si="9"/>
        <v>0</v>
      </c>
      <c r="W81" s="3"/>
      <c r="X81" s="3">
        <f t="shared" si="10"/>
        <v>0</v>
      </c>
      <c r="Y81" s="3"/>
      <c r="Z81" s="20">
        <f t="shared" si="11"/>
        <v>0</v>
      </c>
    </row>
    <row r="82" spans="1:26" s="69" customFormat="1" ht="15" hidden="1" customHeight="1" outlineLevel="1" x14ac:dyDescent="0.3">
      <c r="A82" s="42"/>
      <c r="B82" s="12" t="str">
        <f>CONCATENATE("          ","5545"," - ","FREIGHT-IN-SPECIAL ORDERS")</f>
        <v xml:space="preserve">          5545 - FREIGHT-IN-SPECIAL ORDERS</v>
      </c>
      <c r="C82" s="12"/>
      <c r="D82" s="3"/>
      <c r="E82" s="3"/>
      <c r="F82" s="20">
        <f t="shared" si="4"/>
        <v>0</v>
      </c>
      <c r="G82" s="3"/>
      <c r="H82" s="3">
        <v>17.63</v>
      </c>
      <c r="I82" s="3"/>
      <c r="J82" s="20">
        <f t="shared" si="5"/>
        <v>1.057254055151001E-4</v>
      </c>
      <c r="K82" s="3"/>
      <c r="L82" s="3">
        <f t="shared" si="6"/>
        <v>-17.63</v>
      </c>
      <c r="M82" s="3"/>
      <c r="N82" s="20">
        <f t="shared" si="7"/>
        <v>-1</v>
      </c>
      <c r="O82" s="12"/>
      <c r="P82" s="3">
        <v>0</v>
      </c>
      <c r="Q82" s="3"/>
      <c r="R82" s="20">
        <f t="shared" si="8"/>
        <v>0</v>
      </c>
      <c r="S82" s="3"/>
      <c r="T82" s="3">
        <v>1266.1600000000001</v>
      </c>
      <c r="U82" s="3"/>
      <c r="V82" s="20">
        <f t="shared" si="9"/>
        <v>8.5674023238422443E-4</v>
      </c>
      <c r="W82" s="3"/>
      <c r="X82" s="3">
        <f t="shared" si="10"/>
        <v>-1266.1600000000001</v>
      </c>
      <c r="Y82" s="3"/>
      <c r="Z82" s="20">
        <f t="shared" si="11"/>
        <v>-1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288</v>
      </c>
      <c r="C84" s="27"/>
      <c r="D84" s="22">
        <f>D12-D56</f>
        <v>289312.94000000006</v>
      </c>
      <c r="E84" s="15"/>
      <c r="F84" s="21">
        <f>IF(D$12=0,0,D84/D$12)</f>
        <v>0.56806558619782932</v>
      </c>
      <c r="G84" s="15"/>
      <c r="H84" s="22">
        <f>H12-H56</f>
        <v>78077.73000000001</v>
      </c>
      <c r="I84" s="15"/>
      <c r="J84" s="21">
        <f>IF(H$12=0,0,H84/H$12)</f>
        <v>0.4682245981819908</v>
      </c>
      <c r="K84" s="17"/>
      <c r="L84" s="22">
        <f>+D84-H84</f>
        <v>211235.21000000005</v>
      </c>
      <c r="M84" s="17"/>
      <c r="N84" s="21">
        <f>IF(H84=0,0,L84/H84)</f>
        <v>2.7054476353244392</v>
      </c>
      <c r="O84" s="28"/>
      <c r="P84" s="22">
        <f>P12-P56</f>
        <v>1725484.29</v>
      </c>
      <c r="Q84" s="15"/>
      <c r="R84" s="21">
        <f>IF(P$12=0,0,P84/P$12)</f>
        <v>0.52509608273082031</v>
      </c>
      <c r="S84" s="15"/>
      <c r="T84" s="22">
        <f>T12-T56</f>
        <v>643929.33000000019</v>
      </c>
      <c r="U84" s="15"/>
      <c r="V84" s="21">
        <f>IF(T$12=0,0,T84/T$12)</f>
        <v>0.43571125594175941</v>
      </c>
      <c r="W84" s="17"/>
      <c r="X84" s="22">
        <f>+P84-T84</f>
        <v>1081554.96</v>
      </c>
      <c r="Y84" s="17"/>
      <c r="Z84" s="21">
        <f>IF(T84=0,0,X84/T84)</f>
        <v>1.6796174822476244</v>
      </c>
    </row>
    <row r="85" spans="1:26" ht="15" customHeight="1" x14ac:dyDescent="0.3">
      <c r="A85" s="10"/>
      <c r="B85" s="11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3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62" customFormat="1" ht="15" customHeight="1" x14ac:dyDescent="0.3">
      <c r="A86" s="11"/>
      <c r="B86" s="28" t="s">
        <v>289</v>
      </c>
      <c r="C86" s="11"/>
      <c r="D86" s="23" cm="1">
        <f t="array" ref="D86">SUM(OSRRefD22x_0)</f>
        <v>103104.01</v>
      </c>
      <c r="E86" s="23"/>
      <c r="F86" s="35">
        <f t="shared" ref="F86:F117" si="12">IF(D$12=0,0,D86/D$12)</f>
        <v>0.20244459124433509</v>
      </c>
      <c r="G86" s="23"/>
      <c r="H86" s="23" cm="1">
        <f t="array" ref="H86">SUM(OSRRefH22x_0)</f>
        <v>64245.679999999986</v>
      </c>
      <c r="I86" s="23"/>
      <c r="J86" s="35">
        <f t="shared" ref="J86:J117" si="13">IF(H$12=0,0,H86/H$12)</f>
        <v>0.38527513162753008</v>
      </c>
      <c r="K86" s="5"/>
      <c r="L86" s="23">
        <f t="shared" ref="L86:L117" si="14">+D86-H86</f>
        <v>38858.330000000009</v>
      </c>
      <c r="M86" s="5"/>
      <c r="N86" s="35">
        <f t="shared" ref="N86:N117" si="15">IF(H86=0,0,L86/H86)</f>
        <v>0.60483957831872925</v>
      </c>
      <c r="O86" s="11"/>
      <c r="P86" s="23" cm="1">
        <f t="array" ref="P86">SUM(OSRRefP22x_0)</f>
        <v>897220.16000000038</v>
      </c>
      <c r="Q86" s="23"/>
      <c r="R86" s="35">
        <f t="shared" ref="R86:R117" si="16">IF(P$12=0,0,P86/P$12)</f>
        <v>0.27304032502267522</v>
      </c>
      <c r="S86" s="23"/>
      <c r="T86" s="23" cm="1">
        <f t="array" ref="T86">SUM(OSRRefT22x_0)</f>
        <v>608155.79</v>
      </c>
      <c r="U86" s="23"/>
      <c r="V86" s="35">
        <f t="shared" ref="V86:V117" si="17">IF(T$12=0,0,T86/T$12)</f>
        <v>0.41150528594364977</v>
      </c>
      <c r="W86" s="5"/>
      <c r="X86" s="23">
        <f t="shared" ref="X86:X117" si="18">+P86-T86</f>
        <v>289064.37000000034</v>
      </c>
      <c r="Y86" s="5"/>
      <c r="Z86" s="35">
        <f t="shared" ref="Z86:Z117" si="19">IF(T86=0,0,X86/T86)</f>
        <v>0.47531302793318853</v>
      </c>
    </row>
    <row r="87" spans="1:26" s="68" customFormat="1" ht="15" customHeight="1" outlineLevel="1" collapsed="1" x14ac:dyDescent="0.3">
      <c r="A87" s="26"/>
      <c r="B87" s="14" t="str">
        <f>CONCATENATE("     ","*Benefits                                         ")</f>
        <v xml:space="preserve">     *Benefits                                         </v>
      </c>
      <c r="C87" s="14"/>
      <c r="D87" s="2">
        <f>SUM(OSRRefD22_0x_0)</f>
        <v>12295.95</v>
      </c>
      <c r="E87" s="2"/>
      <c r="F87" s="6">
        <f t="shared" si="12"/>
        <v>2.4143082036390071E-2</v>
      </c>
      <c r="G87" s="2"/>
      <c r="H87" s="2">
        <f>SUM(OSRRefH22_0x_0)</f>
        <v>13506.529999999999</v>
      </c>
      <c r="I87" s="2"/>
      <c r="J87" s="6">
        <f t="shared" si="13"/>
        <v>8.099735458603885E-2</v>
      </c>
      <c r="K87" s="2"/>
      <c r="L87" s="2">
        <f t="shared" si="14"/>
        <v>-1210.5799999999981</v>
      </c>
      <c r="M87" s="2"/>
      <c r="N87" s="6">
        <f t="shared" si="15"/>
        <v>-8.9629238597922503E-2</v>
      </c>
      <c r="O87" s="14"/>
      <c r="P87" s="2">
        <f>SUM(OSRRefP22_0x_0)</f>
        <v>132220.67000000001</v>
      </c>
      <c r="Q87" s="2"/>
      <c r="R87" s="6">
        <f t="shared" si="16"/>
        <v>4.0237141697212722E-2</v>
      </c>
      <c r="S87" s="2"/>
      <c r="T87" s="2">
        <f>SUM(OSRRefT22_0x_0)</f>
        <v>133974.77000000002</v>
      </c>
      <c r="U87" s="2"/>
      <c r="V87" s="6">
        <f t="shared" si="17"/>
        <v>9.0653294673203252E-2</v>
      </c>
      <c r="W87" s="2"/>
      <c r="X87" s="2">
        <f t="shared" si="18"/>
        <v>-1754.1000000000058</v>
      </c>
      <c r="Y87" s="2"/>
      <c r="Z87" s="6">
        <f t="shared" si="19"/>
        <v>-1.3092763659904067E-2</v>
      </c>
    </row>
    <row r="88" spans="1:26" s="69" customFormat="1" ht="15" hidden="1" customHeight="1" outlineLevel="2" x14ac:dyDescent="0.3">
      <c r="A88" s="25"/>
      <c r="B88" s="12" t="str">
        <f>CONCATENATE("          ","6111"," - ","F.I.C.A.")</f>
        <v xml:space="preserve">          6111 - F.I.C.A.</v>
      </c>
      <c r="C88" s="12"/>
      <c r="D88" s="8">
        <v>2067.15</v>
      </c>
      <c r="E88" s="3"/>
      <c r="F88" s="7">
        <f t="shared" si="12"/>
        <v>4.0588463706768274E-3</v>
      </c>
      <c r="G88" s="3"/>
      <c r="H88" s="8">
        <v>2616.6799999999998</v>
      </c>
      <c r="I88" s="3"/>
      <c r="J88" s="7">
        <f t="shared" si="13"/>
        <v>1.5691976976928652E-2</v>
      </c>
      <c r="K88" s="3"/>
      <c r="L88" s="8">
        <f t="shared" si="14"/>
        <v>-549.52999999999975</v>
      </c>
      <c r="M88" s="3"/>
      <c r="N88" s="7">
        <f t="shared" si="15"/>
        <v>-0.21001039485149112</v>
      </c>
      <c r="O88" s="12"/>
      <c r="P88" s="8">
        <v>23860.51</v>
      </c>
      <c r="Q88" s="3"/>
      <c r="R88" s="7">
        <f t="shared" si="16"/>
        <v>7.2611848195729229E-3</v>
      </c>
      <c r="S88" s="3"/>
      <c r="T88" s="8">
        <v>26322.29</v>
      </c>
      <c r="U88" s="3"/>
      <c r="V88" s="7">
        <f t="shared" si="17"/>
        <v>1.781083342664825E-2</v>
      </c>
      <c r="W88" s="3"/>
      <c r="X88" s="8">
        <f t="shared" si="18"/>
        <v>-2461.7800000000025</v>
      </c>
      <c r="Y88" s="3"/>
      <c r="Z88" s="7">
        <f t="shared" si="19"/>
        <v>-9.352453756872986E-2</v>
      </c>
    </row>
    <row r="89" spans="1:26" s="69" customFormat="1" ht="15" hidden="1" customHeight="1" outlineLevel="2" x14ac:dyDescent="0.3">
      <c r="A89" s="25"/>
      <c r="B89" s="12" t="str">
        <f>CONCATENATE("          ","6112"," - ","COMPENSATION INSURANCE")</f>
        <v xml:space="preserve">          6112 - COMPENSATION INSURANCE</v>
      </c>
      <c r="C89" s="12"/>
      <c r="D89" s="8">
        <v>1098.45</v>
      </c>
      <c r="E89" s="3"/>
      <c r="F89" s="7">
        <f t="shared" si="12"/>
        <v>2.1568051645356945E-3</v>
      </c>
      <c r="G89" s="3"/>
      <c r="H89" s="8">
        <v>745.75</v>
      </c>
      <c r="I89" s="3"/>
      <c r="J89" s="7">
        <f t="shared" si="13"/>
        <v>4.4721906501920539E-3</v>
      </c>
      <c r="K89" s="3"/>
      <c r="L89" s="8">
        <f t="shared" si="14"/>
        <v>352.70000000000005</v>
      </c>
      <c r="M89" s="3"/>
      <c r="N89" s="7">
        <f t="shared" si="15"/>
        <v>0.47294669795507882</v>
      </c>
      <c r="O89" s="12"/>
      <c r="P89" s="8">
        <v>8602.5300000000007</v>
      </c>
      <c r="Q89" s="3"/>
      <c r="R89" s="7">
        <f t="shared" si="16"/>
        <v>2.6179054951432582E-3</v>
      </c>
      <c r="S89" s="3"/>
      <c r="T89" s="8">
        <v>9230.8700000000008</v>
      </c>
      <c r="U89" s="3"/>
      <c r="V89" s="7">
        <f t="shared" si="17"/>
        <v>6.2460176509355576E-3</v>
      </c>
      <c r="W89" s="3"/>
      <c r="X89" s="8">
        <f t="shared" si="18"/>
        <v>-628.34000000000015</v>
      </c>
      <c r="Y89" s="3"/>
      <c r="Z89" s="7">
        <f t="shared" si="19"/>
        <v>-6.8069423575459309E-2</v>
      </c>
    </row>
    <row r="90" spans="1:26" s="69" customFormat="1" ht="15" hidden="1" customHeight="1" outlineLevel="2" x14ac:dyDescent="0.3">
      <c r="A90" s="25"/>
      <c r="B90" s="12" t="str">
        <f>CONCATENATE("          ","6113"," - ","GROUP INSURANCE")</f>
        <v xml:space="preserve">          6113 - GROUP INSURANCE</v>
      </c>
      <c r="C90" s="12"/>
      <c r="D90" s="8">
        <v>3834.79</v>
      </c>
      <c r="E90" s="3"/>
      <c r="F90" s="7">
        <f t="shared" si="12"/>
        <v>7.5296052409393561E-3</v>
      </c>
      <c r="G90" s="3"/>
      <c r="H90" s="8">
        <v>4818.63</v>
      </c>
      <c r="I90" s="3"/>
      <c r="J90" s="7">
        <f t="shared" si="13"/>
        <v>2.8896858240341852E-2</v>
      </c>
      <c r="K90" s="3"/>
      <c r="L90" s="8">
        <f t="shared" si="14"/>
        <v>-983.84000000000015</v>
      </c>
      <c r="M90" s="3"/>
      <c r="N90" s="7">
        <f t="shared" si="15"/>
        <v>-0.20417421549278533</v>
      </c>
      <c r="O90" s="12"/>
      <c r="P90" s="8">
        <v>42156.82</v>
      </c>
      <c r="Q90" s="3"/>
      <c r="R90" s="7">
        <f t="shared" si="16"/>
        <v>1.2829082925112171E-2</v>
      </c>
      <c r="S90" s="3"/>
      <c r="T90" s="8">
        <v>48589.8</v>
      </c>
      <c r="U90" s="3"/>
      <c r="V90" s="7">
        <f t="shared" si="17"/>
        <v>3.2878022164262805E-2</v>
      </c>
      <c r="W90" s="3"/>
      <c r="X90" s="8">
        <f t="shared" si="18"/>
        <v>-6432.9800000000032</v>
      </c>
      <c r="Y90" s="3"/>
      <c r="Z90" s="7">
        <f t="shared" si="19"/>
        <v>-0.13239362993879381</v>
      </c>
    </row>
    <row r="91" spans="1:26" s="69" customFormat="1" ht="15" hidden="1" customHeight="1" outlineLevel="2" x14ac:dyDescent="0.3">
      <c r="A91" s="25"/>
      <c r="B91" s="12" t="str">
        <f>CONCATENATE("          ","6114"," - ","STATE UNEMPLOYMENT INSURANCE")</f>
        <v xml:space="preserve">          6114 - STATE UNEMPLOYMENT INSURANCE</v>
      </c>
      <c r="C91" s="12"/>
      <c r="D91" s="8">
        <v>193.18</v>
      </c>
      <c r="E91" s="3"/>
      <c r="F91" s="7">
        <f t="shared" si="12"/>
        <v>3.7930868194729434E-4</v>
      </c>
      <c r="G91" s="3"/>
      <c r="H91" s="8">
        <v>104.81</v>
      </c>
      <c r="I91" s="3"/>
      <c r="J91" s="7">
        <f t="shared" si="13"/>
        <v>6.2853543687110846E-4</v>
      </c>
      <c r="K91" s="3"/>
      <c r="L91" s="8">
        <f t="shared" si="14"/>
        <v>88.37</v>
      </c>
      <c r="M91" s="3"/>
      <c r="N91" s="7">
        <f t="shared" si="15"/>
        <v>0.84314473809750978</v>
      </c>
      <c r="O91" s="12"/>
      <c r="P91" s="8">
        <v>1512.41</v>
      </c>
      <c r="Q91" s="3"/>
      <c r="R91" s="7">
        <f t="shared" si="16"/>
        <v>4.6025372185968725E-4</v>
      </c>
      <c r="S91" s="3"/>
      <c r="T91" s="8">
        <v>1097.2</v>
      </c>
      <c r="U91" s="3"/>
      <c r="V91" s="7">
        <f t="shared" si="17"/>
        <v>7.4241437335879434E-4</v>
      </c>
      <c r="W91" s="3"/>
      <c r="X91" s="8">
        <f t="shared" si="18"/>
        <v>415.21000000000004</v>
      </c>
      <c r="Y91" s="3"/>
      <c r="Z91" s="7">
        <f t="shared" si="19"/>
        <v>0.37842690484870584</v>
      </c>
    </row>
    <row r="92" spans="1:26" s="69" customFormat="1" ht="15" hidden="1" customHeight="1" outlineLevel="2" x14ac:dyDescent="0.3">
      <c r="A92" s="25"/>
      <c r="B92" s="12" t="str">
        <f>CONCATENATE("          ","6115"," - ","P.E.R.S.")</f>
        <v xml:space="preserve">          6115 - P.E.R.S.</v>
      </c>
      <c r="C92" s="12"/>
      <c r="D92" s="8">
        <v>1145.3499999999999</v>
      </c>
      <c r="E92" s="3"/>
      <c r="F92" s="7">
        <f t="shared" si="12"/>
        <v>2.2488932543137672E-3</v>
      </c>
      <c r="G92" s="3"/>
      <c r="H92" s="8">
        <v>1916.82</v>
      </c>
      <c r="I92" s="3"/>
      <c r="J92" s="7">
        <f t="shared" si="13"/>
        <v>1.149498422004845E-2</v>
      </c>
      <c r="K92" s="3"/>
      <c r="L92" s="8">
        <f t="shared" si="14"/>
        <v>-771.47</v>
      </c>
      <c r="M92" s="3"/>
      <c r="N92" s="7">
        <f t="shared" si="15"/>
        <v>-0.40247388904539816</v>
      </c>
      <c r="O92" s="12"/>
      <c r="P92" s="8">
        <v>14584.98</v>
      </c>
      <c r="Q92" s="3"/>
      <c r="R92" s="7">
        <f t="shared" si="16"/>
        <v>4.4384732501432152E-3</v>
      </c>
      <c r="S92" s="3"/>
      <c r="T92" s="8">
        <v>18164.849999999999</v>
      </c>
      <c r="U92" s="3"/>
      <c r="V92" s="7">
        <f t="shared" si="17"/>
        <v>1.2291146308700778E-2</v>
      </c>
      <c r="W92" s="3"/>
      <c r="X92" s="8">
        <f t="shared" si="18"/>
        <v>-3579.869999999999</v>
      </c>
      <c r="Y92" s="3"/>
      <c r="Z92" s="7">
        <f t="shared" si="19"/>
        <v>-0.19707677189737319</v>
      </c>
    </row>
    <row r="93" spans="1:26" s="69" customFormat="1" ht="15" hidden="1" customHeight="1" outlineLevel="2" x14ac:dyDescent="0.3">
      <c r="A93" s="25"/>
      <c r="B93" s="12" t="str">
        <f>CONCATENATE("          ","6118"," - ","VACATION")</f>
        <v xml:space="preserve">          6118 - VACATION</v>
      </c>
      <c r="C93" s="12"/>
      <c r="D93" s="8">
        <v>1656.97</v>
      </c>
      <c r="E93" s="3"/>
      <c r="F93" s="7">
        <f t="shared" si="12"/>
        <v>3.2534584673683006E-3</v>
      </c>
      <c r="G93" s="3"/>
      <c r="H93" s="8">
        <v>1633.18</v>
      </c>
      <c r="I93" s="3"/>
      <c r="J93" s="7">
        <f t="shared" si="13"/>
        <v>9.7940225626291094E-3</v>
      </c>
      <c r="K93" s="3"/>
      <c r="L93" s="8">
        <f t="shared" si="14"/>
        <v>23.789999999999964</v>
      </c>
      <c r="M93" s="3"/>
      <c r="N93" s="7">
        <f t="shared" si="15"/>
        <v>1.456667360609361E-2</v>
      </c>
      <c r="O93" s="12"/>
      <c r="P93" s="8">
        <v>18247.03</v>
      </c>
      <c r="Q93" s="3"/>
      <c r="R93" s="7">
        <f t="shared" si="16"/>
        <v>5.5529013100848101E-3</v>
      </c>
      <c r="S93" s="3"/>
      <c r="T93" s="8">
        <v>15262.59</v>
      </c>
      <c r="U93" s="3"/>
      <c r="V93" s="7">
        <f t="shared" si="17"/>
        <v>1.0327347968175539E-2</v>
      </c>
      <c r="W93" s="3"/>
      <c r="X93" s="8">
        <f t="shared" si="18"/>
        <v>2984.4399999999987</v>
      </c>
      <c r="Y93" s="3"/>
      <c r="Z93" s="7">
        <f t="shared" si="19"/>
        <v>0.19553955128192518</v>
      </c>
    </row>
    <row r="94" spans="1:26" s="69" customFormat="1" ht="15" hidden="1" customHeight="1" outlineLevel="2" x14ac:dyDescent="0.3">
      <c r="A94" s="25"/>
      <c r="B94" s="12" t="str">
        <f>CONCATENATE("          ","6119"," - ","SICK LEAVE")</f>
        <v xml:space="preserve">          6119 - SICK LEAVE</v>
      </c>
      <c r="C94" s="12"/>
      <c r="D94" s="8">
        <v>1237.52</v>
      </c>
      <c r="E94" s="3"/>
      <c r="F94" s="7">
        <f t="shared" si="12"/>
        <v>2.4298689309629139E-3</v>
      </c>
      <c r="G94" s="3"/>
      <c r="H94" s="8">
        <v>1105.6199999999999</v>
      </c>
      <c r="I94" s="3"/>
      <c r="J94" s="7">
        <f t="shared" si="13"/>
        <v>6.6302962476236507E-3</v>
      </c>
      <c r="K94" s="3"/>
      <c r="L94" s="8">
        <f t="shared" si="14"/>
        <v>131.90000000000009</v>
      </c>
      <c r="M94" s="3"/>
      <c r="N94" s="7">
        <f t="shared" si="15"/>
        <v>0.11929957851703127</v>
      </c>
      <c r="O94" s="12"/>
      <c r="P94" s="8">
        <v>15837.88</v>
      </c>
      <c r="Q94" s="3"/>
      <c r="R94" s="7">
        <f t="shared" si="16"/>
        <v>4.8197533845763399E-3</v>
      </c>
      <c r="S94" s="3"/>
      <c r="T94" s="8">
        <v>11236.64</v>
      </c>
      <c r="U94" s="3"/>
      <c r="V94" s="7">
        <f t="shared" si="17"/>
        <v>7.6032109408114851E-3</v>
      </c>
      <c r="W94" s="3"/>
      <c r="X94" s="8">
        <f t="shared" si="18"/>
        <v>4601.24</v>
      </c>
      <c r="Y94" s="3"/>
      <c r="Z94" s="7">
        <f t="shared" si="19"/>
        <v>0.40948539777015192</v>
      </c>
    </row>
    <row r="95" spans="1:26" s="69" customFormat="1" ht="15" hidden="1" customHeight="1" outlineLevel="2" x14ac:dyDescent="0.3">
      <c r="A95" s="25"/>
      <c r="B95" s="12" t="str">
        <f>CONCATENATE("          ","6156"," - ","EMPLOYEE MEALS")</f>
        <v xml:space="preserve">          6156 - EMPLOYEE MEALS</v>
      </c>
      <c r="C95" s="12"/>
      <c r="D95" s="8">
        <v>1062.54</v>
      </c>
      <c r="E95" s="3"/>
      <c r="F95" s="7">
        <f t="shared" si="12"/>
        <v>2.0862959256459164E-3</v>
      </c>
      <c r="G95" s="3"/>
      <c r="H95" s="8">
        <v>565.04</v>
      </c>
      <c r="I95" s="3"/>
      <c r="J95" s="7">
        <f t="shared" si="13"/>
        <v>3.3884902514039797E-3</v>
      </c>
      <c r="K95" s="3"/>
      <c r="L95" s="8">
        <f t="shared" si="14"/>
        <v>497.5</v>
      </c>
      <c r="M95" s="3"/>
      <c r="N95" s="7">
        <f t="shared" si="15"/>
        <v>0.88046863938836195</v>
      </c>
      <c r="O95" s="12"/>
      <c r="P95" s="8">
        <v>7418.51</v>
      </c>
      <c r="Q95" s="3"/>
      <c r="R95" s="7">
        <f t="shared" si="16"/>
        <v>2.2575867907203128E-3</v>
      </c>
      <c r="S95" s="3"/>
      <c r="T95" s="8">
        <v>4070.53</v>
      </c>
      <c r="U95" s="3"/>
      <c r="V95" s="7">
        <f t="shared" si="17"/>
        <v>2.7543018403100375E-3</v>
      </c>
      <c r="W95" s="3"/>
      <c r="X95" s="8">
        <f t="shared" si="18"/>
        <v>3347.98</v>
      </c>
      <c r="Y95" s="3"/>
      <c r="Z95" s="7">
        <f t="shared" si="19"/>
        <v>0.82249240270922952</v>
      </c>
    </row>
    <row r="96" spans="1:26" s="68" customFormat="1" ht="15" customHeight="1" outlineLevel="1" collapsed="1" x14ac:dyDescent="0.3">
      <c r="A96" s="26"/>
      <c r="B96" s="14" t="str">
        <f>CONCATENATE("     ","*Payroll                                          ")</f>
        <v xml:space="preserve">     *Payroll                                          </v>
      </c>
      <c r="C96" s="14"/>
      <c r="D96" s="2">
        <f>SUM(OSRRefD22_1x_0)</f>
        <v>74516.400000000009</v>
      </c>
      <c r="E96" s="2"/>
      <c r="F96" s="6">
        <f t="shared" si="12"/>
        <v>0.14631285571724489</v>
      </c>
      <c r="G96" s="2"/>
      <c r="H96" s="2">
        <f>SUM(OSRRefH22_1x_0)</f>
        <v>41331.880000000005</v>
      </c>
      <c r="I96" s="2"/>
      <c r="J96" s="6">
        <f t="shared" si="13"/>
        <v>0.24786328835515917</v>
      </c>
      <c r="K96" s="2"/>
      <c r="L96" s="2">
        <f t="shared" si="14"/>
        <v>33184.520000000004</v>
      </c>
      <c r="M96" s="2"/>
      <c r="N96" s="6">
        <f t="shared" si="15"/>
        <v>0.80287952060249856</v>
      </c>
      <c r="O96" s="14"/>
      <c r="P96" s="2">
        <f>SUM(OSRRefP22_1x_0)</f>
        <v>588827.55000000005</v>
      </c>
      <c r="Q96" s="2"/>
      <c r="R96" s="6">
        <f t="shared" si="16"/>
        <v>0.17919087510729306</v>
      </c>
      <c r="S96" s="2"/>
      <c r="T96" s="2">
        <f>SUM(OSRRefT22_1x_0)</f>
        <v>344984.31999999995</v>
      </c>
      <c r="U96" s="2"/>
      <c r="V96" s="6">
        <f t="shared" si="17"/>
        <v>0.23343175150511278</v>
      </c>
      <c r="W96" s="2"/>
      <c r="X96" s="2">
        <f t="shared" si="18"/>
        <v>243843.2300000001</v>
      </c>
      <c r="Y96" s="2"/>
      <c r="Z96" s="6">
        <f t="shared" si="19"/>
        <v>0.70682409565744941</v>
      </c>
    </row>
    <row r="97" spans="1:26" s="69" customFormat="1" ht="15" hidden="1" customHeight="1" outlineLevel="2" x14ac:dyDescent="0.3">
      <c r="A97" s="25"/>
      <c r="B97" s="12" t="str">
        <f>CONCATENATE("          ","6002"," - ","STAFF SALARIES")</f>
        <v xml:space="preserve">          6002 - STAFF SALARIES</v>
      </c>
      <c r="C97" s="12"/>
      <c r="D97" s="8">
        <v>11334.67</v>
      </c>
      <c r="E97" s="3"/>
      <c r="F97" s="7">
        <f t="shared" si="12"/>
        <v>2.2255609990721289E-2</v>
      </c>
      <c r="G97" s="3"/>
      <c r="H97" s="8">
        <v>19213.95</v>
      </c>
      <c r="I97" s="3"/>
      <c r="J97" s="7">
        <f t="shared" si="13"/>
        <v>0.11522420052733169</v>
      </c>
      <c r="K97" s="3"/>
      <c r="L97" s="8">
        <f t="shared" si="14"/>
        <v>-7879.2800000000007</v>
      </c>
      <c r="M97" s="3"/>
      <c r="N97" s="7">
        <f t="shared" si="15"/>
        <v>-0.41008121703241657</v>
      </c>
      <c r="O97" s="12"/>
      <c r="P97" s="8">
        <v>143653.14000000001</v>
      </c>
      <c r="Q97" s="3"/>
      <c r="R97" s="7">
        <f t="shared" si="16"/>
        <v>4.3716249126778267E-2</v>
      </c>
      <c r="S97" s="3"/>
      <c r="T97" s="8">
        <v>165024.01</v>
      </c>
      <c r="U97" s="3"/>
      <c r="V97" s="7">
        <f t="shared" si="17"/>
        <v>0.11166259293957839</v>
      </c>
      <c r="W97" s="3"/>
      <c r="X97" s="8">
        <f t="shared" si="18"/>
        <v>-21370.869999999995</v>
      </c>
      <c r="Y97" s="3"/>
      <c r="Z97" s="7">
        <f t="shared" si="19"/>
        <v>-0.1295015798004181</v>
      </c>
    </row>
    <row r="98" spans="1:26" s="69" customFormat="1" ht="15" hidden="1" customHeight="1" outlineLevel="2" x14ac:dyDescent="0.3">
      <c r="A98" s="25"/>
      <c r="B98" s="12" t="str">
        <f>CONCATENATE("          ","6004"," - ","STAFF HOURLY")</f>
        <v xml:space="preserve">          6004 - STAFF HOURLY</v>
      </c>
      <c r="C98" s="12"/>
      <c r="D98" s="8">
        <v>9796.66</v>
      </c>
      <c r="E98" s="3"/>
      <c r="F98" s="7">
        <f t="shared" si="12"/>
        <v>1.9235729330602445E-2</v>
      </c>
      <c r="G98" s="3"/>
      <c r="H98" s="8">
        <v>3122.6</v>
      </c>
      <c r="I98" s="3"/>
      <c r="J98" s="7">
        <f t="shared" si="13"/>
        <v>1.8725930304109562E-2</v>
      </c>
      <c r="K98" s="3"/>
      <c r="L98" s="8">
        <f t="shared" si="14"/>
        <v>6674.0599999999995</v>
      </c>
      <c r="M98" s="3"/>
      <c r="N98" s="7">
        <f t="shared" si="15"/>
        <v>2.1373406776404278</v>
      </c>
      <c r="O98" s="12"/>
      <c r="P98" s="8">
        <v>83565.2</v>
      </c>
      <c r="Q98" s="3"/>
      <c r="R98" s="7">
        <f t="shared" si="16"/>
        <v>2.5430402019260077E-2</v>
      </c>
      <c r="S98" s="3"/>
      <c r="T98" s="8">
        <v>52405.99</v>
      </c>
      <c r="U98" s="3"/>
      <c r="V98" s="7">
        <f t="shared" si="17"/>
        <v>3.5460226235961755E-2</v>
      </c>
      <c r="W98" s="3"/>
      <c r="X98" s="8">
        <f t="shared" si="18"/>
        <v>31159.21</v>
      </c>
      <c r="Y98" s="3"/>
      <c r="Z98" s="7">
        <f t="shared" si="19"/>
        <v>0.59457344475316654</v>
      </c>
    </row>
    <row r="99" spans="1:26" s="69" customFormat="1" ht="15" hidden="1" customHeight="1" outlineLevel="2" x14ac:dyDescent="0.3">
      <c r="A99" s="25"/>
      <c r="B99" s="12" t="str">
        <f>CONCATENATE("          ","6005"," - ","TEMPORARY WAGES-HOURLY")</f>
        <v xml:space="preserve">          6005 - TEMPORARY WAGES-HOURLY</v>
      </c>
      <c r="C99" s="12"/>
      <c r="D99" s="8">
        <v>1952.65</v>
      </c>
      <c r="E99" s="3"/>
      <c r="F99" s="7">
        <f t="shared" si="12"/>
        <v>3.8340257677005091E-3</v>
      </c>
      <c r="G99" s="3"/>
      <c r="H99" s="8">
        <v>8360.42</v>
      </c>
      <c r="I99" s="3"/>
      <c r="J99" s="7">
        <f t="shared" si="13"/>
        <v>5.0136630446769893E-2</v>
      </c>
      <c r="K99" s="3"/>
      <c r="L99" s="8">
        <f t="shared" si="14"/>
        <v>-6407.77</v>
      </c>
      <c r="M99" s="3"/>
      <c r="N99" s="7">
        <f t="shared" si="15"/>
        <v>-0.76644115965465853</v>
      </c>
      <c r="O99" s="12"/>
      <c r="P99" s="8">
        <v>28950.58</v>
      </c>
      <c r="Q99" s="3"/>
      <c r="R99" s="7">
        <f t="shared" si="16"/>
        <v>8.8101851977946625E-3</v>
      </c>
      <c r="S99" s="3"/>
      <c r="T99" s="8">
        <v>51840.86</v>
      </c>
      <c r="U99" s="3"/>
      <c r="V99" s="7">
        <f t="shared" si="17"/>
        <v>3.5077834115276145E-2</v>
      </c>
      <c r="W99" s="3"/>
      <c r="X99" s="8">
        <f t="shared" si="18"/>
        <v>-22890.28</v>
      </c>
      <c r="Y99" s="3"/>
      <c r="Z99" s="7">
        <f t="shared" si="19"/>
        <v>-0.44154900208059816</v>
      </c>
    </row>
    <row r="100" spans="1:26" s="69" customFormat="1" ht="15" hidden="1" customHeight="1" outlineLevel="2" x14ac:dyDescent="0.3">
      <c r="A100" s="25"/>
      <c r="B100" s="12" t="str">
        <f>CONCATENATE("          ","6006"," - ","TEMPORARY PART TIME")</f>
        <v xml:space="preserve">          6006 - TEMPORARY PART TIME</v>
      </c>
      <c r="C100" s="12"/>
      <c r="D100" s="8"/>
      <c r="E100" s="3"/>
      <c r="F100" s="7">
        <f t="shared" si="12"/>
        <v>0</v>
      </c>
      <c r="G100" s="3"/>
      <c r="H100" s="8">
        <v>1476.19</v>
      </c>
      <c r="I100" s="3"/>
      <c r="J100" s="7">
        <f t="shared" si="13"/>
        <v>8.8525687105692353E-3</v>
      </c>
      <c r="K100" s="3"/>
      <c r="L100" s="8">
        <f t="shared" si="14"/>
        <v>-1476.19</v>
      </c>
      <c r="M100" s="3"/>
      <c r="N100" s="7">
        <f t="shared" si="15"/>
        <v>-1</v>
      </c>
      <c r="O100" s="12"/>
      <c r="P100" s="8"/>
      <c r="Q100" s="3"/>
      <c r="R100" s="7">
        <f t="shared" si="16"/>
        <v>0</v>
      </c>
      <c r="S100" s="3"/>
      <c r="T100" s="8">
        <v>2770.61</v>
      </c>
      <c r="U100" s="3"/>
      <c r="V100" s="7">
        <f t="shared" si="17"/>
        <v>1.8747180887455424E-3</v>
      </c>
      <c r="W100" s="3"/>
      <c r="X100" s="8">
        <f t="shared" si="18"/>
        <v>-2770.61</v>
      </c>
      <c r="Y100" s="3"/>
      <c r="Z100" s="7">
        <f t="shared" si="19"/>
        <v>-1</v>
      </c>
    </row>
    <row r="101" spans="1:26" s="69" customFormat="1" ht="15" hidden="1" customHeight="1" outlineLevel="2" x14ac:dyDescent="0.3">
      <c r="A101" s="25"/>
      <c r="B101" s="12" t="str">
        <f>CONCATENATE("          ","6007"," - ","STUDENT HOURLY")</f>
        <v xml:space="preserve">          6007 - STUDENT HOURLY</v>
      </c>
      <c r="C101" s="12"/>
      <c r="D101" s="8">
        <v>42859.68</v>
      </c>
      <c r="E101" s="3"/>
      <c r="F101" s="7">
        <f t="shared" si="12"/>
        <v>8.4154926646044168E-2</v>
      </c>
      <c r="G101" s="3"/>
      <c r="H101" s="8">
        <v>8046.35</v>
      </c>
      <c r="I101" s="3"/>
      <c r="J101" s="7">
        <f t="shared" si="13"/>
        <v>4.8253183021351433E-2</v>
      </c>
      <c r="K101" s="3"/>
      <c r="L101" s="8">
        <f t="shared" si="14"/>
        <v>34813.33</v>
      </c>
      <c r="M101" s="3"/>
      <c r="N101" s="7">
        <f t="shared" si="15"/>
        <v>4.3265990169455719</v>
      </c>
      <c r="O101" s="12"/>
      <c r="P101" s="8">
        <v>268295</v>
      </c>
      <c r="Q101" s="3"/>
      <c r="R101" s="7">
        <f t="shared" si="16"/>
        <v>8.1647021843511206E-2</v>
      </c>
      <c r="S101" s="3"/>
      <c r="T101" s="8">
        <v>65498.49</v>
      </c>
      <c r="U101" s="3"/>
      <c r="V101" s="7">
        <f t="shared" si="17"/>
        <v>4.4319194685834173E-2</v>
      </c>
      <c r="W101" s="3"/>
      <c r="X101" s="8">
        <f t="shared" si="18"/>
        <v>202796.51</v>
      </c>
      <c r="Y101" s="3"/>
      <c r="Z101" s="7">
        <f t="shared" si="19"/>
        <v>3.0962013017399337</v>
      </c>
    </row>
    <row r="102" spans="1:26" s="69" customFormat="1" ht="15" hidden="1" customHeight="1" outlineLevel="2" x14ac:dyDescent="0.3">
      <c r="A102" s="25"/>
      <c r="B102" s="12" t="str">
        <f>CONCATENATE("          ","6008"," - ","STUDENT HOURLY-FICA EXEMPT")</f>
        <v xml:space="preserve">          6008 - STUDENT HOURLY-FICA EXEMPT</v>
      </c>
      <c r="C102" s="12"/>
      <c r="D102" s="8">
        <v>8572.74</v>
      </c>
      <c r="E102" s="3"/>
      <c r="F102" s="7">
        <f t="shared" si="12"/>
        <v>1.6832563982176457E-2</v>
      </c>
      <c r="G102" s="3"/>
      <c r="H102" s="8">
        <v>1112.3699999999999</v>
      </c>
      <c r="I102" s="3"/>
      <c r="J102" s="7">
        <f t="shared" si="13"/>
        <v>6.6707753450273334E-3</v>
      </c>
      <c r="K102" s="3"/>
      <c r="L102" s="8">
        <f t="shared" si="14"/>
        <v>7460.37</v>
      </c>
      <c r="M102" s="3"/>
      <c r="N102" s="7">
        <f t="shared" si="15"/>
        <v>6.7067342700720092</v>
      </c>
      <c r="O102" s="12"/>
      <c r="P102" s="8">
        <v>64363.63</v>
      </c>
      <c r="Q102" s="3"/>
      <c r="R102" s="7">
        <f t="shared" si="16"/>
        <v>1.9587016919948835E-2</v>
      </c>
      <c r="S102" s="3"/>
      <c r="T102" s="8">
        <v>7444.36</v>
      </c>
      <c r="U102" s="3"/>
      <c r="V102" s="7">
        <f t="shared" si="17"/>
        <v>5.0371854397168007E-3</v>
      </c>
      <c r="W102" s="3"/>
      <c r="X102" s="8">
        <f t="shared" si="18"/>
        <v>56919.27</v>
      </c>
      <c r="Y102" s="3"/>
      <c r="Z102" s="7">
        <f t="shared" si="19"/>
        <v>7.6459588198313888</v>
      </c>
    </row>
    <row r="103" spans="1:26" s="68" customFormat="1" ht="15" customHeight="1" outlineLevel="1" collapsed="1" x14ac:dyDescent="0.3">
      <c r="A103" s="26"/>
      <c r="B103" s="14" t="str">
        <f>CONCATENATE("     ","Advertising/Promo                                 ")</f>
        <v xml:space="preserve">     Advertising/Promo                                 </v>
      </c>
      <c r="C103" s="14"/>
      <c r="D103" s="2">
        <f>SUM(OSRRefD22_2x_0)</f>
        <v>2355.75</v>
      </c>
      <c r="E103" s="2"/>
      <c r="F103" s="6">
        <f t="shared" si="12"/>
        <v>4.625512100100107E-3</v>
      </c>
      <c r="G103" s="2"/>
      <c r="H103" s="2">
        <f>SUM(OSRRefH22_2x_0)</f>
        <v>42.6</v>
      </c>
      <c r="I103" s="2"/>
      <c r="J103" s="6">
        <f t="shared" si="13"/>
        <v>2.5546808139213073E-4</v>
      </c>
      <c r="K103" s="2"/>
      <c r="L103" s="2">
        <f t="shared" si="14"/>
        <v>2313.15</v>
      </c>
      <c r="M103" s="2"/>
      <c r="N103" s="6">
        <f t="shared" si="15"/>
        <v>54.299295774647888</v>
      </c>
      <c r="O103" s="14"/>
      <c r="P103" s="2">
        <f>SUM(OSRRefP22_2x_0)</f>
        <v>6707.24</v>
      </c>
      <c r="Q103" s="2"/>
      <c r="R103" s="6">
        <f t="shared" si="16"/>
        <v>2.0411344631456872E-3</v>
      </c>
      <c r="S103" s="2"/>
      <c r="T103" s="2">
        <f>SUM(OSRRefT22_2x_0)</f>
        <v>13842.12</v>
      </c>
      <c r="U103" s="2"/>
      <c r="V103" s="6">
        <f t="shared" si="17"/>
        <v>9.3661947190641949E-3</v>
      </c>
      <c r="W103" s="2"/>
      <c r="X103" s="2">
        <f t="shared" si="18"/>
        <v>-7134.880000000001</v>
      </c>
      <c r="Y103" s="2"/>
      <c r="Z103" s="6">
        <f t="shared" si="19"/>
        <v>-0.51544705579781136</v>
      </c>
    </row>
    <row r="104" spans="1:26" s="69" customFormat="1" ht="15" hidden="1" customHeight="1" outlineLevel="2" x14ac:dyDescent="0.3">
      <c r="A104" s="25"/>
      <c r="B104" s="12" t="str">
        <f>CONCATENATE("          ","6362"," - ","ADVERTISING EXPENSE")</f>
        <v xml:space="preserve">          6362 - ADVERTISING EXPENSE</v>
      </c>
      <c r="C104" s="12"/>
      <c r="D104" s="8">
        <v>2355.75</v>
      </c>
      <c r="E104" s="3"/>
      <c r="F104" s="7">
        <f t="shared" si="12"/>
        <v>4.625512100100107E-3</v>
      </c>
      <c r="G104" s="3"/>
      <c r="H104" s="8">
        <v>42.6</v>
      </c>
      <c r="I104" s="3"/>
      <c r="J104" s="7">
        <f t="shared" si="13"/>
        <v>2.5546808139213073E-4</v>
      </c>
      <c r="K104" s="3"/>
      <c r="L104" s="8">
        <f t="shared" si="14"/>
        <v>2313.15</v>
      </c>
      <c r="M104" s="3"/>
      <c r="N104" s="7">
        <f t="shared" si="15"/>
        <v>54.299295774647888</v>
      </c>
      <c r="O104" s="12"/>
      <c r="P104" s="8">
        <v>6707.24</v>
      </c>
      <c r="Q104" s="3"/>
      <c r="R104" s="7">
        <f t="shared" si="16"/>
        <v>2.0411344631456872E-3</v>
      </c>
      <c r="S104" s="3"/>
      <c r="T104" s="8">
        <v>13842.12</v>
      </c>
      <c r="U104" s="3"/>
      <c r="V104" s="7">
        <f t="shared" si="17"/>
        <v>9.3661947190641949E-3</v>
      </c>
      <c r="W104" s="3"/>
      <c r="X104" s="8">
        <f t="shared" si="18"/>
        <v>-7134.880000000001</v>
      </c>
      <c r="Y104" s="3"/>
      <c r="Z104" s="7">
        <f t="shared" si="19"/>
        <v>-0.51544705579781136</v>
      </c>
    </row>
    <row r="105" spans="1:26" s="68" customFormat="1" ht="15" customHeight="1" outlineLevel="1" collapsed="1" x14ac:dyDescent="0.3">
      <c r="A105" s="26"/>
      <c r="B105" s="14" t="str">
        <f>CONCATENATE("     ","Bad Debts/Over/Short                              ")</f>
        <v xml:space="preserve">     Bad Debts/Over/Short                              </v>
      </c>
      <c r="C105" s="14"/>
      <c r="D105" s="2">
        <f>SUM(OSRRefD22_3x_0)</f>
        <v>-15.08</v>
      </c>
      <c r="E105" s="2"/>
      <c r="F105" s="6">
        <f t="shared" si="12"/>
        <v>-2.9609560636531723E-5</v>
      </c>
      <c r="G105" s="2"/>
      <c r="H105" s="2">
        <f>SUM(OSRRefH22_3x_0)</f>
        <v>-20.41</v>
      </c>
      <c r="I105" s="2"/>
      <c r="J105" s="6">
        <f t="shared" si="13"/>
        <v>-1.2239679674209831E-4</v>
      </c>
      <c r="K105" s="2"/>
      <c r="L105" s="2">
        <f t="shared" si="14"/>
        <v>5.33</v>
      </c>
      <c r="M105" s="2"/>
      <c r="N105" s="6">
        <f t="shared" si="15"/>
        <v>-0.26114649681528662</v>
      </c>
      <c r="O105" s="14"/>
      <c r="P105" s="2">
        <f>SUM(OSRRefP22_3x_0)</f>
        <v>-48.48</v>
      </c>
      <c r="Q105" s="2"/>
      <c r="R105" s="6">
        <f t="shared" si="16"/>
        <v>-1.4753340982774271E-5</v>
      </c>
      <c r="S105" s="2"/>
      <c r="T105" s="2">
        <f>SUM(OSRRefT22_3x_0)</f>
        <v>-23.36</v>
      </c>
      <c r="U105" s="2"/>
      <c r="V105" s="6">
        <f t="shared" si="17"/>
        <v>-1.5806416115258327E-5</v>
      </c>
      <c r="W105" s="2"/>
      <c r="X105" s="2">
        <f t="shared" si="18"/>
        <v>-25.119999999999997</v>
      </c>
      <c r="Y105" s="2"/>
      <c r="Z105" s="6">
        <f t="shared" si="19"/>
        <v>1.0753424657534245</v>
      </c>
    </row>
    <row r="106" spans="1:26" s="69" customFormat="1" ht="15" hidden="1" customHeight="1" outlineLevel="2" x14ac:dyDescent="0.3">
      <c r="A106" s="25"/>
      <c r="B106" s="12" t="str">
        <f>CONCATENATE("          ","6272"," - ","CASH (OVER/SHORT)")</f>
        <v xml:space="preserve">          6272 - CASH (OVER/SHORT)</v>
      </c>
      <c r="C106" s="12"/>
      <c r="D106" s="8">
        <v>-15.08</v>
      </c>
      <c r="E106" s="3"/>
      <c r="F106" s="7">
        <f t="shared" si="12"/>
        <v>-2.9609560636531723E-5</v>
      </c>
      <c r="G106" s="3"/>
      <c r="H106" s="8">
        <v>-20.41</v>
      </c>
      <c r="I106" s="3"/>
      <c r="J106" s="7">
        <f t="shared" si="13"/>
        <v>-1.2239679674209831E-4</v>
      </c>
      <c r="K106" s="3"/>
      <c r="L106" s="8">
        <f t="shared" si="14"/>
        <v>5.33</v>
      </c>
      <c r="M106" s="3"/>
      <c r="N106" s="7">
        <f t="shared" si="15"/>
        <v>-0.26114649681528662</v>
      </c>
      <c r="O106" s="12"/>
      <c r="P106" s="8">
        <v>-48.48</v>
      </c>
      <c r="Q106" s="3"/>
      <c r="R106" s="7">
        <f t="shared" si="16"/>
        <v>-1.4753340982774271E-5</v>
      </c>
      <c r="S106" s="3"/>
      <c r="T106" s="8">
        <v>-23.36</v>
      </c>
      <c r="U106" s="3"/>
      <c r="V106" s="7">
        <f t="shared" si="17"/>
        <v>-1.5806416115258327E-5</v>
      </c>
      <c r="W106" s="3"/>
      <c r="X106" s="8">
        <f t="shared" si="18"/>
        <v>-25.119999999999997</v>
      </c>
      <c r="Y106" s="3"/>
      <c r="Z106" s="7">
        <f t="shared" si="19"/>
        <v>1.0753424657534245</v>
      </c>
    </row>
    <row r="107" spans="1:26" s="68" customFormat="1" ht="15" customHeight="1" outlineLevel="1" collapsed="1" x14ac:dyDescent="0.3">
      <c r="A107" s="26"/>
      <c r="B107" s="14" t="str">
        <f>CONCATENATE("     ","Bank/card Fees                                    ")</f>
        <v xml:space="preserve">     Bank/card Fees                                    </v>
      </c>
      <c r="C107" s="14"/>
      <c r="D107" s="2">
        <f>SUM(OSRRefD22_4x_0)</f>
        <v>508.74</v>
      </c>
      <c r="E107" s="2"/>
      <c r="F107" s="6">
        <f t="shared" si="12"/>
        <v>9.9891033675259607E-4</v>
      </c>
      <c r="G107" s="2"/>
      <c r="H107" s="2">
        <f>SUM(OSRRefH22_4x_0)</f>
        <v>470.17</v>
      </c>
      <c r="I107" s="2"/>
      <c r="J107" s="6">
        <f t="shared" si="13"/>
        <v>2.8195640335243687E-3</v>
      </c>
      <c r="K107" s="2"/>
      <c r="L107" s="2">
        <f t="shared" si="14"/>
        <v>38.569999999999993</v>
      </c>
      <c r="M107" s="2"/>
      <c r="N107" s="6">
        <f t="shared" si="15"/>
        <v>8.2034157857796094E-2</v>
      </c>
      <c r="O107" s="14"/>
      <c r="P107" s="2">
        <f>SUM(OSRRefP22_4x_0)</f>
        <v>4774.95</v>
      </c>
      <c r="Q107" s="2"/>
      <c r="R107" s="6">
        <f t="shared" si="16"/>
        <v>1.4531036618337047E-3</v>
      </c>
      <c r="S107" s="2"/>
      <c r="T107" s="2">
        <f>SUM(OSRRefT22_4x_0)</f>
        <v>3337.9</v>
      </c>
      <c r="U107" s="2"/>
      <c r="V107" s="6">
        <f t="shared" si="17"/>
        <v>2.2585717616061974E-3</v>
      </c>
      <c r="W107" s="2"/>
      <c r="X107" s="2">
        <f t="shared" si="18"/>
        <v>1437.0499999999997</v>
      </c>
      <c r="Y107" s="2"/>
      <c r="Z107" s="6">
        <f t="shared" si="19"/>
        <v>0.43052518050271121</v>
      </c>
    </row>
    <row r="108" spans="1:26" s="69" customFormat="1" ht="15" hidden="1" customHeight="1" outlineLevel="2" x14ac:dyDescent="0.3">
      <c r="A108" s="25"/>
      <c r="B108" s="12" t="str">
        <f>CONCATENATE("          ","6381"," - ","BANK/CREDIT CARD FEES")</f>
        <v xml:space="preserve">          6381 - BANK/CREDIT CARD FEES</v>
      </c>
      <c r="C108" s="12"/>
      <c r="D108" s="8">
        <v>508.74</v>
      </c>
      <c r="E108" s="3"/>
      <c r="F108" s="7">
        <f t="shared" si="12"/>
        <v>9.9891033675259607E-4</v>
      </c>
      <c r="G108" s="3"/>
      <c r="H108" s="8">
        <v>470.17</v>
      </c>
      <c r="I108" s="3"/>
      <c r="J108" s="7">
        <f t="shared" si="13"/>
        <v>2.8195640335243687E-3</v>
      </c>
      <c r="K108" s="3"/>
      <c r="L108" s="8">
        <f t="shared" si="14"/>
        <v>38.569999999999993</v>
      </c>
      <c r="M108" s="3"/>
      <c r="N108" s="7">
        <f t="shared" si="15"/>
        <v>8.2034157857796094E-2</v>
      </c>
      <c r="O108" s="12"/>
      <c r="P108" s="8">
        <v>4774.95</v>
      </c>
      <c r="Q108" s="3"/>
      <c r="R108" s="7">
        <f t="shared" si="16"/>
        <v>1.4531036618337047E-3</v>
      </c>
      <c r="S108" s="3"/>
      <c r="T108" s="8">
        <v>3337.9</v>
      </c>
      <c r="U108" s="3"/>
      <c r="V108" s="7">
        <f t="shared" si="17"/>
        <v>2.2585717616061974E-3</v>
      </c>
      <c r="W108" s="3"/>
      <c r="X108" s="8">
        <f t="shared" si="18"/>
        <v>1437.0499999999997</v>
      </c>
      <c r="Y108" s="3"/>
      <c r="Z108" s="7">
        <f t="shared" si="19"/>
        <v>0.43052518050271121</v>
      </c>
    </row>
    <row r="109" spans="1:26" s="68" customFormat="1" ht="15" customHeight="1" outlineLevel="1" collapsed="1" x14ac:dyDescent="0.3">
      <c r="A109" s="26"/>
      <c r="B109" s="14" t="str">
        <f>CONCATENATE("     ","Discounts and Markdowns                           ")</f>
        <v xml:space="preserve">     Discounts and Markdowns                           </v>
      </c>
      <c r="C109" s="14"/>
      <c r="D109" s="2">
        <f>SUM(OSRRefD22_5x_0)</f>
        <v>0</v>
      </c>
      <c r="E109" s="2"/>
      <c r="F109" s="6">
        <f t="shared" si="12"/>
        <v>0</v>
      </c>
      <c r="G109" s="2"/>
      <c r="H109" s="2">
        <f>SUM(OSRRefH22_5x_0)</f>
        <v>0</v>
      </c>
      <c r="I109" s="2"/>
      <c r="J109" s="6">
        <f t="shared" si="13"/>
        <v>0</v>
      </c>
      <c r="K109" s="2"/>
      <c r="L109" s="2">
        <f t="shared" si="14"/>
        <v>0</v>
      </c>
      <c r="M109" s="2"/>
      <c r="N109" s="6">
        <f t="shared" si="15"/>
        <v>0</v>
      </c>
      <c r="O109" s="14"/>
      <c r="P109" s="2">
        <f>SUM(OSRRefP22_5x_0)</f>
        <v>0</v>
      </c>
      <c r="Q109" s="2"/>
      <c r="R109" s="6">
        <f t="shared" si="16"/>
        <v>0</v>
      </c>
      <c r="S109" s="2"/>
      <c r="T109" s="2">
        <f>SUM(OSRRefT22_5x_0)</f>
        <v>0</v>
      </c>
      <c r="U109" s="2"/>
      <c r="V109" s="6">
        <f t="shared" si="17"/>
        <v>0</v>
      </c>
      <c r="W109" s="2"/>
      <c r="X109" s="2">
        <f t="shared" si="18"/>
        <v>0</v>
      </c>
      <c r="Y109" s="2"/>
      <c r="Z109" s="6">
        <f t="shared" si="19"/>
        <v>0</v>
      </c>
    </row>
    <row r="110" spans="1:26" s="69" customFormat="1" ht="15" hidden="1" customHeight="1" outlineLevel="2" x14ac:dyDescent="0.3">
      <c r="A110" s="25"/>
      <c r="B110" s="12" t="str">
        <f>CONCATENATE("          ","6382"," - ","DISCOUNTS/MARK DOWNS")</f>
        <v xml:space="preserve">          6382 - DISCOUNTS/MARK DOWNS</v>
      </c>
      <c r="C110" s="12"/>
      <c r="D110" s="8"/>
      <c r="E110" s="3"/>
      <c r="F110" s="7">
        <f t="shared" si="12"/>
        <v>0</v>
      </c>
      <c r="G110" s="3"/>
      <c r="H110" s="8">
        <v>0</v>
      </c>
      <c r="I110" s="3"/>
      <c r="J110" s="7">
        <f t="shared" si="13"/>
        <v>0</v>
      </c>
      <c r="K110" s="3"/>
      <c r="L110" s="8">
        <f t="shared" si="14"/>
        <v>0</v>
      </c>
      <c r="M110" s="3"/>
      <c r="N110" s="7">
        <f t="shared" si="15"/>
        <v>0</v>
      </c>
      <c r="O110" s="12"/>
      <c r="P110" s="8"/>
      <c r="Q110" s="3"/>
      <c r="R110" s="7">
        <f t="shared" si="16"/>
        <v>0</v>
      </c>
      <c r="S110" s="3"/>
      <c r="T110" s="8">
        <v>0</v>
      </c>
      <c r="U110" s="3"/>
      <c r="V110" s="7">
        <f t="shared" si="17"/>
        <v>0</v>
      </c>
      <c r="W110" s="3"/>
      <c r="X110" s="8">
        <f t="shared" si="18"/>
        <v>0</v>
      </c>
      <c r="Y110" s="3"/>
      <c r="Z110" s="7">
        <f t="shared" si="19"/>
        <v>0</v>
      </c>
    </row>
    <row r="111" spans="1:26" s="69" customFormat="1" ht="15" hidden="1" customHeight="1" outlineLevel="2" x14ac:dyDescent="0.3">
      <c r="A111" s="25"/>
      <c r="B111" s="12" t="str">
        <f>CONCATENATE("          ","9175"," - ","EARNED DISCOUNTS")</f>
        <v xml:space="preserve">          9175 - EARNED DISCOUNTS</v>
      </c>
      <c r="C111" s="12"/>
      <c r="D111" s="8"/>
      <c r="E111" s="3"/>
      <c r="F111" s="7">
        <f t="shared" si="12"/>
        <v>0</v>
      </c>
      <c r="G111" s="3"/>
      <c r="H111" s="8"/>
      <c r="I111" s="3"/>
      <c r="J111" s="7">
        <f t="shared" si="13"/>
        <v>0</v>
      </c>
      <c r="K111" s="3"/>
      <c r="L111" s="8">
        <f t="shared" si="14"/>
        <v>0</v>
      </c>
      <c r="M111" s="3"/>
      <c r="N111" s="7">
        <f t="shared" si="15"/>
        <v>0</v>
      </c>
      <c r="O111" s="12"/>
      <c r="P111" s="8">
        <v>0</v>
      </c>
      <c r="Q111" s="3"/>
      <c r="R111" s="7">
        <f t="shared" si="16"/>
        <v>0</v>
      </c>
      <c r="S111" s="3"/>
      <c r="T111" s="8"/>
      <c r="U111" s="3"/>
      <c r="V111" s="7">
        <f t="shared" si="17"/>
        <v>0</v>
      </c>
      <c r="W111" s="3"/>
      <c r="X111" s="8">
        <f t="shared" si="18"/>
        <v>0</v>
      </c>
      <c r="Y111" s="3"/>
      <c r="Z111" s="7">
        <f t="shared" si="19"/>
        <v>0</v>
      </c>
    </row>
    <row r="112" spans="1:26" s="68" customFormat="1" ht="15" customHeight="1" outlineLevel="1" collapsed="1" x14ac:dyDescent="0.3">
      <c r="A112" s="26"/>
      <c r="B112" s="14" t="str">
        <f>CONCATENATE("     ","Employees' Appreciation                           ")</f>
        <v xml:space="preserve">     Employees' Appreciation                           </v>
      </c>
      <c r="C112" s="14"/>
      <c r="D112" s="2">
        <f>SUM(OSRRefD22_6x_0)</f>
        <v>74.69</v>
      </c>
      <c r="E112" s="2"/>
      <c r="F112" s="6">
        <f t="shared" si="12"/>
        <v>1.4665371909433386E-4</v>
      </c>
      <c r="G112" s="2"/>
      <c r="H112" s="2">
        <f>SUM(OSRRefH22_6x_0)</f>
        <v>0</v>
      </c>
      <c r="I112" s="2"/>
      <c r="J112" s="6">
        <f t="shared" si="13"/>
        <v>0</v>
      </c>
      <c r="K112" s="2"/>
      <c r="L112" s="2">
        <f t="shared" si="14"/>
        <v>74.69</v>
      </c>
      <c r="M112" s="2"/>
      <c r="N112" s="6">
        <f t="shared" si="15"/>
        <v>0</v>
      </c>
      <c r="O112" s="14"/>
      <c r="P112" s="2">
        <f>SUM(OSRRefP22_6x_0)</f>
        <v>291.13</v>
      </c>
      <c r="Q112" s="2"/>
      <c r="R112" s="6">
        <f t="shared" si="16"/>
        <v>8.8596125419040296E-5</v>
      </c>
      <c r="S112" s="2"/>
      <c r="T112" s="2">
        <f>SUM(OSRRefT22_6x_0)</f>
        <v>0</v>
      </c>
      <c r="U112" s="2"/>
      <c r="V112" s="6">
        <f t="shared" si="17"/>
        <v>0</v>
      </c>
      <c r="W112" s="2"/>
      <c r="X112" s="2">
        <f t="shared" si="18"/>
        <v>291.13</v>
      </c>
      <c r="Y112" s="2"/>
      <c r="Z112" s="6">
        <f t="shared" si="19"/>
        <v>0</v>
      </c>
    </row>
    <row r="113" spans="1:26" s="69" customFormat="1" ht="15" hidden="1" customHeight="1" outlineLevel="2" x14ac:dyDescent="0.3">
      <c r="A113" s="25"/>
      <c r="B113" s="12" t="str">
        <f>CONCATENATE("          ","6277"," - ","EMPLOYEE APPRECIATION")</f>
        <v xml:space="preserve">          6277 - EMPLOYEE APPRECIATION</v>
      </c>
      <c r="C113" s="12"/>
      <c r="D113" s="8">
        <v>74.69</v>
      </c>
      <c r="E113" s="3"/>
      <c r="F113" s="7">
        <f t="shared" si="12"/>
        <v>1.4665371909433386E-4</v>
      </c>
      <c r="G113" s="3"/>
      <c r="H113" s="8"/>
      <c r="I113" s="3"/>
      <c r="J113" s="7">
        <f t="shared" si="13"/>
        <v>0</v>
      </c>
      <c r="K113" s="3"/>
      <c r="L113" s="8">
        <f t="shared" si="14"/>
        <v>74.69</v>
      </c>
      <c r="M113" s="3"/>
      <c r="N113" s="7">
        <f t="shared" si="15"/>
        <v>0</v>
      </c>
      <c r="O113" s="12"/>
      <c r="P113" s="8">
        <v>291.13</v>
      </c>
      <c r="Q113" s="3"/>
      <c r="R113" s="7">
        <f t="shared" si="16"/>
        <v>8.8596125419040296E-5</v>
      </c>
      <c r="S113" s="3"/>
      <c r="T113" s="8"/>
      <c r="U113" s="3"/>
      <c r="V113" s="7">
        <f t="shared" si="17"/>
        <v>0</v>
      </c>
      <c r="W113" s="3"/>
      <c r="X113" s="8">
        <f t="shared" si="18"/>
        <v>291.13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6"/>
      <c r="B114" s="14" t="str">
        <f>CONCATENATE("     ","Equipment Rental                                  ")</f>
        <v xml:space="preserve">     Equipment Rental                                  </v>
      </c>
      <c r="C114" s="14"/>
      <c r="D114" s="2">
        <f>SUM(OSRRefD22_7x_0)</f>
        <v>0</v>
      </c>
      <c r="E114" s="2"/>
      <c r="F114" s="6">
        <f t="shared" si="12"/>
        <v>0</v>
      </c>
      <c r="G114" s="2"/>
      <c r="H114" s="2">
        <f>SUM(OSRRefH22_7x_0)</f>
        <v>0</v>
      </c>
      <c r="I114" s="2"/>
      <c r="J114" s="6">
        <f t="shared" si="13"/>
        <v>0</v>
      </c>
      <c r="K114" s="2"/>
      <c r="L114" s="2">
        <f t="shared" si="14"/>
        <v>0</v>
      </c>
      <c r="M114" s="2"/>
      <c r="N114" s="6">
        <f t="shared" si="15"/>
        <v>0</v>
      </c>
      <c r="O114" s="14"/>
      <c r="P114" s="2">
        <f>SUM(OSRRefP22_7x_0)</f>
        <v>118.91</v>
      </c>
      <c r="Q114" s="2"/>
      <c r="R114" s="6">
        <f t="shared" si="16"/>
        <v>3.6186464031800508E-5</v>
      </c>
      <c r="S114" s="2"/>
      <c r="T114" s="2">
        <f>SUM(OSRRefT22_7x_0)</f>
        <v>0</v>
      </c>
      <c r="U114" s="2"/>
      <c r="V114" s="6">
        <f t="shared" si="17"/>
        <v>0</v>
      </c>
      <c r="W114" s="2"/>
      <c r="X114" s="2">
        <f t="shared" si="18"/>
        <v>118.91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5"/>
      <c r="B115" s="12" t="str">
        <f>CONCATENATE("          ","6351"," - ","EQUIPMENT RENTAL")</f>
        <v xml:space="preserve">          6351 - EQUIPMENT RENTAL</v>
      </c>
      <c r="C115" s="12"/>
      <c r="D115" s="8"/>
      <c r="E115" s="3"/>
      <c r="F115" s="7">
        <f t="shared" si="12"/>
        <v>0</v>
      </c>
      <c r="G115" s="3"/>
      <c r="H115" s="8"/>
      <c r="I115" s="3"/>
      <c r="J115" s="7">
        <f t="shared" si="13"/>
        <v>0</v>
      </c>
      <c r="K115" s="3"/>
      <c r="L115" s="8">
        <f t="shared" si="14"/>
        <v>0</v>
      </c>
      <c r="M115" s="3"/>
      <c r="N115" s="7">
        <f t="shared" si="15"/>
        <v>0</v>
      </c>
      <c r="O115" s="12"/>
      <c r="P115" s="8">
        <v>118.91</v>
      </c>
      <c r="Q115" s="3"/>
      <c r="R115" s="7">
        <f t="shared" si="16"/>
        <v>3.6186464031800508E-5</v>
      </c>
      <c r="S115" s="3"/>
      <c r="T115" s="8"/>
      <c r="U115" s="3"/>
      <c r="V115" s="7">
        <f t="shared" si="17"/>
        <v>0</v>
      </c>
      <c r="W115" s="3"/>
      <c r="X115" s="8">
        <f t="shared" si="18"/>
        <v>118.91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6"/>
      <c r="B116" s="14" t="str">
        <f>CONCATENATE("     ","Freight out/Postage                               ")</f>
        <v xml:space="preserve">     Freight out/Postage                               </v>
      </c>
      <c r="C116" s="14"/>
      <c r="D116" s="2">
        <f>SUM(OSRRefD22_8x_0)</f>
        <v>0</v>
      </c>
      <c r="E116" s="2"/>
      <c r="F116" s="6">
        <f t="shared" si="12"/>
        <v>0</v>
      </c>
      <c r="G116" s="2"/>
      <c r="H116" s="2">
        <f>SUM(OSRRefH22_8x_0)</f>
        <v>-502.63</v>
      </c>
      <c r="I116" s="2"/>
      <c r="J116" s="6">
        <f t="shared" si="13"/>
        <v>-3.0142235152611891E-3</v>
      </c>
      <c r="K116" s="2"/>
      <c r="L116" s="2">
        <f t="shared" si="14"/>
        <v>502.63</v>
      </c>
      <c r="M116" s="2"/>
      <c r="N116" s="6">
        <f t="shared" si="15"/>
        <v>-1</v>
      </c>
      <c r="O116" s="14"/>
      <c r="P116" s="2">
        <f>SUM(OSRRefP22_8x_0)</f>
        <v>929.29</v>
      </c>
      <c r="Q116" s="2"/>
      <c r="R116" s="6">
        <f t="shared" si="16"/>
        <v>2.8279975746456896E-4</v>
      </c>
      <c r="S116" s="2"/>
      <c r="T116" s="2">
        <f>SUM(OSRRefT22_8x_0)</f>
        <v>-216.09999999999997</v>
      </c>
      <c r="U116" s="2"/>
      <c r="V116" s="6">
        <f t="shared" si="17"/>
        <v>-1.4622288195664912E-4</v>
      </c>
      <c r="W116" s="2"/>
      <c r="X116" s="2">
        <f t="shared" si="18"/>
        <v>1145.3899999999999</v>
      </c>
      <c r="Y116" s="2"/>
      <c r="Z116" s="6">
        <f t="shared" si="19"/>
        <v>-5.3002776492364649</v>
      </c>
    </row>
    <row r="117" spans="1:26" s="69" customFormat="1" ht="15" hidden="1" customHeight="1" outlineLevel="2" x14ac:dyDescent="0.3">
      <c r="A117" s="25"/>
      <c r="B117" s="12" t="str">
        <f>CONCATENATE("          ","6305"," - ","FREIGHT OUT")</f>
        <v xml:space="preserve">          6305 - FREIGHT OUT</v>
      </c>
      <c r="C117" s="12"/>
      <c r="D117" s="8"/>
      <c r="E117" s="3"/>
      <c r="F117" s="7">
        <f t="shared" si="12"/>
        <v>0</v>
      </c>
      <c r="G117" s="3"/>
      <c r="H117" s="8">
        <v>-233.44</v>
      </c>
      <c r="I117" s="3"/>
      <c r="J117" s="7">
        <f t="shared" si="13"/>
        <v>-1.3999171108023238E-3</v>
      </c>
      <c r="K117" s="3"/>
      <c r="L117" s="8">
        <f t="shared" si="14"/>
        <v>233.44</v>
      </c>
      <c r="M117" s="3"/>
      <c r="N117" s="7">
        <f t="shared" si="15"/>
        <v>-1</v>
      </c>
      <c r="O117" s="12"/>
      <c r="P117" s="8">
        <v>893.87</v>
      </c>
      <c r="Q117" s="3"/>
      <c r="R117" s="7">
        <f t="shared" si="16"/>
        <v>2.7202081073169222E-4</v>
      </c>
      <c r="S117" s="3"/>
      <c r="T117" s="8">
        <v>73.239999999999995</v>
      </c>
      <c r="U117" s="3"/>
      <c r="V117" s="7">
        <f t="shared" si="17"/>
        <v>4.955744504629793E-5</v>
      </c>
      <c r="W117" s="3"/>
      <c r="X117" s="8">
        <f t="shared" si="18"/>
        <v>820.63</v>
      </c>
      <c r="Y117" s="3"/>
      <c r="Z117" s="7">
        <f t="shared" si="19"/>
        <v>11.204669579464774</v>
      </c>
    </row>
    <row r="118" spans="1:26" s="69" customFormat="1" ht="15" hidden="1" customHeight="1" outlineLevel="2" x14ac:dyDescent="0.3">
      <c r="A118" s="25"/>
      <c r="B118" s="12" t="str">
        <f>CONCATENATE("          ","6307"," - ","POSTAGE")</f>
        <v xml:space="preserve">          6307 - POSTAGE</v>
      </c>
      <c r="C118" s="12"/>
      <c r="D118" s="8"/>
      <c r="E118" s="3"/>
      <c r="F118" s="7">
        <f t="shared" ref="F118:F149" si="20">IF(D$12=0,0,D118/D$12)</f>
        <v>0</v>
      </c>
      <c r="G118" s="3"/>
      <c r="H118" s="8">
        <v>-269.19</v>
      </c>
      <c r="I118" s="3"/>
      <c r="J118" s="7">
        <f t="shared" ref="J118:J149" si="21">IF(H$12=0,0,H118/H$12)</f>
        <v>-1.6143064044588655E-3</v>
      </c>
      <c r="K118" s="3"/>
      <c r="L118" s="8">
        <f t="shared" ref="L118:L149" si="22">+D118-H118</f>
        <v>269.19</v>
      </c>
      <c r="M118" s="3"/>
      <c r="N118" s="7">
        <f t="shared" ref="N118:N149" si="23">IF(H118=0,0,L118/H118)</f>
        <v>-1</v>
      </c>
      <c r="O118" s="12"/>
      <c r="P118" s="8">
        <v>35.42</v>
      </c>
      <c r="Q118" s="3"/>
      <c r="R118" s="7">
        <f t="shared" ref="R118:R149" si="24">IF(P$12=0,0,P118/P$12)</f>
        <v>1.0778946732876749E-5</v>
      </c>
      <c r="S118" s="3"/>
      <c r="T118" s="8">
        <v>-289.33999999999997</v>
      </c>
      <c r="U118" s="3"/>
      <c r="V118" s="7">
        <f t="shared" ref="V118:V149" si="25">IF(T$12=0,0,T118/T$12)</f>
        <v>-1.9578032700294707E-4</v>
      </c>
      <c r="W118" s="3"/>
      <c r="X118" s="8">
        <f t="shared" ref="X118:X149" si="26">+P118-T118</f>
        <v>324.76</v>
      </c>
      <c r="Y118" s="3"/>
      <c r="Z118" s="7">
        <f t="shared" ref="Z118:Z149" si="27">IF(T118=0,0,X118/T118)</f>
        <v>-1.1224165341812402</v>
      </c>
    </row>
    <row r="119" spans="1:26" s="68" customFormat="1" ht="15" customHeight="1" outlineLevel="1" collapsed="1" x14ac:dyDescent="0.3">
      <c r="A119" s="26"/>
      <c r="B119" s="14" t="str">
        <f>CONCATENATE("     ","General                                           ")</f>
        <v xml:space="preserve">     General                                           </v>
      </c>
      <c r="C119" s="14"/>
      <c r="D119" s="2">
        <f>SUM(OSRRefD22_9x_0)</f>
        <v>119.1</v>
      </c>
      <c r="E119" s="2"/>
      <c r="F119" s="6">
        <f t="shared" si="20"/>
        <v>2.3385269706969021E-4</v>
      </c>
      <c r="G119" s="2"/>
      <c r="H119" s="2">
        <f>SUM(OSRRefH22_9x_0)</f>
        <v>0</v>
      </c>
      <c r="I119" s="2"/>
      <c r="J119" s="6">
        <f t="shared" si="21"/>
        <v>0</v>
      </c>
      <c r="K119" s="2"/>
      <c r="L119" s="2">
        <f t="shared" si="22"/>
        <v>119.1</v>
      </c>
      <c r="M119" s="2"/>
      <c r="N119" s="6">
        <f t="shared" si="23"/>
        <v>0</v>
      </c>
      <c r="O119" s="14"/>
      <c r="P119" s="2">
        <f>SUM(OSRRefP22_9x_0)</f>
        <v>2571.3000000000002</v>
      </c>
      <c r="Q119" s="2"/>
      <c r="R119" s="6">
        <f t="shared" si="24"/>
        <v>7.8249310373365284E-4</v>
      </c>
      <c r="S119" s="2"/>
      <c r="T119" s="2">
        <f>SUM(OSRRefT22_9x_0)</f>
        <v>1285.46</v>
      </c>
      <c r="U119" s="2"/>
      <c r="V119" s="6">
        <f t="shared" si="25"/>
        <v>8.6979947172602606E-4</v>
      </c>
      <c r="W119" s="2"/>
      <c r="X119" s="2">
        <f t="shared" si="26"/>
        <v>1285.8400000000001</v>
      </c>
      <c r="Y119" s="2"/>
      <c r="Z119" s="6">
        <f t="shared" si="27"/>
        <v>1.0002956140214398</v>
      </c>
    </row>
    <row r="120" spans="1:26" s="69" customFormat="1" ht="15" hidden="1" customHeight="1" outlineLevel="2" x14ac:dyDescent="0.3">
      <c r="A120" s="25"/>
      <c r="B120" s="12" t="str">
        <f>CONCATENATE("          ","6279"," - ","GENERAL EXPENSE")</f>
        <v xml:space="preserve">          6279 - GENERAL EXPENSE</v>
      </c>
      <c r="C120" s="12"/>
      <c r="D120" s="8">
        <v>119.1</v>
      </c>
      <c r="E120" s="3"/>
      <c r="F120" s="7">
        <f t="shared" si="20"/>
        <v>2.3385269706969021E-4</v>
      </c>
      <c r="G120" s="3"/>
      <c r="H120" s="8"/>
      <c r="I120" s="3"/>
      <c r="J120" s="7">
        <f t="shared" si="21"/>
        <v>0</v>
      </c>
      <c r="K120" s="3"/>
      <c r="L120" s="8">
        <f t="shared" si="22"/>
        <v>119.1</v>
      </c>
      <c r="M120" s="3"/>
      <c r="N120" s="7">
        <f t="shared" si="23"/>
        <v>0</v>
      </c>
      <c r="O120" s="12"/>
      <c r="P120" s="8">
        <v>2571.3000000000002</v>
      </c>
      <c r="Q120" s="3"/>
      <c r="R120" s="7">
        <f t="shared" si="24"/>
        <v>7.8249310373365284E-4</v>
      </c>
      <c r="S120" s="3"/>
      <c r="T120" s="8">
        <v>1285.46</v>
      </c>
      <c r="U120" s="3"/>
      <c r="V120" s="7">
        <f t="shared" si="25"/>
        <v>8.6979947172602606E-4</v>
      </c>
      <c r="W120" s="3"/>
      <c r="X120" s="8">
        <f t="shared" si="26"/>
        <v>1285.8400000000001</v>
      </c>
      <c r="Y120" s="3"/>
      <c r="Z120" s="7">
        <f t="shared" si="27"/>
        <v>1.0002956140214398</v>
      </c>
    </row>
    <row r="121" spans="1:26" s="68" customFormat="1" ht="15" customHeight="1" outlineLevel="1" collapsed="1" x14ac:dyDescent="0.3">
      <c r="A121" s="26"/>
      <c r="B121" s="14" t="str">
        <f>CONCATENATE("     ","Insurance                                         ")</f>
        <v xml:space="preserve">     Insurance                                         </v>
      </c>
      <c r="C121" s="14"/>
      <c r="D121" s="2">
        <f>SUM(OSRRefD22_10x_0)</f>
        <v>219.08</v>
      </c>
      <c r="E121" s="2"/>
      <c r="F121" s="6">
        <f t="shared" si="20"/>
        <v>4.3016329869040922E-4</v>
      </c>
      <c r="G121" s="2"/>
      <c r="H121" s="2">
        <f>SUM(OSRRefH22_10x_0)</f>
        <v>161.18</v>
      </c>
      <c r="I121" s="2"/>
      <c r="J121" s="6">
        <f t="shared" si="21"/>
        <v>9.6658087696675191E-4</v>
      </c>
      <c r="K121" s="2"/>
      <c r="L121" s="2">
        <f t="shared" si="22"/>
        <v>57.900000000000006</v>
      </c>
      <c r="M121" s="2"/>
      <c r="N121" s="6">
        <f t="shared" si="23"/>
        <v>0.35922571038590395</v>
      </c>
      <c r="O121" s="14"/>
      <c r="P121" s="2">
        <f>SUM(OSRRefP22_10x_0)</f>
        <v>1971.72</v>
      </c>
      <c r="Q121" s="2"/>
      <c r="R121" s="6">
        <f t="shared" si="24"/>
        <v>6.0003006358406942E-4</v>
      </c>
      <c r="S121" s="2"/>
      <c r="T121" s="2">
        <f>SUM(OSRRefT22_10x_0)</f>
        <v>1450.62</v>
      </c>
      <c r="U121" s="2"/>
      <c r="V121" s="6">
        <f t="shared" si="25"/>
        <v>9.8155408155462453E-4</v>
      </c>
      <c r="W121" s="2"/>
      <c r="X121" s="2">
        <f t="shared" si="26"/>
        <v>521.10000000000014</v>
      </c>
      <c r="Y121" s="2"/>
      <c r="Z121" s="6">
        <f t="shared" si="27"/>
        <v>0.35922571038590406</v>
      </c>
    </row>
    <row r="122" spans="1:26" s="69" customFormat="1" ht="15" hidden="1" customHeight="1" outlineLevel="2" x14ac:dyDescent="0.3">
      <c r="A122" s="25"/>
      <c r="B122" s="12" t="str">
        <f>CONCATENATE("          ","6314"," - ","LIABILITY INSURANCE")</f>
        <v xml:space="preserve">          6314 - LIABILITY INSURANCE</v>
      </c>
      <c r="C122" s="12"/>
      <c r="D122" s="8">
        <v>219.08</v>
      </c>
      <c r="E122" s="3"/>
      <c r="F122" s="7">
        <f t="shared" si="20"/>
        <v>4.3016329869040922E-4</v>
      </c>
      <c r="G122" s="3"/>
      <c r="H122" s="8">
        <v>161.18</v>
      </c>
      <c r="I122" s="3"/>
      <c r="J122" s="7">
        <f t="shared" si="21"/>
        <v>9.6658087696675191E-4</v>
      </c>
      <c r="K122" s="3"/>
      <c r="L122" s="8">
        <f t="shared" si="22"/>
        <v>57.900000000000006</v>
      </c>
      <c r="M122" s="3"/>
      <c r="N122" s="7">
        <f t="shared" si="23"/>
        <v>0.35922571038590395</v>
      </c>
      <c r="O122" s="12"/>
      <c r="P122" s="8">
        <v>1971.72</v>
      </c>
      <c r="Q122" s="3"/>
      <c r="R122" s="7">
        <f t="shared" si="24"/>
        <v>6.0003006358406942E-4</v>
      </c>
      <c r="S122" s="3"/>
      <c r="T122" s="8">
        <v>1450.62</v>
      </c>
      <c r="U122" s="3"/>
      <c r="V122" s="7">
        <f t="shared" si="25"/>
        <v>9.8155408155462453E-4</v>
      </c>
      <c r="W122" s="3"/>
      <c r="X122" s="8">
        <f t="shared" si="26"/>
        <v>521.10000000000014</v>
      </c>
      <c r="Y122" s="3"/>
      <c r="Z122" s="7">
        <f t="shared" si="27"/>
        <v>0.35922571038590406</v>
      </c>
    </row>
    <row r="123" spans="1:26" s="68" customFormat="1" ht="15" customHeight="1" outlineLevel="1" collapsed="1" x14ac:dyDescent="0.3">
      <c r="A123" s="26"/>
      <c r="B123" s="14" t="str">
        <f>CONCATENATE("     ","Inventory Adjustment                              ")</f>
        <v xml:space="preserve">     Inventory Adjustment                              </v>
      </c>
      <c r="C123" s="14"/>
      <c r="D123" s="2">
        <f>SUM(OSRRefD22_11x_0)</f>
        <v>3450</v>
      </c>
      <c r="E123" s="2"/>
      <c r="F123" s="6">
        <f t="shared" si="20"/>
        <v>6.7740705700288098E-3</v>
      </c>
      <c r="G123" s="2"/>
      <c r="H123" s="2">
        <f>SUM(OSRRefH22_11x_0)</f>
        <v>1100</v>
      </c>
      <c r="I123" s="2"/>
      <c r="J123" s="6">
        <f t="shared" si="21"/>
        <v>6.5965936509705114E-3</v>
      </c>
      <c r="K123" s="2"/>
      <c r="L123" s="2">
        <f t="shared" si="22"/>
        <v>2350</v>
      </c>
      <c r="M123" s="2"/>
      <c r="N123" s="6">
        <f t="shared" si="23"/>
        <v>2.1363636363636362</v>
      </c>
      <c r="O123" s="14"/>
      <c r="P123" s="2">
        <f>SUM(OSRRefP22_11x_0)</f>
        <v>31050</v>
      </c>
      <c r="Q123" s="2"/>
      <c r="R123" s="6">
        <f t="shared" si="24"/>
        <v>9.449076681417928E-3</v>
      </c>
      <c r="S123" s="2"/>
      <c r="T123" s="2">
        <f>SUM(OSRRefT22_11x_0)</f>
        <v>9900</v>
      </c>
      <c r="U123" s="2"/>
      <c r="V123" s="6">
        <f t="shared" si="25"/>
        <v>6.6987808022712942E-3</v>
      </c>
      <c r="W123" s="2"/>
      <c r="X123" s="2">
        <f t="shared" si="26"/>
        <v>21150</v>
      </c>
      <c r="Y123" s="2"/>
      <c r="Z123" s="6">
        <f t="shared" si="27"/>
        <v>2.1363636363636362</v>
      </c>
    </row>
    <row r="124" spans="1:26" s="69" customFormat="1" ht="15" hidden="1" customHeight="1" outlineLevel="2" x14ac:dyDescent="0.3">
      <c r="A124" s="25"/>
      <c r="B124" s="12" t="str">
        <f>CONCATENATE("          ","6408"," - ","INVENTORY ADJUSTMENT")</f>
        <v xml:space="preserve">          6408 - INVENTORY ADJUSTMENT</v>
      </c>
      <c r="C124" s="12"/>
      <c r="D124" s="8">
        <v>3450</v>
      </c>
      <c r="E124" s="3"/>
      <c r="F124" s="7">
        <f t="shared" si="20"/>
        <v>6.7740705700288098E-3</v>
      </c>
      <c r="G124" s="3"/>
      <c r="H124" s="8">
        <v>1100</v>
      </c>
      <c r="I124" s="3"/>
      <c r="J124" s="7">
        <f t="shared" si="21"/>
        <v>6.5965936509705114E-3</v>
      </c>
      <c r="K124" s="3"/>
      <c r="L124" s="8">
        <f t="shared" si="22"/>
        <v>2350</v>
      </c>
      <c r="M124" s="3"/>
      <c r="N124" s="7">
        <f t="shared" si="23"/>
        <v>2.1363636363636362</v>
      </c>
      <c r="O124" s="12"/>
      <c r="P124" s="8">
        <v>31050</v>
      </c>
      <c r="Q124" s="3"/>
      <c r="R124" s="7">
        <f t="shared" si="24"/>
        <v>9.449076681417928E-3</v>
      </c>
      <c r="S124" s="3"/>
      <c r="T124" s="8">
        <v>9900</v>
      </c>
      <c r="U124" s="3"/>
      <c r="V124" s="7">
        <f t="shared" si="25"/>
        <v>6.6987808022712942E-3</v>
      </c>
      <c r="W124" s="3"/>
      <c r="X124" s="8">
        <f t="shared" si="26"/>
        <v>21150</v>
      </c>
      <c r="Y124" s="3"/>
      <c r="Z124" s="7">
        <f t="shared" si="27"/>
        <v>2.1363636363636362</v>
      </c>
    </row>
    <row r="125" spans="1:26" s="69" customFormat="1" ht="15" hidden="1" customHeight="1" outlineLevel="2" x14ac:dyDescent="0.3">
      <c r="A125" s="25"/>
      <c r="B125" s="12" t="str">
        <f>CONCATENATE("          ","7741"," - ","INV. SHRINKAGE-LOGO GIFTS")</f>
        <v xml:space="preserve">          7741 - INV. SHRINKAGE-LOGO GIFTS</v>
      </c>
      <c r="C125" s="12"/>
      <c r="D125" s="8"/>
      <c r="E125" s="3"/>
      <c r="F125" s="7">
        <f t="shared" si="20"/>
        <v>0</v>
      </c>
      <c r="G125" s="3"/>
      <c r="H125" s="8"/>
      <c r="I125" s="3"/>
      <c r="J125" s="7">
        <f t="shared" si="21"/>
        <v>0</v>
      </c>
      <c r="K125" s="3"/>
      <c r="L125" s="8">
        <f t="shared" si="22"/>
        <v>0</v>
      </c>
      <c r="M125" s="3"/>
      <c r="N125" s="7">
        <f t="shared" si="23"/>
        <v>0</v>
      </c>
      <c r="O125" s="12"/>
      <c r="P125" s="8"/>
      <c r="Q125" s="3"/>
      <c r="R125" s="7">
        <f t="shared" si="24"/>
        <v>0</v>
      </c>
      <c r="S125" s="3"/>
      <c r="T125" s="8">
        <v>0</v>
      </c>
      <c r="U125" s="3"/>
      <c r="V125" s="7">
        <f t="shared" si="25"/>
        <v>0</v>
      </c>
      <c r="W125" s="3"/>
      <c r="X125" s="8">
        <f t="shared" si="26"/>
        <v>0</v>
      </c>
      <c r="Y125" s="3"/>
      <c r="Z125" s="7">
        <f t="shared" si="27"/>
        <v>0</v>
      </c>
    </row>
    <row r="126" spans="1:26" s="68" customFormat="1" ht="15" customHeight="1" outlineLevel="1" collapsed="1" x14ac:dyDescent="0.3">
      <c r="A126" s="26"/>
      <c r="B126" s="14" t="str">
        <f>CONCATENATE("     ","Professional Services                             ")</f>
        <v xml:space="preserve">     Professional Services                             </v>
      </c>
      <c r="C126" s="14"/>
      <c r="D126" s="2">
        <f>SUM(OSRRefD22_12x_0)</f>
        <v>1050</v>
      </c>
      <c r="E126" s="2"/>
      <c r="F126" s="6">
        <f t="shared" si="20"/>
        <v>2.0616736517478987E-3</v>
      </c>
      <c r="G126" s="2"/>
      <c r="H126" s="2">
        <f>SUM(OSRRefH22_12x_0)</f>
        <v>0</v>
      </c>
      <c r="I126" s="2"/>
      <c r="J126" s="6">
        <f t="shared" si="21"/>
        <v>0</v>
      </c>
      <c r="K126" s="2"/>
      <c r="L126" s="2">
        <f t="shared" si="22"/>
        <v>1050</v>
      </c>
      <c r="M126" s="2"/>
      <c r="N126" s="6">
        <f t="shared" si="23"/>
        <v>0</v>
      </c>
      <c r="O126" s="14"/>
      <c r="P126" s="2">
        <f>SUM(OSRRefP22_12x_0)</f>
        <v>2109.1</v>
      </c>
      <c r="Q126" s="2"/>
      <c r="R126" s="6">
        <f t="shared" si="24"/>
        <v>6.4183728273038807E-4</v>
      </c>
      <c r="S126" s="2"/>
      <c r="T126" s="2">
        <f>SUM(OSRRefT22_12x_0)</f>
        <v>0</v>
      </c>
      <c r="U126" s="2"/>
      <c r="V126" s="6">
        <f t="shared" si="25"/>
        <v>0</v>
      </c>
      <c r="W126" s="2"/>
      <c r="X126" s="2">
        <f t="shared" si="26"/>
        <v>2109.1</v>
      </c>
      <c r="Y126" s="2"/>
      <c r="Z126" s="6">
        <f t="shared" si="27"/>
        <v>0</v>
      </c>
    </row>
    <row r="127" spans="1:26" s="69" customFormat="1" ht="15" hidden="1" customHeight="1" outlineLevel="2" x14ac:dyDescent="0.3">
      <c r="A127" s="25"/>
      <c r="B127" s="12" t="str">
        <f>CONCATENATE("          ","6336"," - ","PROFESSIONAL SERVICES")</f>
        <v xml:space="preserve">          6336 - PROFESSIONAL SERVICES</v>
      </c>
      <c r="C127" s="12"/>
      <c r="D127" s="8">
        <v>1050</v>
      </c>
      <c r="E127" s="3"/>
      <c r="F127" s="7">
        <f t="shared" si="20"/>
        <v>2.0616736517478987E-3</v>
      </c>
      <c r="G127" s="3"/>
      <c r="H127" s="8"/>
      <c r="I127" s="3"/>
      <c r="J127" s="7">
        <f t="shared" si="21"/>
        <v>0</v>
      </c>
      <c r="K127" s="3"/>
      <c r="L127" s="8">
        <f t="shared" si="22"/>
        <v>1050</v>
      </c>
      <c r="M127" s="3"/>
      <c r="N127" s="7">
        <f t="shared" si="23"/>
        <v>0</v>
      </c>
      <c r="O127" s="12"/>
      <c r="P127" s="8">
        <v>2109.1</v>
      </c>
      <c r="Q127" s="3"/>
      <c r="R127" s="7">
        <f t="shared" si="24"/>
        <v>6.4183728273038807E-4</v>
      </c>
      <c r="S127" s="3"/>
      <c r="T127" s="8"/>
      <c r="U127" s="3"/>
      <c r="V127" s="7">
        <f t="shared" si="25"/>
        <v>0</v>
      </c>
      <c r="W127" s="3"/>
      <c r="X127" s="8">
        <f t="shared" si="26"/>
        <v>2109.1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6"/>
      <c r="B128" s="14" t="str">
        <f>CONCATENATE("     ","Rent                                              ")</f>
        <v xml:space="preserve">     Rent                                              </v>
      </c>
      <c r="C128" s="14"/>
      <c r="D128" s="2">
        <f>SUM(OSRRefD22_13x_0)</f>
        <v>6900</v>
      </c>
      <c r="E128" s="2"/>
      <c r="F128" s="6">
        <f t="shared" si="20"/>
        <v>1.354814114005762E-2</v>
      </c>
      <c r="G128" s="2"/>
      <c r="H128" s="2">
        <f>SUM(OSRRefH22_13x_0)</f>
        <v>6900</v>
      </c>
      <c r="I128" s="2"/>
      <c r="J128" s="6">
        <f t="shared" si="21"/>
        <v>4.1378632901542298E-2</v>
      </c>
      <c r="K128" s="2"/>
      <c r="L128" s="2">
        <f t="shared" si="22"/>
        <v>0</v>
      </c>
      <c r="M128" s="2"/>
      <c r="N128" s="6">
        <f t="shared" si="23"/>
        <v>0</v>
      </c>
      <c r="O128" s="14"/>
      <c r="P128" s="2">
        <f>SUM(OSRRefP22_13x_0)</f>
        <v>62100</v>
      </c>
      <c r="Q128" s="2"/>
      <c r="R128" s="6">
        <f t="shared" si="24"/>
        <v>1.8898153362835856E-2</v>
      </c>
      <c r="S128" s="2"/>
      <c r="T128" s="2">
        <f>SUM(OSRRefT22_13x_0)</f>
        <v>62100</v>
      </c>
      <c r="U128" s="2"/>
      <c r="V128" s="6">
        <f t="shared" si="25"/>
        <v>4.2019625032429023E-2</v>
      </c>
      <c r="W128" s="2"/>
      <c r="X128" s="2">
        <f t="shared" si="26"/>
        <v>0</v>
      </c>
      <c r="Y128" s="2"/>
      <c r="Z128" s="6">
        <f t="shared" si="27"/>
        <v>0</v>
      </c>
    </row>
    <row r="129" spans="1:26" s="69" customFormat="1" ht="15" hidden="1" customHeight="1" outlineLevel="2" x14ac:dyDescent="0.3">
      <c r="A129" s="25"/>
      <c r="B129" s="12" t="str">
        <f>CONCATENATE("          ","6273"," - ","RENT")</f>
        <v xml:space="preserve">          6273 - RENT</v>
      </c>
      <c r="C129" s="12"/>
      <c r="D129" s="8">
        <v>6900</v>
      </c>
      <c r="E129" s="3"/>
      <c r="F129" s="7">
        <f t="shared" si="20"/>
        <v>1.354814114005762E-2</v>
      </c>
      <c r="G129" s="3"/>
      <c r="H129" s="8">
        <v>6900</v>
      </c>
      <c r="I129" s="3"/>
      <c r="J129" s="7">
        <f t="shared" si="21"/>
        <v>4.1378632901542298E-2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>
        <v>62100</v>
      </c>
      <c r="Q129" s="3"/>
      <c r="R129" s="7">
        <f t="shared" si="24"/>
        <v>1.8898153362835856E-2</v>
      </c>
      <c r="S129" s="3"/>
      <c r="T129" s="8">
        <v>62100</v>
      </c>
      <c r="U129" s="3"/>
      <c r="V129" s="7">
        <f t="shared" si="25"/>
        <v>4.2019625032429023E-2</v>
      </c>
      <c r="W129" s="3"/>
      <c r="X129" s="8">
        <f t="shared" si="26"/>
        <v>0</v>
      </c>
      <c r="Y129" s="3"/>
      <c r="Z129" s="7">
        <f t="shared" si="27"/>
        <v>0</v>
      </c>
    </row>
    <row r="130" spans="1:26" s="68" customFormat="1" ht="15" customHeight="1" outlineLevel="1" collapsed="1" x14ac:dyDescent="0.3">
      <c r="A130" s="26"/>
      <c r="B130" s="14" t="str">
        <f>CONCATENATE("     ","Repair and Maintenance                            ")</f>
        <v xml:space="preserve">     Repair and Maintenance                            </v>
      </c>
      <c r="C130" s="14"/>
      <c r="D130" s="2">
        <f>SUM(OSRRefD22_14x_0)</f>
        <v>232.93</v>
      </c>
      <c r="E130" s="2"/>
      <c r="F130" s="6">
        <f t="shared" si="20"/>
        <v>4.5735775590632194E-4</v>
      </c>
      <c r="G130" s="2"/>
      <c r="H130" s="2">
        <f>SUM(OSRRefH22_14x_0)</f>
        <v>213.79</v>
      </c>
      <c r="I130" s="2"/>
      <c r="J130" s="6">
        <f t="shared" si="21"/>
        <v>1.2820779605827142E-3</v>
      </c>
      <c r="K130" s="2"/>
      <c r="L130" s="2">
        <f t="shared" si="22"/>
        <v>19.140000000000015</v>
      </c>
      <c r="M130" s="2"/>
      <c r="N130" s="6">
        <f t="shared" si="23"/>
        <v>8.9527106038636117E-2</v>
      </c>
      <c r="O130" s="14"/>
      <c r="P130" s="2">
        <f>SUM(OSRRefP22_14x_0)</f>
        <v>3224.15</v>
      </c>
      <c r="Q130" s="2"/>
      <c r="R130" s="6">
        <f t="shared" si="24"/>
        <v>9.8116716851509231E-4</v>
      </c>
      <c r="S130" s="2"/>
      <c r="T130" s="2">
        <f>SUM(OSRRefT22_14x_0)</f>
        <v>309.70999999999998</v>
      </c>
      <c r="U130" s="2"/>
      <c r="V130" s="6">
        <f t="shared" si="25"/>
        <v>2.0956357598701436E-4</v>
      </c>
      <c r="W130" s="2"/>
      <c r="X130" s="2">
        <f t="shared" si="26"/>
        <v>2914.44</v>
      </c>
      <c r="Y130" s="2"/>
      <c r="Z130" s="6">
        <f t="shared" si="27"/>
        <v>9.4102224661780376</v>
      </c>
    </row>
    <row r="131" spans="1:26" s="69" customFormat="1" ht="15" hidden="1" customHeight="1" outlineLevel="2" x14ac:dyDescent="0.3">
      <c r="A131" s="25"/>
      <c r="B131" s="12" t="str">
        <f>CONCATENATE("          ","6372"," - ","COMPUTER HARDWARE MAINTENANCE")</f>
        <v xml:space="preserve">          6372 - COMPUTER HARDWARE MAINTENANCE</v>
      </c>
      <c r="C131" s="12"/>
      <c r="D131" s="8"/>
      <c r="E131" s="3"/>
      <c r="F131" s="7">
        <f t="shared" si="20"/>
        <v>0</v>
      </c>
      <c r="G131" s="3"/>
      <c r="H131" s="8"/>
      <c r="I131" s="3"/>
      <c r="J131" s="7">
        <f t="shared" si="21"/>
        <v>0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/>
      <c r="Q131" s="3"/>
      <c r="R131" s="7">
        <f t="shared" si="24"/>
        <v>0</v>
      </c>
      <c r="S131" s="3"/>
      <c r="T131" s="8">
        <v>-0.52</v>
      </c>
      <c r="U131" s="3"/>
      <c r="V131" s="7">
        <f t="shared" si="25"/>
        <v>-3.5185515325061341E-7</v>
      </c>
      <c r="W131" s="3"/>
      <c r="X131" s="8">
        <f t="shared" si="26"/>
        <v>0.52</v>
      </c>
      <c r="Y131" s="3"/>
      <c r="Z131" s="7">
        <f t="shared" si="27"/>
        <v>-1</v>
      </c>
    </row>
    <row r="132" spans="1:26" s="69" customFormat="1" ht="15" hidden="1" customHeight="1" outlineLevel="2" x14ac:dyDescent="0.3">
      <c r="A132" s="25"/>
      <c r="B132" s="12" t="str">
        <f>CONCATENATE("          ","6373"," - ","MAINTENANCE CONTRACTS")</f>
        <v xml:space="preserve">          6373 - MAINTENANCE CONTRACTS</v>
      </c>
      <c r="C132" s="12"/>
      <c r="D132" s="8">
        <v>232.93</v>
      </c>
      <c r="E132" s="3"/>
      <c r="F132" s="7">
        <f t="shared" si="20"/>
        <v>4.5735775590632194E-4</v>
      </c>
      <c r="G132" s="3"/>
      <c r="H132" s="8">
        <v>48.23</v>
      </c>
      <c r="I132" s="3"/>
      <c r="J132" s="7">
        <f t="shared" si="21"/>
        <v>2.8923064707846158E-4</v>
      </c>
      <c r="K132" s="3"/>
      <c r="L132" s="8">
        <f t="shared" si="22"/>
        <v>184.70000000000002</v>
      </c>
      <c r="M132" s="3"/>
      <c r="N132" s="7">
        <f t="shared" si="23"/>
        <v>3.8295666597553395</v>
      </c>
      <c r="O132" s="12"/>
      <c r="P132" s="8">
        <v>714.5</v>
      </c>
      <c r="Q132" s="3"/>
      <c r="R132" s="7">
        <f t="shared" si="24"/>
        <v>2.1743527500396487E-4</v>
      </c>
      <c r="S132" s="3"/>
      <c r="T132" s="8">
        <v>144.66999999999999</v>
      </c>
      <c r="U132" s="3"/>
      <c r="V132" s="7">
        <f t="shared" si="25"/>
        <v>9.7890163501473536E-5</v>
      </c>
      <c r="W132" s="3"/>
      <c r="X132" s="8">
        <f t="shared" si="26"/>
        <v>569.83000000000004</v>
      </c>
      <c r="Y132" s="3"/>
      <c r="Z132" s="7">
        <f t="shared" si="27"/>
        <v>3.9388262943250161</v>
      </c>
    </row>
    <row r="133" spans="1:26" s="69" customFormat="1" ht="15" hidden="1" customHeight="1" outlineLevel="2" x14ac:dyDescent="0.3">
      <c r="A133" s="25"/>
      <c r="B133" s="12" t="str">
        <f>CONCATENATE("          ","6375"," - ","OUTSIDE REPAIRS &amp; MAINTENANCE")</f>
        <v xml:space="preserve">          6375 - OUTSIDE REPAIRS &amp; MAINTENANCE</v>
      </c>
      <c r="C133" s="12"/>
      <c r="D133" s="8"/>
      <c r="E133" s="3"/>
      <c r="F133" s="7">
        <f t="shared" si="20"/>
        <v>0</v>
      </c>
      <c r="G133" s="3"/>
      <c r="H133" s="8">
        <v>165.56</v>
      </c>
      <c r="I133" s="3"/>
      <c r="J133" s="7">
        <f t="shared" si="21"/>
        <v>9.9284731350425255E-4</v>
      </c>
      <c r="K133" s="3"/>
      <c r="L133" s="8">
        <f t="shared" si="22"/>
        <v>-165.56</v>
      </c>
      <c r="M133" s="3"/>
      <c r="N133" s="7">
        <f t="shared" si="23"/>
        <v>-1</v>
      </c>
      <c r="O133" s="12"/>
      <c r="P133" s="8">
        <v>2509.65</v>
      </c>
      <c r="Q133" s="3"/>
      <c r="R133" s="7">
        <f t="shared" si="24"/>
        <v>7.6373189351112731E-4</v>
      </c>
      <c r="S133" s="3"/>
      <c r="T133" s="8">
        <v>165.56</v>
      </c>
      <c r="U133" s="3"/>
      <c r="V133" s="7">
        <f t="shared" si="25"/>
        <v>1.1202526763879146E-4</v>
      </c>
      <c r="W133" s="3"/>
      <c r="X133" s="8">
        <f t="shared" si="26"/>
        <v>2344.09</v>
      </c>
      <c r="Y133" s="3"/>
      <c r="Z133" s="7">
        <f t="shared" si="27"/>
        <v>14.158552790529114</v>
      </c>
    </row>
    <row r="134" spans="1:26" s="68" customFormat="1" ht="15" customHeight="1" outlineLevel="1" collapsed="1" x14ac:dyDescent="0.3">
      <c r="A134" s="26"/>
      <c r="B134" s="14" t="str">
        <f>CONCATENATE("     ","Royalty &amp; Commissions                             ")</f>
        <v xml:space="preserve">     Royalty &amp; Commissions                             </v>
      </c>
      <c r="C134" s="14"/>
      <c r="D134" s="2">
        <f>SUM(OSRRefD22_15x_0)</f>
        <v>0</v>
      </c>
      <c r="E134" s="2"/>
      <c r="F134" s="6">
        <f t="shared" si="20"/>
        <v>0</v>
      </c>
      <c r="G134" s="2"/>
      <c r="H134" s="2">
        <f>SUM(OSRRefH22_15x_0)</f>
        <v>0</v>
      </c>
      <c r="I134" s="2"/>
      <c r="J134" s="6">
        <f t="shared" si="21"/>
        <v>0</v>
      </c>
      <c r="K134" s="2"/>
      <c r="L134" s="2">
        <f t="shared" si="22"/>
        <v>0</v>
      </c>
      <c r="M134" s="2"/>
      <c r="N134" s="6">
        <f t="shared" si="23"/>
        <v>0</v>
      </c>
      <c r="O134" s="14"/>
      <c r="P134" s="2">
        <f>SUM(OSRRefP22_15x_0)</f>
        <v>42730.310000000005</v>
      </c>
      <c r="Q134" s="2"/>
      <c r="R134" s="6">
        <f t="shared" si="24"/>
        <v>1.3003606306304649E-2</v>
      </c>
      <c r="S134" s="2"/>
      <c r="T134" s="2">
        <f>SUM(OSRRefT22_15x_0)</f>
        <v>26197.58</v>
      </c>
      <c r="U134" s="2"/>
      <c r="V134" s="6">
        <f t="shared" si="25"/>
        <v>1.7726449087875396E-2</v>
      </c>
      <c r="W134" s="2"/>
      <c r="X134" s="2">
        <f t="shared" si="26"/>
        <v>16532.730000000003</v>
      </c>
      <c r="Y134" s="2"/>
      <c r="Z134" s="6">
        <f t="shared" si="27"/>
        <v>0.63107851946630189</v>
      </c>
    </row>
    <row r="135" spans="1:26" s="69" customFormat="1" ht="15" hidden="1" customHeight="1" outlineLevel="2" x14ac:dyDescent="0.3">
      <c r="A135" s="25"/>
      <c r="B135" s="12" t="str">
        <f>CONCATENATE("          ","6253"," - ","ROYALTY DUE ATHLETICS-LRG")</f>
        <v xml:space="preserve">          6253 - ROYALTY DUE ATHLETICS-LRG</v>
      </c>
      <c r="C135" s="12"/>
      <c r="D135" s="8"/>
      <c r="E135" s="3"/>
      <c r="F135" s="7">
        <f t="shared" si="20"/>
        <v>0</v>
      </c>
      <c r="G135" s="3"/>
      <c r="H135" s="8"/>
      <c r="I135" s="3"/>
      <c r="J135" s="7">
        <f t="shared" si="21"/>
        <v>0</v>
      </c>
      <c r="K135" s="3"/>
      <c r="L135" s="8">
        <f t="shared" si="22"/>
        <v>0</v>
      </c>
      <c r="M135" s="3"/>
      <c r="N135" s="7">
        <f t="shared" si="23"/>
        <v>0</v>
      </c>
      <c r="O135" s="12"/>
      <c r="P135" s="8">
        <v>39221.160000000003</v>
      </c>
      <c r="Q135" s="3"/>
      <c r="R135" s="7">
        <f t="shared" si="24"/>
        <v>1.1935708482259633E-2</v>
      </c>
      <c r="S135" s="3"/>
      <c r="T135" s="8">
        <v>26197.58</v>
      </c>
      <c r="U135" s="3"/>
      <c r="V135" s="7">
        <f t="shared" si="25"/>
        <v>1.7726449087875396E-2</v>
      </c>
      <c r="W135" s="3"/>
      <c r="X135" s="8">
        <f t="shared" si="26"/>
        <v>13023.580000000002</v>
      </c>
      <c r="Y135" s="3"/>
      <c r="Z135" s="7">
        <f t="shared" si="27"/>
        <v>0.49712912414047405</v>
      </c>
    </row>
    <row r="136" spans="1:26" s="69" customFormat="1" ht="15" hidden="1" customHeight="1" outlineLevel="2" x14ac:dyDescent="0.3">
      <c r="A136" s="25"/>
      <c r="B136" s="12" t="str">
        <f>CONCATENATE("          ","6254"," - ","ROYALTY &amp; COMMISSIONS")</f>
        <v xml:space="preserve">          6254 - ROYALTY &amp; COMMISSIONS</v>
      </c>
      <c r="C136" s="12"/>
      <c r="D136" s="8"/>
      <c r="E136" s="3"/>
      <c r="F136" s="7">
        <f t="shared" si="20"/>
        <v>0</v>
      </c>
      <c r="G136" s="3"/>
      <c r="H136" s="8"/>
      <c r="I136" s="3"/>
      <c r="J136" s="7">
        <f t="shared" si="21"/>
        <v>0</v>
      </c>
      <c r="K136" s="3"/>
      <c r="L136" s="8">
        <f t="shared" si="22"/>
        <v>0</v>
      </c>
      <c r="M136" s="3"/>
      <c r="N136" s="7">
        <f t="shared" si="23"/>
        <v>0</v>
      </c>
      <c r="O136" s="12"/>
      <c r="P136" s="8">
        <v>3509.15</v>
      </c>
      <c r="Q136" s="3"/>
      <c r="R136" s="7">
        <f t="shared" si="24"/>
        <v>1.0678978240450151E-3</v>
      </c>
      <c r="S136" s="3"/>
      <c r="T136" s="8"/>
      <c r="U136" s="3"/>
      <c r="V136" s="7">
        <f t="shared" si="25"/>
        <v>0</v>
      </c>
      <c r="W136" s="3"/>
      <c r="X136" s="8">
        <f t="shared" si="26"/>
        <v>3509.15</v>
      </c>
      <c r="Y136" s="3"/>
      <c r="Z136" s="7">
        <f t="shared" si="27"/>
        <v>0</v>
      </c>
    </row>
    <row r="137" spans="1:26" s="68" customFormat="1" ht="15" customHeight="1" outlineLevel="1" collapsed="1" x14ac:dyDescent="0.3">
      <c r="A137" s="26"/>
      <c r="B137" s="14" t="str">
        <f>CONCATENATE("     ","Services                                          ")</f>
        <v xml:space="preserve">     Services                                          </v>
      </c>
      <c r="C137" s="14"/>
      <c r="D137" s="2">
        <f>SUM(OSRRefD22_16x_0)</f>
        <v>223.45</v>
      </c>
      <c r="E137" s="2"/>
      <c r="F137" s="6">
        <f t="shared" si="20"/>
        <v>4.3874378807911229E-4</v>
      </c>
      <c r="G137" s="2"/>
      <c r="H137" s="2">
        <f>SUM(OSRRefH22_16x_0)</f>
        <v>250.83999999999997</v>
      </c>
      <c r="I137" s="2"/>
      <c r="J137" s="6">
        <f t="shared" si="21"/>
        <v>1.504263228554039E-3</v>
      </c>
      <c r="K137" s="2"/>
      <c r="L137" s="2">
        <f t="shared" si="22"/>
        <v>-27.389999999999986</v>
      </c>
      <c r="M137" s="2"/>
      <c r="N137" s="6">
        <f t="shared" si="23"/>
        <v>-0.10919311114654756</v>
      </c>
      <c r="O137" s="14"/>
      <c r="P137" s="2">
        <f>SUM(OSRRefP22_16x_0)</f>
        <v>1578.81</v>
      </c>
      <c r="Q137" s="2"/>
      <c r="R137" s="6">
        <f t="shared" si="24"/>
        <v>4.804604430077114E-4</v>
      </c>
      <c r="S137" s="2"/>
      <c r="T137" s="2">
        <f>SUM(OSRRefT22_16x_0)</f>
        <v>607.34</v>
      </c>
      <c r="U137" s="2"/>
      <c r="V137" s="6">
        <f t="shared" si="25"/>
        <v>4.1095328610620685E-4</v>
      </c>
      <c r="W137" s="2"/>
      <c r="X137" s="2">
        <f t="shared" si="26"/>
        <v>971.46999999999991</v>
      </c>
      <c r="Y137" s="2"/>
      <c r="Z137" s="6">
        <f t="shared" si="27"/>
        <v>1.5995488523726411</v>
      </c>
    </row>
    <row r="138" spans="1:26" s="69" customFormat="1" ht="15" hidden="1" customHeight="1" outlineLevel="2" x14ac:dyDescent="0.3">
      <c r="A138" s="25"/>
      <c r="B138" s="12" t="str">
        <f>CONCATENATE("          ","6283"," - ","PLANT SERVICE")</f>
        <v xml:space="preserve">          6283 - PLANT SERVICE</v>
      </c>
      <c r="C138" s="12"/>
      <c r="D138" s="8"/>
      <c r="E138" s="3"/>
      <c r="F138" s="7">
        <f t="shared" si="20"/>
        <v>0</v>
      </c>
      <c r="G138" s="3"/>
      <c r="H138" s="8"/>
      <c r="I138" s="3"/>
      <c r="J138" s="7">
        <f t="shared" si="21"/>
        <v>0</v>
      </c>
      <c r="K138" s="3"/>
      <c r="L138" s="8">
        <f t="shared" si="22"/>
        <v>0</v>
      </c>
      <c r="M138" s="3"/>
      <c r="N138" s="7">
        <f t="shared" si="23"/>
        <v>0</v>
      </c>
      <c r="O138" s="12"/>
      <c r="P138" s="8"/>
      <c r="Q138" s="3"/>
      <c r="R138" s="7">
        <f t="shared" si="24"/>
        <v>0</v>
      </c>
      <c r="S138" s="3"/>
      <c r="T138" s="8">
        <v>41.31</v>
      </c>
      <c r="U138" s="3"/>
      <c r="V138" s="7">
        <f t="shared" si="25"/>
        <v>2.7952185347659309E-5</v>
      </c>
      <c r="W138" s="3"/>
      <c r="X138" s="8">
        <f t="shared" si="26"/>
        <v>-41.31</v>
      </c>
      <c r="Y138" s="3"/>
      <c r="Z138" s="7">
        <f t="shared" si="27"/>
        <v>-1</v>
      </c>
    </row>
    <row r="139" spans="1:26" s="69" customFormat="1" ht="15" hidden="1" customHeight="1" outlineLevel="2" x14ac:dyDescent="0.3">
      <c r="A139" s="25"/>
      <c r="B139" s="12" t="str">
        <f>CONCATENATE("          ","6284"," - ","TRASH REMOVAL EXPENSE")</f>
        <v xml:space="preserve">          6284 - TRASH REMOVAL EXPENSE</v>
      </c>
      <c r="C139" s="12"/>
      <c r="D139" s="8">
        <v>149.69999999999999</v>
      </c>
      <c r="E139" s="3"/>
      <c r="F139" s="7">
        <f t="shared" si="20"/>
        <v>2.9393575777777179E-4</v>
      </c>
      <c r="G139" s="3"/>
      <c r="H139" s="8">
        <v>142.57</v>
      </c>
      <c r="I139" s="3"/>
      <c r="J139" s="7">
        <f t="shared" si="21"/>
        <v>8.5497850619896886E-4</v>
      </c>
      <c r="K139" s="3"/>
      <c r="L139" s="8">
        <f t="shared" si="22"/>
        <v>7.1299999999999955</v>
      </c>
      <c r="M139" s="3"/>
      <c r="N139" s="7">
        <f t="shared" si="23"/>
        <v>5.0010521147506461E-2</v>
      </c>
      <c r="O139" s="12"/>
      <c r="P139" s="8">
        <v>1340.17</v>
      </c>
      <c r="Q139" s="3"/>
      <c r="R139" s="7">
        <f t="shared" si="24"/>
        <v>4.0783797411065589E-4</v>
      </c>
      <c r="S139" s="3"/>
      <c r="T139" s="8">
        <v>1298.1500000000001</v>
      </c>
      <c r="U139" s="3"/>
      <c r="V139" s="7">
        <f t="shared" si="25"/>
        <v>8.7838609075439195E-4</v>
      </c>
      <c r="W139" s="3"/>
      <c r="X139" s="8">
        <f t="shared" si="26"/>
        <v>42.019999999999982</v>
      </c>
      <c r="Y139" s="3"/>
      <c r="Z139" s="7">
        <f t="shared" si="27"/>
        <v>3.2369140700227228E-2</v>
      </c>
    </row>
    <row r="140" spans="1:26" s="69" customFormat="1" ht="15" hidden="1" customHeight="1" outlineLevel="2" x14ac:dyDescent="0.3">
      <c r="A140" s="25"/>
      <c r="B140" s="12" t="str">
        <f>CONCATENATE("          ","6285"," - ","JANITORIAL SERVICES")</f>
        <v xml:space="preserve">          6285 - JANITORIAL SERVICES</v>
      </c>
      <c r="C140" s="12"/>
      <c r="D140" s="8">
        <v>73.75</v>
      </c>
      <c r="E140" s="3"/>
      <c r="F140" s="7">
        <f t="shared" si="20"/>
        <v>1.448080303013405E-4</v>
      </c>
      <c r="G140" s="3"/>
      <c r="H140" s="8">
        <v>108.27</v>
      </c>
      <c r="I140" s="3"/>
      <c r="J140" s="7">
        <f t="shared" si="21"/>
        <v>6.4928472235507026E-4</v>
      </c>
      <c r="K140" s="3"/>
      <c r="L140" s="8">
        <f t="shared" si="22"/>
        <v>-34.519999999999996</v>
      </c>
      <c r="M140" s="3"/>
      <c r="N140" s="7">
        <f t="shared" si="23"/>
        <v>-0.31883254825898216</v>
      </c>
      <c r="O140" s="12"/>
      <c r="P140" s="8">
        <v>238.64</v>
      </c>
      <c r="Q140" s="3"/>
      <c r="R140" s="7">
        <f t="shared" si="24"/>
        <v>7.2622468897055525E-5</v>
      </c>
      <c r="S140" s="3"/>
      <c r="T140" s="8">
        <v>-732.12</v>
      </c>
      <c r="U140" s="3"/>
      <c r="V140" s="7">
        <f t="shared" si="25"/>
        <v>-4.9538498999584439E-4</v>
      </c>
      <c r="W140" s="3"/>
      <c r="X140" s="8">
        <f t="shared" si="26"/>
        <v>970.76</v>
      </c>
      <c r="Y140" s="3"/>
      <c r="Z140" s="7">
        <f t="shared" si="27"/>
        <v>-1.3259574933071081</v>
      </c>
    </row>
    <row r="141" spans="1:26" s="68" customFormat="1" ht="15" customHeight="1" outlineLevel="1" collapsed="1" x14ac:dyDescent="0.3">
      <c r="A141" s="26"/>
      <c r="B141" s="14" t="str">
        <f>CONCATENATE("     ","Subscriptions &amp; Dues                              ")</f>
        <v xml:space="preserve">     Subscriptions &amp; Dues                              </v>
      </c>
      <c r="C141" s="14"/>
      <c r="D141" s="2">
        <f>SUM(OSRRefD22_17x_0)</f>
        <v>125</v>
      </c>
      <c r="E141" s="2"/>
      <c r="F141" s="6">
        <f t="shared" si="20"/>
        <v>2.4543733949379743E-4</v>
      </c>
      <c r="G141" s="2"/>
      <c r="H141" s="2">
        <f>SUM(OSRRefH22_17x_0)</f>
        <v>75</v>
      </c>
      <c r="I141" s="2"/>
      <c r="J141" s="6">
        <f t="shared" si="21"/>
        <v>4.4976774892980761E-4</v>
      </c>
      <c r="K141" s="2"/>
      <c r="L141" s="2">
        <f t="shared" si="22"/>
        <v>50</v>
      </c>
      <c r="M141" s="2"/>
      <c r="N141" s="6">
        <f t="shared" si="23"/>
        <v>0.66666666666666663</v>
      </c>
      <c r="O141" s="14"/>
      <c r="P141" s="2">
        <f>SUM(OSRRefP22_17x_0)</f>
        <v>125</v>
      </c>
      <c r="Q141" s="2"/>
      <c r="R141" s="6">
        <f t="shared" si="24"/>
        <v>3.8039761197334656E-5</v>
      </c>
      <c r="S141" s="2"/>
      <c r="T141" s="2">
        <f>SUM(OSRRefT22_17x_0)</f>
        <v>7.7000000000000455</v>
      </c>
      <c r="U141" s="2"/>
      <c r="V141" s="6">
        <f t="shared" si="25"/>
        <v>5.2101628462110372E-6</v>
      </c>
      <c r="W141" s="2"/>
      <c r="X141" s="2">
        <f t="shared" si="26"/>
        <v>117.29999999999995</v>
      </c>
      <c r="Y141" s="2"/>
      <c r="Z141" s="6">
        <f t="shared" si="27"/>
        <v>15.233766233766138</v>
      </c>
    </row>
    <row r="142" spans="1:26" s="69" customFormat="1" ht="15" hidden="1" customHeight="1" outlineLevel="2" x14ac:dyDescent="0.3">
      <c r="A142" s="25"/>
      <c r="B142" s="12" t="str">
        <f>CONCATENATE("          ","6258"," - ","MEMBERSHIP DUES")</f>
        <v xml:space="preserve">          6258 - MEMBERSHIP DUES</v>
      </c>
      <c r="C142" s="12"/>
      <c r="D142" s="8">
        <v>125</v>
      </c>
      <c r="E142" s="3"/>
      <c r="F142" s="7">
        <f t="shared" si="20"/>
        <v>2.4543733949379743E-4</v>
      </c>
      <c r="G142" s="3"/>
      <c r="H142" s="8"/>
      <c r="I142" s="3"/>
      <c r="J142" s="7">
        <f t="shared" si="21"/>
        <v>0</v>
      </c>
      <c r="K142" s="3"/>
      <c r="L142" s="8">
        <f t="shared" si="22"/>
        <v>125</v>
      </c>
      <c r="M142" s="3"/>
      <c r="N142" s="7">
        <f t="shared" si="23"/>
        <v>0</v>
      </c>
      <c r="O142" s="12"/>
      <c r="P142" s="8">
        <v>125</v>
      </c>
      <c r="Q142" s="3"/>
      <c r="R142" s="7">
        <f t="shared" si="24"/>
        <v>3.8039761197334656E-5</v>
      </c>
      <c r="S142" s="3"/>
      <c r="T142" s="8">
        <v>-368.03</v>
      </c>
      <c r="U142" s="3"/>
      <c r="V142" s="7">
        <f t="shared" si="25"/>
        <v>-2.4902548471312163E-4</v>
      </c>
      <c r="W142" s="3"/>
      <c r="X142" s="8">
        <f t="shared" si="26"/>
        <v>493.03</v>
      </c>
      <c r="Y142" s="3"/>
      <c r="Z142" s="7">
        <f t="shared" si="27"/>
        <v>-1.3396462244925686</v>
      </c>
    </row>
    <row r="143" spans="1:26" s="69" customFormat="1" ht="15" hidden="1" customHeight="1" outlineLevel="2" x14ac:dyDescent="0.3">
      <c r="A143" s="25"/>
      <c r="B143" s="12" t="str">
        <f>CONCATENATE("          ","6275"," - ","SUBSCRIPTIONS")</f>
        <v xml:space="preserve">          6275 - SUBSCRIPTIONS</v>
      </c>
      <c r="C143" s="12"/>
      <c r="D143" s="8"/>
      <c r="E143" s="3"/>
      <c r="F143" s="7">
        <f t="shared" si="20"/>
        <v>0</v>
      </c>
      <c r="G143" s="3"/>
      <c r="H143" s="8">
        <v>75</v>
      </c>
      <c r="I143" s="3"/>
      <c r="J143" s="7">
        <f t="shared" si="21"/>
        <v>4.4976774892980761E-4</v>
      </c>
      <c r="K143" s="3"/>
      <c r="L143" s="8">
        <f t="shared" si="22"/>
        <v>-75</v>
      </c>
      <c r="M143" s="3"/>
      <c r="N143" s="7">
        <f t="shared" si="23"/>
        <v>-1</v>
      </c>
      <c r="O143" s="12"/>
      <c r="P143" s="8"/>
      <c r="Q143" s="3"/>
      <c r="R143" s="7">
        <f t="shared" si="24"/>
        <v>0</v>
      </c>
      <c r="S143" s="3"/>
      <c r="T143" s="8">
        <v>375.73</v>
      </c>
      <c r="U143" s="3"/>
      <c r="V143" s="7">
        <f t="shared" si="25"/>
        <v>2.5423564755933266E-4</v>
      </c>
      <c r="W143" s="3"/>
      <c r="X143" s="8">
        <f t="shared" si="26"/>
        <v>-375.73</v>
      </c>
      <c r="Y143" s="3"/>
      <c r="Z143" s="7">
        <f t="shared" si="27"/>
        <v>-1</v>
      </c>
    </row>
    <row r="144" spans="1:26" s="68" customFormat="1" ht="15" customHeight="1" outlineLevel="1" collapsed="1" x14ac:dyDescent="0.3">
      <c r="A144" s="26"/>
      <c r="B144" s="14" t="str">
        <f>CONCATENATE("     ","Supplies                                          ")</f>
        <v xml:space="preserve">     Supplies                                          </v>
      </c>
      <c r="C144" s="14"/>
      <c r="D144" s="2">
        <f>SUM(OSRRefD22_18x_0)</f>
        <v>326.77000000000004</v>
      </c>
      <c r="E144" s="2"/>
      <c r="F144" s="6">
        <f t="shared" si="20"/>
        <v>6.4161247541110562E-4</v>
      </c>
      <c r="G144" s="2"/>
      <c r="H144" s="2">
        <f>SUM(OSRRefH22_18x_0)</f>
        <v>266.36</v>
      </c>
      <c r="I144" s="2"/>
      <c r="J144" s="6">
        <f t="shared" si="21"/>
        <v>1.5973351680659141E-3</v>
      </c>
      <c r="K144" s="2"/>
      <c r="L144" s="2">
        <f t="shared" si="22"/>
        <v>60.410000000000025</v>
      </c>
      <c r="M144" s="2"/>
      <c r="N144" s="6">
        <f t="shared" si="23"/>
        <v>0.22679831806577572</v>
      </c>
      <c r="O144" s="14"/>
      <c r="P144" s="2">
        <f>SUM(OSRRefP22_18x_0)</f>
        <v>9523.6200000000008</v>
      </c>
      <c r="Q144" s="2"/>
      <c r="R144" s="6">
        <f t="shared" si="24"/>
        <v>2.898209844273282E-3</v>
      </c>
      <c r="S144" s="2"/>
      <c r="T144" s="2">
        <f>SUM(OSRRefT22_18x_0)</f>
        <v>4189.1200000000008</v>
      </c>
      <c r="U144" s="2"/>
      <c r="V144" s="6">
        <f t="shared" si="25"/>
        <v>2.8345451145869423E-3</v>
      </c>
      <c r="W144" s="2"/>
      <c r="X144" s="2">
        <f t="shared" si="26"/>
        <v>5334.5</v>
      </c>
      <c r="Y144" s="2"/>
      <c r="Z144" s="6">
        <f t="shared" si="27"/>
        <v>1.2734178061263461</v>
      </c>
    </row>
    <row r="145" spans="1:26" s="69" customFormat="1" ht="15" hidden="1" customHeight="1" outlineLevel="2" x14ac:dyDescent="0.3">
      <c r="A145" s="25"/>
      <c r="B145" s="12" t="str">
        <f>CONCATENATE("          ","6234"," - ","EXPENDABLE SUPPLIES &amp; EQUIPMEN")</f>
        <v xml:space="preserve">          6234 - EXPENDABLE SUPPLIES &amp; EQUIPMEN</v>
      </c>
      <c r="C145" s="12"/>
      <c r="D145" s="8"/>
      <c r="E145" s="3"/>
      <c r="F145" s="7">
        <f t="shared" si="20"/>
        <v>0</v>
      </c>
      <c r="G145" s="3"/>
      <c r="H145" s="8"/>
      <c r="I145" s="3"/>
      <c r="J145" s="7">
        <f t="shared" si="21"/>
        <v>0</v>
      </c>
      <c r="K145" s="3"/>
      <c r="L145" s="8">
        <f t="shared" si="22"/>
        <v>0</v>
      </c>
      <c r="M145" s="3"/>
      <c r="N145" s="7">
        <f t="shared" si="23"/>
        <v>0</v>
      </c>
      <c r="O145" s="12"/>
      <c r="P145" s="8"/>
      <c r="Q145" s="3"/>
      <c r="R145" s="7">
        <f t="shared" si="24"/>
        <v>0</v>
      </c>
      <c r="S145" s="3"/>
      <c r="T145" s="8">
        <v>396.5</v>
      </c>
      <c r="U145" s="3"/>
      <c r="V145" s="7">
        <f t="shared" si="25"/>
        <v>2.6828955435359271E-4</v>
      </c>
      <c r="W145" s="3"/>
      <c r="X145" s="8">
        <f t="shared" si="26"/>
        <v>-396.5</v>
      </c>
      <c r="Y145" s="3"/>
      <c r="Z145" s="7">
        <f t="shared" si="27"/>
        <v>-1</v>
      </c>
    </row>
    <row r="146" spans="1:26" s="69" customFormat="1" ht="15" hidden="1" customHeight="1" outlineLevel="2" x14ac:dyDescent="0.3">
      <c r="A146" s="25"/>
      <c r="B146" s="12" t="str">
        <f>CONCATENATE("          ","6235"," - ","COVID-19 EXPENSES")</f>
        <v xml:space="preserve">          6235 - COVID-19 EXPENSES</v>
      </c>
      <c r="C146" s="12"/>
      <c r="D146" s="8"/>
      <c r="E146" s="3"/>
      <c r="F146" s="7">
        <f t="shared" si="20"/>
        <v>0</v>
      </c>
      <c r="G146" s="3"/>
      <c r="H146" s="8"/>
      <c r="I146" s="3"/>
      <c r="J146" s="7">
        <f t="shared" si="21"/>
        <v>0</v>
      </c>
      <c r="K146" s="3"/>
      <c r="L146" s="8">
        <f t="shared" si="22"/>
        <v>0</v>
      </c>
      <c r="M146" s="3"/>
      <c r="N146" s="7">
        <f t="shared" si="23"/>
        <v>0</v>
      </c>
      <c r="O146" s="12"/>
      <c r="P146" s="8"/>
      <c r="Q146" s="3"/>
      <c r="R146" s="7">
        <f t="shared" si="24"/>
        <v>0</v>
      </c>
      <c r="S146" s="3"/>
      <c r="T146" s="8">
        <v>1292.1300000000001</v>
      </c>
      <c r="U146" s="3"/>
      <c r="V146" s="7">
        <f t="shared" si="25"/>
        <v>8.7431269071099071E-4</v>
      </c>
      <c r="W146" s="3"/>
      <c r="X146" s="8">
        <f t="shared" si="26"/>
        <v>-1292.1300000000001</v>
      </c>
      <c r="Y146" s="3"/>
      <c r="Z146" s="7">
        <f t="shared" si="27"/>
        <v>-1</v>
      </c>
    </row>
    <row r="147" spans="1:26" s="69" customFormat="1" ht="15" hidden="1" customHeight="1" outlineLevel="2" x14ac:dyDescent="0.3">
      <c r="A147" s="25"/>
      <c r="B147" s="12" t="str">
        <f>CONCATENATE("          ","6237"," - ","JANITORIAL SUPPLIES")</f>
        <v xml:space="preserve">          6237 - JANITORIAL SUPPLIES</v>
      </c>
      <c r="C147" s="12"/>
      <c r="D147" s="8"/>
      <c r="E147" s="3"/>
      <c r="F147" s="7">
        <f t="shared" si="20"/>
        <v>0</v>
      </c>
      <c r="G147" s="3"/>
      <c r="H147" s="8"/>
      <c r="I147" s="3"/>
      <c r="J147" s="7">
        <f t="shared" si="21"/>
        <v>0</v>
      </c>
      <c r="K147" s="3"/>
      <c r="L147" s="8">
        <f t="shared" si="22"/>
        <v>0</v>
      </c>
      <c r="M147" s="3"/>
      <c r="N147" s="7">
        <f t="shared" si="23"/>
        <v>0</v>
      </c>
      <c r="O147" s="12"/>
      <c r="P147" s="8">
        <v>77.17</v>
      </c>
      <c r="Q147" s="3"/>
      <c r="R147" s="7">
        <f t="shared" si="24"/>
        <v>2.348422697278652E-5</v>
      </c>
      <c r="S147" s="3"/>
      <c r="T147" s="8">
        <v>191.74</v>
      </c>
      <c r="U147" s="3"/>
      <c r="V147" s="7">
        <f t="shared" si="25"/>
        <v>1.2973982131590889E-4</v>
      </c>
      <c r="W147" s="3"/>
      <c r="X147" s="8">
        <f t="shared" si="26"/>
        <v>-114.57000000000001</v>
      </c>
      <c r="Y147" s="3"/>
      <c r="Z147" s="7">
        <f t="shared" si="27"/>
        <v>-0.59752790236778974</v>
      </c>
    </row>
    <row r="148" spans="1:26" s="69" customFormat="1" ht="15" hidden="1" customHeight="1" outlineLevel="2" x14ac:dyDescent="0.3">
      <c r="A148" s="25"/>
      <c r="B148" s="12" t="str">
        <f>CONCATENATE("          ","6241"," - ","OFFICE EXPENSE")</f>
        <v xml:space="preserve">          6241 - OFFICE EXPENSE</v>
      </c>
      <c r="C148" s="12"/>
      <c r="D148" s="8">
        <v>258.54000000000002</v>
      </c>
      <c r="E148" s="3"/>
      <c r="F148" s="7">
        <f t="shared" si="20"/>
        <v>5.0764295802181118E-4</v>
      </c>
      <c r="G148" s="3"/>
      <c r="H148" s="8">
        <v>266.36</v>
      </c>
      <c r="I148" s="3"/>
      <c r="J148" s="7">
        <f t="shared" si="21"/>
        <v>1.5973351680659141E-3</v>
      </c>
      <c r="K148" s="3"/>
      <c r="L148" s="8">
        <f t="shared" si="22"/>
        <v>-7.8199999999999932</v>
      </c>
      <c r="M148" s="3"/>
      <c r="N148" s="7">
        <f t="shared" si="23"/>
        <v>-2.9358762576963481E-2</v>
      </c>
      <c r="O148" s="12"/>
      <c r="P148" s="8">
        <v>2281.81</v>
      </c>
      <c r="Q148" s="3"/>
      <c r="R148" s="7">
        <f t="shared" si="24"/>
        <v>6.943960599815215E-4</v>
      </c>
      <c r="S148" s="3"/>
      <c r="T148" s="8">
        <v>1198.52</v>
      </c>
      <c r="U148" s="3"/>
      <c r="V148" s="7">
        <f t="shared" si="25"/>
        <v>8.1097199668062536E-4</v>
      </c>
      <c r="W148" s="3"/>
      <c r="X148" s="8">
        <f t="shared" si="26"/>
        <v>1083.29</v>
      </c>
      <c r="Y148" s="3"/>
      <c r="Z148" s="7">
        <f t="shared" si="27"/>
        <v>0.90385642292160329</v>
      </c>
    </row>
    <row r="149" spans="1:26" s="69" customFormat="1" ht="15" hidden="1" customHeight="1" outlineLevel="2" x14ac:dyDescent="0.3">
      <c r="A149" s="25"/>
      <c r="B149" s="12" t="str">
        <f>CONCATENATE("          ","6245"," - ","PRINTING")</f>
        <v xml:space="preserve">          6245 - PRINTING</v>
      </c>
      <c r="C149" s="12"/>
      <c r="D149" s="8">
        <v>10.8</v>
      </c>
      <c r="E149" s="3"/>
      <c r="F149" s="7">
        <f t="shared" si="20"/>
        <v>2.1205786132264101E-5</v>
      </c>
      <c r="G149" s="3"/>
      <c r="H149" s="8"/>
      <c r="I149" s="3"/>
      <c r="J149" s="7">
        <f t="shared" si="21"/>
        <v>0</v>
      </c>
      <c r="K149" s="3"/>
      <c r="L149" s="8">
        <f t="shared" si="22"/>
        <v>10.8</v>
      </c>
      <c r="M149" s="3"/>
      <c r="N149" s="7">
        <f t="shared" si="23"/>
        <v>0</v>
      </c>
      <c r="O149" s="12"/>
      <c r="P149" s="8">
        <v>35.549999999999997</v>
      </c>
      <c r="Q149" s="3"/>
      <c r="R149" s="7">
        <f t="shared" si="24"/>
        <v>1.0818508084521974E-5</v>
      </c>
      <c r="S149" s="3"/>
      <c r="T149" s="8"/>
      <c r="U149" s="3"/>
      <c r="V149" s="7">
        <f t="shared" si="25"/>
        <v>0</v>
      </c>
      <c r="W149" s="3"/>
      <c r="X149" s="8">
        <f t="shared" si="26"/>
        <v>35.549999999999997</v>
      </c>
      <c r="Y149" s="3"/>
      <c r="Z149" s="7">
        <f t="shared" si="27"/>
        <v>0</v>
      </c>
    </row>
    <row r="150" spans="1:26" s="69" customFormat="1" ht="15" hidden="1" customHeight="1" outlineLevel="2" x14ac:dyDescent="0.3">
      <c r="A150" s="25"/>
      <c r="B150" s="12" t="str">
        <f>CONCATENATE("          ","6247"," - ","STORE SUPPLIES")</f>
        <v xml:space="preserve">          6247 - STORE SUPPLIES</v>
      </c>
      <c r="C150" s="12"/>
      <c r="D150" s="8">
        <v>57.43</v>
      </c>
      <c r="E150" s="3"/>
      <c r="F150" s="7">
        <f t="shared" ref="F150:F158" si="28">IF(D$12=0,0,D150/D$12)</f>
        <v>1.127637312570303E-4</v>
      </c>
      <c r="G150" s="3"/>
      <c r="H150" s="8"/>
      <c r="I150" s="3"/>
      <c r="J150" s="7">
        <f t="shared" ref="J150:J158" si="29">IF(H$12=0,0,H150/H$12)</f>
        <v>0</v>
      </c>
      <c r="K150" s="3"/>
      <c r="L150" s="8">
        <f t="shared" ref="L150:L158" si="30">+D150-H150</f>
        <v>57.43</v>
      </c>
      <c r="M150" s="3"/>
      <c r="N150" s="7">
        <f t="shared" ref="N150:N158" si="31">IF(H150=0,0,L150/H150)</f>
        <v>0</v>
      </c>
      <c r="O150" s="12"/>
      <c r="P150" s="8">
        <v>7129.09</v>
      </c>
      <c r="Q150" s="3"/>
      <c r="R150" s="7">
        <f t="shared" ref="R150:R158" si="32">IF(P$12=0,0,P150/P$12)</f>
        <v>2.1695110492344523E-3</v>
      </c>
      <c r="S150" s="3"/>
      <c r="T150" s="8">
        <v>1110.23</v>
      </c>
      <c r="U150" s="3"/>
      <c r="V150" s="7">
        <f t="shared" ref="V150:V158" si="33">IF(T$12=0,0,T150/T$12)</f>
        <v>7.5123105152582407E-4</v>
      </c>
      <c r="W150" s="3"/>
      <c r="X150" s="8">
        <f t="shared" ref="X150:X158" si="34">+P150-T150</f>
        <v>6018.8600000000006</v>
      </c>
      <c r="Y150" s="3"/>
      <c r="Z150" s="7">
        <f t="shared" ref="Z150:Z158" si="35">IF(T150=0,0,X150/T150)</f>
        <v>5.4212730695441493</v>
      </c>
    </row>
    <row r="151" spans="1:26" s="68" customFormat="1" ht="15" customHeight="1" outlineLevel="1" collapsed="1" x14ac:dyDescent="0.3">
      <c r="A151" s="26"/>
      <c r="B151" s="14" t="str">
        <f>CONCATENATE("     ","Telephone/Data Lines                              ")</f>
        <v xml:space="preserve">     Telephone/Data Lines                              </v>
      </c>
      <c r="C151" s="14"/>
      <c r="D151" s="2">
        <f>SUM(OSRRefD22_19x_0)</f>
        <v>536.59</v>
      </c>
      <c r="E151" s="2"/>
      <c r="F151" s="6">
        <f t="shared" si="28"/>
        <v>1.0535937759918142E-3</v>
      </c>
      <c r="G151" s="2"/>
      <c r="H151" s="2">
        <f>SUM(OSRRefH22_19x_0)</f>
        <v>326.89999999999998</v>
      </c>
      <c r="I151" s="2"/>
      <c r="J151" s="6">
        <f t="shared" si="29"/>
        <v>1.9603876950020547E-3</v>
      </c>
      <c r="K151" s="2"/>
      <c r="L151" s="2">
        <f t="shared" si="30"/>
        <v>209.69000000000005</v>
      </c>
      <c r="M151" s="2"/>
      <c r="N151" s="6">
        <f t="shared" si="31"/>
        <v>0.64144998470480286</v>
      </c>
      <c r="O151" s="14"/>
      <c r="P151" s="2">
        <f>SUM(OSRRefP22_19x_0)</f>
        <v>4678.51</v>
      </c>
      <c r="Q151" s="2"/>
      <c r="R151" s="6">
        <f t="shared" si="32"/>
        <v>1.4237552252747373E-3</v>
      </c>
      <c r="S151" s="2"/>
      <c r="T151" s="2">
        <f>SUM(OSRRefT22_19x_0)</f>
        <v>5428.73</v>
      </c>
      <c r="U151" s="2"/>
      <c r="V151" s="6">
        <f t="shared" si="33"/>
        <v>3.6733204348196199E-3</v>
      </c>
      <c r="W151" s="2"/>
      <c r="X151" s="2">
        <f t="shared" si="34"/>
        <v>-750.21999999999935</v>
      </c>
      <c r="Y151" s="2"/>
      <c r="Z151" s="6">
        <f t="shared" si="35"/>
        <v>-0.13819438432193154</v>
      </c>
    </row>
    <row r="152" spans="1:26" s="69" customFormat="1" ht="15" hidden="1" customHeight="1" outlineLevel="2" x14ac:dyDescent="0.3">
      <c r="A152" s="25"/>
      <c r="B152" s="12" t="str">
        <f>CONCATENATE("          ","6309"," - ","TELEPHONE")</f>
        <v xml:space="preserve">          6309 - TELEPHONE</v>
      </c>
      <c r="C152" s="12"/>
      <c r="D152" s="8">
        <v>536.59</v>
      </c>
      <c r="E152" s="3"/>
      <c r="F152" s="7">
        <f t="shared" si="28"/>
        <v>1.0535937759918142E-3</v>
      </c>
      <c r="G152" s="3"/>
      <c r="H152" s="8">
        <v>326.89999999999998</v>
      </c>
      <c r="I152" s="3"/>
      <c r="J152" s="7">
        <f t="shared" si="29"/>
        <v>1.9603876950020547E-3</v>
      </c>
      <c r="K152" s="3"/>
      <c r="L152" s="8">
        <f t="shared" si="30"/>
        <v>209.69000000000005</v>
      </c>
      <c r="M152" s="3"/>
      <c r="N152" s="7">
        <f t="shared" si="31"/>
        <v>0.64144998470480286</v>
      </c>
      <c r="O152" s="12"/>
      <c r="P152" s="8">
        <v>4678.51</v>
      </c>
      <c r="Q152" s="3"/>
      <c r="R152" s="7">
        <f t="shared" si="32"/>
        <v>1.4237552252747373E-3</v>
      </c>
      <c r="S152" s="3"/>
      <c r="T152" s="8">
        <v>5428.73</v>
      </c>
      <c r="U152" s="3"/>
      <c r="V152" s="7">
        <f t="shared" si="33"/>
        <v>3.6733204348196199E-3</v>
      </c>
      <c r="W152" s="3"/>
      <c r="X152" s="8">
        <f t="shared" si="34"/>
        <v>-750.21999999999935</v>
      </c>
      <c r="Y152" s="3"/>
      <c r="Z152" s="7">
        <f t="shared" si="35"/>
        <v>-0.13819438432193154</v>
      </c>
    </row>
    <row r="153" spans="1:26" s="68" customFormat="1" ht="15" customHeight="1" outlineLevel="1" collapsed="1" x14ac:dyDescent="0.3">
      <c r="A153" s="26"/>
      <c r="B153" s="14" t="str">
        <f>CONCATENATE("     ","Training                                          ")</f>
        <v xml:space="preserve">     Training                                          </v>
      </c>
      <c r="C153" s="14"/>
      <c r="D153" s="2">
        <f>SUM(OSRRefD22_20x_0)</f>
        <v>0</v>
      </c>
      <c r="E153" s="2"/>
      <c r="F153" s="6">
        <f t="shared" si="28"/>
        <v>0</v>
      </c>
      <c r="G153" s="2"/>
      <c r="H153" s="2">
        <f>SUM(OSRRefH22_20x_0)</f>
        <v>0</v>
      </c>
      <c r="I153" s="2"/>
      <c r="J153" s="6">
        <f t="shared" si="29"/>
        <v>0</v>
      </c>
      <c r="K153" s="2"/>
      <c r="L153" s="2">
        <f t="shared" si="30"/>
        <v>0</v>
      </c>
      <c r="M153" s="2"/>
      <c r="N153" s="6">
        <f t="shared" si="31"/>
        <v>0</v>
      </c>
      <c r="O153" s="14"/>
      <c r="P153" s="2">
        <f>SUM(OSRRefP22_20x_0)</f>
        <v>300</v>
      </c>
      <c r="Q153" s="2"/>
      <c r="R153" s="6">
        <f t="shared" si="32"/>
        <v>9.1295426873603169E-5</v>
      </c>
      <c r="S153" s="2"/>
      <c r="T153" s="2">
        <f>SUM(OSRRefT22_20x_0)</f>
        <v>0</v>
      </c>
      <c r="U153" s="2"/>
      <c r="V153" s="6">
        <f t="shared" si="33"/>
        <v>0</v>
      </c>
      <c r="W153" s="2"/>
      <c r="X153" s="2">
        <f t="shared" si="34"/>
        <v>300</v>
      </c>
      <c r="Y153" s="2"/>
      <c r="Z153" s="6">
        <f t="shared" si="35"/>
        <v>0</v>
      </c>
    </row>
    <row r="154" spans="1:26" s="69" customFormat="1" ht="15" hidden="1" customHeight="1" outlineLevel="2" x14ac:dyDescent="0.3">
      <c r="A154" s="25"/>
      <c r="B154" s="12" t="str">
        <f>CONCATENATE("          ","6376"," - ","TRAINING")</f>
        <v xml:space="preserve">          6376 - TRAINING</v>
      </c>
      <c r="C154" s="12"/>
      <c r="D154" s="8"/>
      <c r="E154" s="3"/>
      <c r="F154" s="7">
        <f t="shared" si="28"/>
        <v>0</v>
      </c>
      <c r="G154" s="3"/>
      <c r="H154" s="8"/>
      <c r="I154" s="3"/>
      <c r="J154" s="7">
        <f t="shared" si="29"/>
        <v>0</v>
      </c>
      <c r="K154" s="3"/>
      <c r="L154" s="8">
        <f t="shared" si="30"/>
        <v>0</v>
      </c>
      <c r="M154" s="3"/>
      <c r="N154" s="7">
        <f t="shared" si="31"/>
        <v>0</v>
      </c>
      <c r="O154" s="12"/>
      <c r="P154" s="8">
        <v>300</v>
      </c>
      <c r="Q154" s="3"/>
      <c r="R154" s="7">
        <f t="shared" si="32"/>
        <v>9.1295426873603169E-5</v>
      </c>
      <c r="S154" s="3"/>
      <c r="T154" s="8"/>
      <c r="U154" s="3"/>
      <c r="V154" s="7">
        <f t="shared" si="33"/>
        <v>0</v>
      </c>
      <c r="W154" s="3"/>
      <c r="X154" s="8">
        <f t="shared" si="34"/>
        <v>300</v>
      </c>
      <c r="Y154" s="3"/>
      <c r="Z154" s="7">
        <f t="shared" si="35"/>
        <v>0</v>
      </c>
    </row>
    <row r="155" spans="1:26" s="68" customFormat="1" ht="15" customHeight="1" outlineLevel="1" collapsed="1" x14ac:dyDescent="0.3">
      <c r="A155" s="26"/>
      <c r="B155" s="14" t="str">
        <f>CONCATENATE("     ","Travel                                            ")</f>
        <v xml:space="preserve">     Travel                                            </v>
      </c>
      <c r="C155" s="14"/>
      <c r="D155" s="2">
        <f>SUM(OSRRefD22_21x_0)</f>
        <v>46.81</v>
      </c>
      <c r="E155" s="2"/>
      <c r="F155" s="6">
        <f t="shared" si="28"/>
        <v>9.1911374893637274E-5</v>
      </c>
      <c r="G155" s="2"/>
      <c r="H155" s="2">
        <f>SUM(OSRRefH22_21x_0)</f>
        <v>93.02</v>
      </c>
      <c r="I155" s="2"/>
      <c r="J155" s="6">
        <f t="shared" si="29"/>
        <v>5.5783194673934269E-4</v>
      </c>
      <c r="K155" s="2"/>
      <c r="L155" s="2">
        <f t="shared" si="30"/>
        <v>-46.209999999999994</v>
      </c>
      <c r="M155" s="2"/>
      <c r="N155" s="6">
        <f t="shared" si="31"/>
        <v>-0.49677488712104917</v>
      </c>
      <c r="O155" s="14"/>
      <c r="P155" s="2">
        <f>SUM(OSRRefP22_21x_0)</f>
        <v>403.48</v>
      </c>
      <c r="Q155" s="2"/>
      <c r="R155" s="6">
        <f t="shared" si="32"/>
        <v>1.227862627832047E-4</v>
      </c>
      <c r="S155" s="2"/>
      <c r="T155" s="2">
        <f>SUM(OSRRefT22_21x_0)</f>
        <v>544.28</v>
      </c>
      <c r="U155" s="2"/>
      <c r="V155" s="6">
        <f t="shared" si="33"/>
        <v>3.682840823293151E-4</v>
      </c>
      <c r="W155" s="2"/>
      <c r="X155" s="2">
        <f t="shared" si="34"/>
        <v>-140.79999999999995</v>
      </c>
      <c r="Y155" s="2"/>
      <c r="Z155" s="6">
        <f t="shared" si="35"/>
        <v>-0.25869037995149546</v>
      </c>
    </row>
    <row r="156" spans="1:26" s="69" customFormat="1" ht="15" hidden="1" customHeight="1" outlineLevel="2" x14ac:dyDescent="0.3">
      <c r="A156" s="25"/>
      <c r="B156" s="12" t="str">
        <f>CONCATENATE("          ","6294"," - ","TRAVEL OPERATIONAL")</f>
        <v xml:space="preserve">          6294 - TRAVEL OPERATIONAL</v>
      </c>
      <c r="C156" s="12"/>
      <c r="D156" s="8">
        <v>46.81</v>
      </c>
      <c r="E156" s="3"/>
      <c r="F156" s="7">
        <f t="shared" si="28"/>
        <v>9.1911374893637274E-5</v>
      </c>
      <c r="G156" s="3"/>
      <c r="H156" s="8">
        <v>93.02</v>
      </c>
      <c r="I156" s="3"/>
      <c r="J156" s="7">
        <f t="shared" si="29"/>
        <v>5.5783194673934269E-4</v>
      </c>
      <c r="K156" s="3"/>
      <c r="L156" s="8">
        <f t="shared" si="30"/>
        <v>-46.209999999999994</v>
      </c>
      <c r="M156" s="3"/>
      <c r="N156" s="7">
        <f t="shared" si="31"/>
        <v>-0.49677488712104917</v>
      </c>
      <c r="O156" s="12"/>
      <c r="P156" s="8">
        <v>403.48</v>
      </c>
      <c r="Q156" s="3"/>
      <c r="R156" s="7">
        <f t="shared" si="32"/>
        <v>1.227862627832047E-4</v>
      </c>
      <c r="S156" s="3"/>
      <c r="T156" s="8">
        <v>544.28</v>
      </c>
      <c r="U156" s="3"/>
      <c r="V156" s="7">
        <f t="shared" si="33"/>
        <v>3.682840823293151E-4</v>
      </c>
      <c r="W156" s="3"/>
      <c r="X156" s="8">
        <f t="shared" si="34"/>
        <v>-140.79999999999995</v>
      </c>
      <c r="Y156" s="3"/>
      <c r="Z156" s="7">
        <f t="shared" si="35"/>
        <v>-0.25869037995149546</v>
      </c>
    </row>
    <row r="157" spans="1:26" s="68" customFormat="1" ht="15" customHeight="1" outlineLevel="1" collapsed="1" x14ac:dyDescent="0.3">
      <c r="A157" s="26"/>
      <c r="B157" s="14" t="str">
        <f>CONCATENATE("     ","Utilities                                         ")</f>
        <v xml:space="preserve">     Utilities                                         </v>
      </c>
      <c r="C157" s="14"/>
      <c r="D157" s="2">
        <f>SUM(OSRRefD22_22x_0)</f>
        <v>137.83000000000001</v>
      </c>
      <c r="E157" s="2"/>
      <c r="F157" s="6">
        <f t="shared" si="28"/>
        <v>2.7062902801944087E-4</v>
      </c>
      <c r="G157" s="2"/>
      <c r="H157" s="2">
        <f>SUM(OSRRefH22_22x_0)</f>
        <v>30.45</v>
      </c>
      <c r="I157" s="2"/>
      <c r="J157" s="6">
        <f t="shared" si="29"/>
        <v>1.8260570606550187E-4</v>
      </c>
      <c r="K157" s="2"/>
      <c r="L157" s="2">
        <f t="shared" si="30"/>
        <v>107.38000000000001</v>
      </c>
      <c r="M157" s="2"/>
      <c r="N157" s="6">
        <f t="shared" si="31"/>
        <v>3.5264367816091959</v>
      </c>
      <c r="O157" s="14"/>
      <c r="P157" s="2">
        <f>SUM(OSRRefP22_22x_0)</f>
        <v>1032.9000000000001</v>
      </c>
      <c r="Q157" s="2"/>
      <c r="R157" s="6">
        <f t="shared" si="32"/>
        <v>3.1433015472581574E-4</v>
      </c>
      <c r="S157" s="2"/>
      <c r="T157" s="2">
        <f>SUM(OSRRefT22_22x_0)</f>
        <v>235.6</v>
      </c>
      <c r="U157" s="2"/>
      <c r="V157" s="6">
        <f t="shared" si="33"/>
        <v>1.5941745020354715E-4</v>
      </c>
      <c r="W157" s="2"/>
      <c r="X157" s="2">
        <f t="shared" si="34"/>
        <v>797.30000000000007</v>
      </c>
      <c r="Y157" s="2"/>
      <c r="Z157" s="6">
        <f t="shared" si="35"/>
        <v>3.3841256366723265</v>
      </c>
    </row>
    <row r="158" spans="1:26" s="69" customFormat="1" ht="15" hidden="1" customHeight="1" outlineLevel="2" x14ac:dyDescent="0.3">
      <c r="A158" s="25"/>
      <c r="B158" s="12" t="str">
        <f>CONCATENATE("          ","6274"," - ","UTILITIES")</f>
        <v xml:space="preserve">          6274 - UTILITIES</v>
      </c>
      <c r="C158" s="12"/>
      <c r="D158" s="8">
        <v>137.83000000000001</v>
      </c>
      <c r="E158" s="3"/>
      <c r="F158" s="7">
        <f t="shared" si="28"/>
        <v>2.7062902801944087E-4</v>
      </c>
      <c r="G158" s="3"/>
      <c r="H158" s="8">
        <v>30.45</v>
      </c>
      <c r="I158" s="3"/>
      <c r="J158" s="7">
        <f t="shared" si="29"/>
        <v>1.8260570606550187E-4</v>
      </c>
      <c r="K158" s="3"/>
      <c r="L158" s="8">
        <f t="shared" si="30"/>
        <v>107.38000000000001</v>
      </c>
      <c r="M158" s="3"/>
      <c r="N158" s="7">
        <f t="shared" si="31"/>
        <v>3.5264367816091959</v>
      </c>
      <c r="O158" s="12"/>
      <c r="P158" s="8">
        <v>1032.9000000000001</v>
      </c>
      <c r="Q158" s="3"/>
      <c r="R158" s="7">
        <f t="shared" si="32"/>
        <v>3.1433015472581574E-4</v>
      </c>
      <c r="S158" s="3"/>
      <c r="T158" s="8">
        <v>235.6</v>
      </c>
      <c r="U158" s="3"/>
      <c r="V158" s="7">
        <f t="shared" si="33"/>
        <v>1.5941745020354715E-4</v>
      </c>
      <c r="W158" s="3"/>
      <c r="X158" s="8">
        <f t="shared" si="34"/>
        <v>797.30000000000007</v>
      </c>
      <c r="Y158" s="3"/>
      <c r="Z158" s="7">
        <f t="shared" si="35"/>
        <v>3.3841256366723265</v>
      </c>
    </row>
    <row r="159" spans="1:26" s="64" customFormat="1" ht="15" customHeight="1" x14ac:dyDescent="0.3">
      <c r="A159" s="36"/>
      <c r="B159" s="36"/>
      <c r="C159" s="36"/>
      <c r="D159" s="2"/>
      <c r="E159" s="2"/>
      <c r="F159" s="6"/>
      <c r="G159" s="2"/>
      <c r="H159" s="2"/>
      <c r="I159" s="2"/>
      <c r="J159" s="6"/>
      <c r="K159" s="2"/>
      <c r="L159" s="2"/>
      <c r="M159" s="2"/>
      <c r="N159" s="6"/>
      <c r="O159" s="36"/>
      <c r="P159" s="2"/>
      <c r="Q159" s="2"/>
      <c r="R159" s="6"/>
      <c r="S159" s="2"/>
      <c r="T159" s="2"/>
      <c r="U159" s="2"/>
      <c r="V159" s="6"/>
      <c r="W159" s="2"/>
      <c r="X159" s="2"/>
      <c r="Y159" s="2"/>
      <c r="Z159" s="6"/>
    </row>
    <row r="160" spans="1:26" s="62" customFormat="1" ht="15" customHeight="1" collapsed="1" x14ac:dyDescent="0.3">
      <c r="A160" s="11"/>
      <c r="B160" s="28" t="s">
        <v>290</v>
      </c>
      <c r="C160" s="11"/>
      <c r="D160" s="5">
        <f>SUM(OSRRefD25x_0)</f>
        <v>175055</v>
      </c>
      <c r="E160" s="5"/>
      <c r="F160" s="13">
        <f>IF(D$12=0,0,D160/D$12)</f>
        <v>0.3437202677206937</v>
      </c>
      <c r="G160" s="5"/>
      <c r="H160" s="5">
        <f>SUM(OSRRefH25x_0)</f>
        <v>175014.7</v>
      </c>
      <c r="I160" s="5"/>
      <c r="J160" s="13">
        <f>IF(H$12=0,0,H160/H$12)</f>
        <v>1.049546235315008</v>
      </c>
      <c r="K160" s="5"/>
      <c r="L160" s="5">
        <f>+D160-H160</f>
        <v>40.299999999988358</v>
      </c>
      <c r="M160" s="5"/>
      <c r="N160" s="13">
        <f>IF(H160=0,0,L160/H160)</f>
        <v>2.3026637191040728E-4</v>
      </c>
      <c r="O160" s="11"/>
      <c r="P160" s="5">
        <f>SUM(OSRRefP25x_0)</f>
        <v>333702.37</v>
      </c>
      <c r="Q160" s="5"/>
      <c r="R160" s="13">
        <f>IF(P$12=0,0,P160/P$12)</f>
        <v>0.10155166772627688</v>
      </c>
      <c r="S160" s="5"/>
      <c r="T160" s="5">
        <f>SUM(OSRRefT25x_0)</f>
        <v>392807.77</v>
      </c>
      <c r="U160" s="5"/>
      <c r="V160" s="13">
        <f>IF(T$12=0,0,T160/T$12)</f>
        <v>0.26579122713727255</v>
      </c>
      <c r="W160" s="5"/>
      <c r="X160" s="5">
        <f>+P160-T160</f>
        <v>-59105.400000000023</v>
      </c>
      <c r="Y160" s="5"/>
      <c r="Z160" s="13">
        <f>IF(T160=0,0,X160/T160)</f>
        <v>-0.15046901949011859</v>
      </c>
    </row>
    <row r="161" spans="1:26" s="69" customFormat="1" ht="15" hidden="1" customHeight="1" outlineLevel="1" x14ac:dyDescent="0.3">
      <c r="A161" s="42"/>
      <c r="B161" s="12" t="str">
        <f>CONCATENATE("          ","9150"," - ","MISC. INCOME")</f>
        <v xml:space="preserve">          9150 - MISC. INCOME</v>
      </c>
      <c r="C161" s="12"/>
      <c r="D161" s="3">
        <f>0</f>
        <v>0</v>
      </c>
      <c r="E161" s="3"/>
      <c r="F161" s="20">
        <f>IF(D$12=0,0,D161/D$12)</f>
        <v>0</v>
      </c>
      <c r="G161" s="3"/>
      <c r="H161" s="3">
        <f>0</f>
        <v>0</v>
      </c>
      <c r="I161" s="3"/>
      <c r="J161" s="20">
        <f>IF(H$12=0,0,H161/H$12)</f>
        <v>0</v>
      </c>
      <c r="K161" s="3"/>
      <c r="L161" s="3">
        <f>+D161-H161</f>
        <v>0</v>
      </c>
      <c r="M161" s="3"/>
      <c r="N161" s="20">
        <f>IF(H161=0,0,L161/H161)</f>
        <v>0</v>
      </c>
      <c r="O161" s="12"/>
      <c r="P161" s="3">
        <f>--78871.67</f>
        <v>78871.67</v>
      </c>
      <c r="Q161" s="3"/>
      <c r="R161" s="20">
        <f>IF(P$12=0,0,P161/P$12)</f>
        <v>2.4002075936279867E-2</v>
      </c>
      <c r="S161" s="3"/>
      <c r="T161" s="3">
        <f>--46373.31</f>
        <v>46373.31</v>
      </c>
      <c r="U161" s="3"/>
      <c r="V161" s="20">
        <f>IF(T$12=0,0,T161/T$12)</f>
        <v>3.1378246339977316E-2</v>
      </c>
      <c r="W161" s="3"/>
      <c r="X161" s="3">
        <f>+P161-T161</f>
        <v>32498.36</v>
      </c>
      <c r="Y161" s="3"/>
      <c r="Z161" s="20">
        <f>IF(T161=0,0,X161/T161)</f>
        <v>0.7007987999993962</v>
      </c>
    </row>
    <row r="162" spans="1:26" s="69" customFormat="1" ht="15" hidden="1" customHeight="1" outlineLevel="1" x14ac:dyDescent="0.3">
      <c r="A162" s="42"/>
      <c r="B162" s="12" t="str">
        <f>CONCATENATE("          ","9163"," - ","MISC. INCOME")</f>
        <v xml:space="preserve">          9163 - MISC. INCOME</v>
      </c>
      <c r="C162" s="12"/>
      <c r="D162" s="3">
        <f>--175055</f>
        <v>175055</v>
      </c>
      <c r="E162" s="3"/>
      <c r="F162" s="20">
        <f>IF(D$12=0,0,D162/D$12)</f>
        <v>0.3437202677206937</v>
      </c>
      <c r="G162" s="3"/>
      <c r="H162" s="3">
        <f>--175014.7</f>
        <v>175014.7</v>
      </c>
      <c r="I162" s="3"/>
      <c r="J162" s="20">
        <f>IF(H$12=0,0,H162/H$12)</f>
        <v>1.049546235315008</v>
      </c>
      <c r="K162" s="3"/>
      <c r="L162" s="3">
        <f>+D162-H162</f>
        <v>40.299999999988358</v>
      </c>
      <c r="M162" s="3"/>
      <c r="N162" s="20">
        <f>IF(H162=0,0,L162/H162)</f>
        <v>2.3026637191040728E-4</v>
      </c>
      <c r="O162" s="12"/>
      <c r="P162" s="3">
        <f>--254830.7</f>
        <v>254830.7</v>
      </c>
      <c r="Q162" s="3"/>
      <c r="R162" s="20">
        <f>IF(P$12=0,0,P162/P$12)</f>
        <v>7.7549591789997027E-2</v>
      </c>
      <c r="S162" s="3"/>
      <c r="T162" s="3">
        <f>--346434.46</f>
        <v>346434.46</v>
      </c>
      <c r="U162" s="3"/>
      <c r="V162" s="20">
        <f>IF(T$12=0,0,T162/T$12)</f>
        <v>0.23441298079729522</v>
      </c>
      <c r="W162" s="3"/>
      <c r="X162" s="3">
        <f>+P162-T162</f>
        <v>-91603.760000000009</v>
      </c>
      <c r="Y162" s="3"/>
      <c r="Z162" s="20">
        <f>IF(T162=0,0,X162/T162)</f>
        <v>-0.26441873016904843</v>
      </c>
    </row>
    <row r="163" spans="1:26" ht="15" customHeight="1" x14ac:dyDescent="0.3">
      <c r="A163" s="10"/>
      <c r="B163" s="11"/>
      <c r="C163" s="11"/>
      <c r="D163" s="4"/>
      <c r="E163" s="4"/>
      <c r="F163" s="9"/>
      <c r="G163" s="4"/>
      <c r="H163" s="4"/>
      <c r="I163" s="4"/>
      <c r="J163" s="9"/>
      <c r="K163" s="4"/>
      <c r="L163" s="4"/>
      <c r="M163" s="4"/>
      <c r="N163" s="9"/>
      <c r="O163" s="11"/>
      <c r="P163" s="4"/>
      <c r="Q163" s="4"/>
      <c r="R163" s="9"/>
      <c r="S163" s="4"/>
      <c r="T163" s="4"/>
      <c r="U163" s="4"/>
      <c r="V163" s="9"/>
      <c r="W163" s="4"/>
      <c r="X163" s="4"/>
      <c r="Y163" s="4"/>
      <c r="Z163" s="9"/>
    </row>
    <row r="164" spans="1:26" s="62" customFormat="1" ht="15" customHeight="1" x14ac:dyDescent="0.3">
      <c r="A164" s="11"/>
      <c r="B164" s="27" t="s">
        <v>291</v>
      </c>
      <c r="C164" s="27"/>
      <c r="D164" s="22">
        <f>+D84-D86+D160</f>
        <v>361263.93000000005</v>
      </c>
      <c r="E164" s="15"/>
      <c r="F164" s="21">
        <f>IF(D$12=0,0,D164/D$12)</f>
        <v>0.70934126267418796</v>
      </c>
      <c r="G164" s="15"/>
      <c r="H164" s="22">
        <f>+H84-H86+H160</f>
        <v>188846.75000000003</v>
      </c>
      <c r="I164" s="15"/>
      <c r="J164" s="21">
        <f>IF(H$12=0,0,H164/H$12)</f>
        <v>1.1324957018694688</v>
      </c>
      <c r="K164" s="17"/>
      <c r="L164" s="22">
        <f>+D164-H164</f>
        <v>172417.18000000002</v>
      </c>
      <c r="M164" s="17"/>
      <c r="N164" s="21">
        <f>IF(H164=0,0,L164/H164)</f>
        <v>0.91300051496782442</v>
      </c>
      <c r="O164" s="28"/>
      <c r="P164" s="22">
        <f>+P84-P86+P160</f>
        <v>1161966.4999999995</v>
      </c>
      <c r="Q164" s="15"/>
      <c r="R164" s="21">
        <f>IF(P$12=0,0,P164/P$12)</f>
        <v>0.35360742543442192</v>
      </c>
      <c r="S164" s="15"/>
      <c r="T164" s="22">
        <f>+T84-T86+T160</f>
        <v>428581.31000000017</v>
      </c>
      <c r="U164" s="15"/>
      <c r="V164" s="21">
        <f>IF(T$12=0,0,T164/T$12)</f>
        <v>0.28999719713538213</v>
      </c>
      <c r="W164" s="17"/>
      <c r="X164" s="22">
        <f>+P164-T164</f>
        <v>733385.18999999936</v>
      </c>
      <c r="Y164" s="17"/>
      <c r="Z164" s="21">
        <f>IF(T164=0,0,X164/T164)</f>
        <v>1.7111926556013353</v>
      </c>
    </row>
    <row r="165" spans="1:26" ht="15" customHeight="1" x14ac:dyDescent="0.3">
      <c r="A165" s="10"/>
      <c r="B165" s="11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2" customFormat="1" ht="15" customHeight="1" x14ac:dyDescent="0.3">
      <c r="A166" s="48"/>
      <c r="B166" s="11" t="s">
        <v>292</v>
      </c>
      <c r="C166" s="11"/>
      <c r="D166" s="5">
        <v>45580.01</v>
      </c>
      <c r="E166" s="5"/>
      <c r="F166" s="13">
        <f>IF(D$12=0,0,D166/D$12)</f>
        <v>8.9496291108005471E-2</v>
      </c>
      <c r="G166" s="5"/>
      <c r="H166" s="5">
        <v>44928.43</v>
      </c>
      <c r="I166" s="5"/>
      <c r="J166" s="13">
        <f>IF(H$12=0,0,H166/H$12)</f>
        <v>0.26943145098733912</v>
      </c>
      <c r="K166" s="5"/>
      <c r="L166" s="5">
        <f>+D166-H166</f>
        <v>651.58000000000175</v>
      </c>
      <c r="M166" s="5"/>
      <c r="N166" s="13">
        <f>IF(H166=0,0,L166/H166)</f>
        <v>1.4502621168823431E-2</v>
      </c>
      <c r="O166" s="11"/>
      <c r="P166" s="5">
        <v>392180.26</v>
      </c>
      <c r="Q166" s="5"/>
      <c r="R166" s="13">
        <f>IF(P$12=0,0,P166/P$12)</f>
        <v>0.11934754749366892</v>
      </c>
      <c r="S166" s="5"/>
      <c r="T166" s="5">
        <v>304578.7</v>
      </c>
      <c r="U166" s="5"/>
      <c r="V166" s="13">
        <f>IF(T$12=0,0,T166/T$12)</f>
        <v>0.20609150993340886</v>
      </c>
      <c r="W166" s="5"/>
      <c r="X166" s="5">
        <f>+P166-T166</f>
        <v>87601.56</v>
      </c>
      <c r="Y166" s="5"/>
      <c r="Z166" s="13">
        <f>IF(T166=0,0,X166/T166)</f>
        <v>0.28761551612112074</v>
      </c>
    </row>
    <row r="167" spans="1:26" ht="15" customHeight="1" x14ac:dyDescent="0.3">
      <c r="A167" s="10"/>
      <c r="B167" s="11"/>
      <c r="C167" s="11"/>
      <c r="D167" s="4"/>
      <c r="E167" s="4"/>
      <c r="F167" s="9"/>
      <c r="G167" s="4"/>
      <c r="H167" s="4"/>
      <c r="I167" s="4"/>
      <c r="J167" s="9"/>
      <c r="K167" s="4"/>
      <c r="L167" s="4"/>
      <c r="M167" s="4"/>
      <c r="N167" s="9"/>
      <c r="O167" s="11"/>
      <c r="P167" s="4"/>
      <c r="Q167" s="4"/>
      <c r="R167" s="9"/>
      <c r="S167" s="4"/>
      <c r="T167" s="4"/>
      <c r="U167" s="4"/>
      <c r="V167" s="9"/>
      <c r="W167" s="4"/>
      <c r="X167" s="4"/>
      <c r="Y167" s="4"/>
      <c r="Z167" s="9"/>
    </row>
    <row r="168" spans="1:26" s="62" customFormat="1" ht="15" customHeight="1" x14ac:dyDescent="0.3">
      <c r="A168" s="11"/>
      <c r="B168" s="27" t="s">
        <v>293</v>
      </c>
      <c r="C168" s="27"/>
      <c r="D168" s="34">
        <f>+D164-D166</f>
        <v>315683.92000000004</v>
      </c>
      <c r="E168" s="15"/>
      <c r="F168" s="33">
        <f>IF(D$12=0,0,D168/D$12)</f>
        <v>0.61984497156618246</v>
      </c>
      <c r="G168" s="15"/>
      <c r="H168" s="34">
        <f>+H164-H166</f>
        <v>143918.32000000004</v>
      </c>
      <c r="I168" s="15"/>
      <c r="J168" s="33">
        <f>IF(H$12=0,0,H168/H$12)</f>
        <v>0.86306425088212968</v>
      </c>
      <c r="K168" s="17"/>
      <c r="L168" s="34">
        <f>D168-H168</f>
        <v>171765.6</v>
      </c>
      <c r="M168" s="17"/>
      <c r="N168" s="33">
        <f>IF(H168=0,0,L168/H168)</f>
        <v>1.1934936427829339</v>
      </c>
      <c r="O168" s="28"/>
      <c r="P168" s="34">
        <f>+P164-P166</f>
        <v>769786.23999999953</v>
      </c>
      <c r="Q168" s="15"/>
      <c r="R168" s="33">
        <f>IF(P$12=0,0,P168/P$12)</f>
        <v>0.23425987794075298</v>
      </c>
      <c r="S168" s="15"/>
      <c r="T168" s="34">
        <f>+T164-T166</f>
        <v>124002.61000000016</v>
      </c>
      <c r="U168" s="15"/>
      <c r="V168" s="33">
        <f>IF(T$12=0,0,T168/T$12)</f>
        <v>8.3905687201973278E-2</v>
      </c>
      <c r="W168" s="17"/>
      <c r="X168" s="34">
        <f>P168-T168</f>
        <v>645783.62999999942</v>
      </c>
      <c r="Y168" s="17"/>
      <c r="Z168" s="33">
        <f>IF(T168=0,0,X168/T168)</f>
        <v>5.2078228837280003</v>
      </c>
    </row>
    <row r="169" spans="1:26" ht="15" customHeight="1" x14ac:dyDescent="0.3">
      <c r="A169" s="10"/>
      <c r="B169" s="10"/>
      <c r="C169" s="10"/>
      <c r="D169" s="4"/>
      <c r="E169" s="4"/>
      <c r="F169" s="9"/>
      <c r="G169" s="4"/>
      <c r="H169" s="4"/>
      <c r="I169" s="4"/>
      <c r="J169" s="9"/>
      <c r="K169" s="4"/>
      <c r="L169" s="4"/>
      <c r="M169" s="4"/>
      <c r="N169" s="9"/>
      <c r="P169" s="4"/>
      <c r="Q169" s="4"/>
      <c r="R169" s="9"/>
      <c r="S169" s="4"/>
      <c r="T169" s="4"/>
      <c r="U169" s="4"/>
      <c r="V169" s="9"/>
      <c r="W169" s="4"/>
      <c r="X169" s="4"/>
      <c r="Y169" s="4"/>
      <c r="Z169" s="9"/>
    </row>
    <row r="170" spans="1:26" ht="15" customHeight="1" x14ac:dyDescent="0.3">
      <c r="A170" s="10"/>
      <c r="B170" s="10"/>
      <c r="C170" s="10"/>
      <c r="D170" s="4"/>
      <c r="E170" s="4"/>
      <c r="F170" s="9"/>
      <c r="G170" s="4"/>
      <c r="H170" s="4"/>
      <c r="I170" s="4"/>
      <c r="J170" s="9"/>
      <c r="K170" s="4"/>
      <c r="L170" s="4"/>
      <c r="M170" s="4"/>
      <c r="N170" s="9"/>
      <c r="P170" s="4"/>
      <c r="Q170" s="4"/>
      <c r="R170" s="9"/>
      <c r="S170" s="4"/>
      <c r="T170" s="4"/>
      <c r="U170" s="4"/>
      <c r="V170" s="9"/>
      <c r="W170" s="4"/>
      <c r="X170" s="4"/>
      <c r="Y170" s="4"/>
      <c r="Z170" s="9"/>
    </row>
    <row r="171" spans="1:26" s="62" customFormat="1" ht="15" customHeight="1" x14ac:dyDescent="0.3">
      <c r="A171" s="11"/>
      <c r="B171" s="27" t="s">
        <v>296</v>
      </c>
      <c r="C171" s="27"/>
      <c r="D171" s="31">
        <f>SUM(D168:D170)</f>
        <v>315683.92000000004</v>
      </c>
      <c r="E171" s="15"/>
      <c r="F171" s="32">
        <f>IF(D$12=0,0,D171/D$12)</f>
        <v>0.61984497156618246</v>
      </c>
      <c r="G171" s="15"/>
      <c r="H171" s="31">
        <f>SUM(H168:H170)</f>
        <v>143918.32000000004</v>
      </c>
      <c r="I171" s="15"/>
      <c r="J171" s="32">
        <f>IF(H$12=0,0,H171/H$12)</f>
        <v>0.86306425088212968</v>
      </c>
      <c r="K171" s="17"/>
      <c r="L171" s="31">
        <f>+D171-H171</f>
        <v>171765.6</v>
      </c>
      <c r="M171" s="17"/>
      <c r="N171" s="32">
        <f>IF(H171=0,0,L171/H171)</f>
        <v>1.1934936427829339</v>
      </c>
      <c r="O171" s="28"/>
      <c r="P171" s="31">
        <f>SUM(P168:P170)</f>
        <v>769786.23999999953</v>
      </c>
      <c r="Q171" s="15"/>
      <c r="R171" s="32">
        <f>IF(P$12=0,0,P171/P$12)</f>
        <v>0.23425987794075298</v>
      </c>
      <c r="S171" s="15"/>
      <c r="T171" s="31">
        <f>SUM(T168:T170)</f>
        <v>124002.61000000016</v>
      </c>
      <c r="U171" s="15"/>
      <c r="V171" s="32">
        <f>IF(T$12=0,0,T171/T$12)</f>
        <v>8.3905687201973278E-2</v>
      </c>
      <c r="W171" s="17"/>
      <c r="X171" s="31">
        <f>+P171-T171</f>
        <v>645783.62999999942</v>
      </c>
      <c r="Y171" s="17"/>
      <c r="Z171" s="32">
        <f>IF(T171=0,0,X171/T171)</f>
        <v>5.2078228837280003</v>
      </c>
    </row>
    <row r="172" spans="1:26" ht="15" customHeight="1" x14ac:dyDescent="0.3">
      <c r="A172" s="10"/>
      <c r="C172" s="10"/>
      <c r="D172" s="19"/>
      <c r="E172" s="19"/>
      <c r="G172" s="19"/>
      <c r="H172" s="19"/>
      <c r="I172" s="19"/>
      <c r="J172" s="40"/>
      <c r="K172" s="19"/>
      <c r="L172" s="19"/>
      <c r="M172" s="19"/>
      <c r="P172" s="19"/>
      <c r="Q172" s="19"/>
      <c r="R172" s="40"/>
      <c r="S172" s="19"/>
      <c r="T172" s="19"/>
      <c r="U172" s="19"/>
      <c r="V172" s="40"/>
      <c r="W172" s="19"/>
      <c r="X172" s="19"/>
    </row>
    <row r="173" spans="1:26" ht="15" customHeight="1" x14ac:dyDescent="0.3">
      <c r="A173" s="10"/>
      <c r="B173" s="56">
        <v>44663.038555671294</v>
      </c>
      <c r="D173" s="19"/>
      <c r="E173" s="19"/>
      <c r="G173" s="19"/>
      <c r="H173" s="19"/>
      <c r="I173" s="19"/>
      <c r="J173" s="40"/>
      <c r="K173" s="19"/>
      <c r="L173" s="19"/>
      <c r="M173" s="19"/>
      <c r="P173" s="19"/>
      <c r="Q173" s="19"/>
      <c r="R173" s="40"/>
      <c r="S173" s="19"/>
      <c r="T173" s="19"/>
      <c r="U173" s="19"/>
      <c r="V173" s="40"/>
      <c r="W173" s="19"/>
      <c r="X173" s="19"/>
    </row>
    <row r="174" spans="1:26" ht="15" customHeight="1" x14ac:dyDescent="0.3">
      <c r="A174" s="10"/>
      <c r="B174" s="57" t="s">
        <v>297</v>
      </c>
      <c r="D174" s="19"/>
      <c r="E174" s="19"/>
      <c r="G174" s="19"/>
      <c r="H174" s="19"/>
      <c r="I174" s="19"/>
      <c r="J174" s="40"/>
      <c r="K174" s="19"/>
      <c r="L174" s="19"/>
      <c r="M174" s="19"/>
      <c r="P174" s="19"/>
      <c r="Q174" s="19"/>
      <c r="R174" s="40"/>
      <c r="S174" s="19"/>
      <c r="T174" s="19"/>
      <c r="U174" s="19"/>
      <c r="V174" s="40"/>
      <c r="W174" s="19"/>
      <c r="X174" s="19"/>
    </row>
    <row r="175" spans="1:26" ht="15" customHeight="1" x14ac:dyDescent="0.3">
      <c r="A175" s="10"/>
      <c r="B175" s="58"/>
      <c r="D175" s="19"/>
      <c r="E175" s="19"/>
      <c r="G175" s="19"/>
      <c r="H175" s="19"/>
      <c r="I175" s="19"/>
      <c r="J175" s="40"/>
      <c r="K175" s="19"/>
      <c r="L175" s="19"/>
      <c r="M175" s="19"/>
      <c r="P175" s="19"/>
      <c r="Q175" s="19"/>
      <c r="R175" s="40"/>
      <c r="S175" s="19"/>
      <c r="T175" s="19"/>
      <c r="U175" s="19"/>
      <c r="V175" s="40"/>
      <c r="W175" s="19"/>
      <c r="X175" s="19"/>
    </row>
    <row r="176" spans="1:26" ht="15" customHeight="1" x14ac:dyDescent="0.3">
      <c r="D176" s="19"/>
      <c r="E176" s="19"/>
      <c r="G176" s="19"/>
      <c r="H176" s="19"/>
      <c r="I176" s="19"/>
      <c r="J176" s="40"/>
      <c r="K176" s="19"/>
      <c r="L176" s="19"/>
      <c r="M176" s="19"/>
      <c r="P176" s="19"/>
      <c r="Q176" s="19"/>
      <c r="R176" s="40"/>
      <c r="S176" s="19"/>
      <c r="T176" s="19"/>
      <c r="U176" s="19"/>
      <c r="V176" s="40"/>
      <c r="W176" s="19"/>
      <c r="X17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097D-1765-7055-9ADE-7C8A9AB7497F}">
  <sheetPr>
    <tabColor rgb="FF92D050"/>
    <outlinePr summaryBelow="0" summaryRight="0"/>
  </sheetPr>
  <dimension ref="A2:Z1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","315"," - ","Bookstore Retail")</f>
        <v>Department 315 - Bookstore Retail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476662.26999999996</v>
      </c>
      <c r="E12" s="5"/>
      <c r="F12" s="13"/>
      <c r="G12" s="5"/>
      <c r="H12" s="5">
        <f>SUM(OSRRefH13x_0)</f>
        <v>142705.22999999998</v>
      </c>
      <c r="I12" s="5"/>
      <c r="J12" s="13"/>
      <c r="K12" s="5"/>
      <c r="L12" s="5">
        <f t="shared" ref="L12:L54" si="0">+D12-H12</f>
        <v>333957.03999999998</v>
      </c>
      <c r="M12" s="5"/>
      <c r="N12" s="13">
        <f t="shared" ref="N12:N54" si="1">IF(H12=0,0,L12/H12)</f>
        <v>2.3401878123177409</v>
      </c>
      <c r="O12" s="11"/>
      <c r="P12" s="5">
        <f>SUM(OSRRefP13x_0)</f>
        <v>2995261.03</v>
      </c>
      <c r="Q12" s="5"/>
      <c r="R12" s="13"/>
      <c r="S12" s="5"/>
      <c r="T12" s="5">
        <f>SUM(OSRRefT13x_0)</f>
        <v>1269594.9500000004</v>
      </c>
      <c r="U12" s="5"/>
      <c r="V12" s="13"/>
      <c r="W12" s="5"/>
      <c r="X12" s="5">
        <f t="shared" ref="X12:X54" si="2">+P12-T12</f>
        <v>1725666.0799999994</v>
      </c>
      <c r="Y12" s="5"/>
      <c r="Z12" s="13">
        <f t="shared" ref="Z12:Z54" si="3">IF(T12=0,0,X12/T12)</f>
        <v>1.3592256963529974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--430208.89</f>
        <v>430208.89</v>
      </c>
      <c r="E13" s="3"/>
      <c r="F13" s="20"/>
      <c r="G13" s="3"/>
      <c r="H13" s="3">
        <f>-10801.86</f>
        <v>-10801.86</v>
      </c>
      <c r="I13" s="3"/>
      <c r="J13" s="20"/>
      <c r="K13" s="3"/>
      <c r="L13" s="3">
        <f t="shared" si="0"/>
        <v>441010.75</v>
      </c>
      <c r="M13" s="3"/>
      <c r="N13" s="20">
        <f t="shared" si="1"/>
        <v>-40.827297335829201</v>
      </c>
      <c r="O13" s="12"/>
      <c r="P13" s="3">
        <f>--2768592.05</f>
        <v>2768592.05</v>
      </c>
      <c r="Q13" s="3"/>
      <c r="R13" s="20"/>
      <c r="S13" s="3"/>
      <c r="T13" s="3">
        <f>-104956.22</f>
        <v>-104956.22</v>
      </c>
      <c r="U13" s="3"/>
      <c r="V13" s="20"/>
      <c r="W13" s="3"/>
      <c r="X13" s="3">
        <f t="shared" si="2"/>
        <v>2873548.27</v>
      </c>
      <c r="Y13" s="3"/>
      <c r="Z13" s="20">
        <f t="shared" si="3"/>
        <v>-27.378541929196764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--221.99</f>
        <v>221.99</v>
      </c>
      <c r="U14" s="3"/>
      <c r="V14" s="20"/>
      <c r="W14" s="3"/>
      <c r="X14" s="3">
        <f t="shared" si="2"/>
        <v>-221.99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--2968.83</f>
        <v>2968.83</v>
      </c>
      <c r="I15" s="3"/>
      <c r="J15" s="20"/>
      <c r="K15" s="3"/>
      <c r="L15" s="3">
        <f t="shared" si="0"/>
        <v>-2968.83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--49128.95</f>
        <v>49128.95</v>
      </c>
      <c r="U15" s="3"/>
      <c r="V15" s="20"/>
      <c r="W15" s="3"/>
      <c r="X15" s="3">
        <f t="shared" si="2"/>
        <v>-49128.95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--3372.76</f>
        <v>3372.76</v>
      </c>
      <c r="I16" s="3"/>
      <c r="J16" s="20"/>
      <c r="K16" s="3"/>
      <c r="L16" s="3">
        <f t="shared" si="0"/>
        <v>-3372.76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--31741.09</f>
        <v>31741.09</v>
      </c>
      <c r="U16" s="3"/>
      <c r="V16" s="20"/>
      <c r="W16" s="3"/>
      <c r="X16" s="3">
        <f t="shared" si="2"/>
        <v>-31741.09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--434.03</f>
        <v>434.03</v>
      </c>
      <c r="I17" s="3"/>
      <c r="J17" s="20"/>
      <c r="K17" s="3"/>
      <c r="L17" s="3">
        <f t="shared" si="0"/>
        <v>-434.03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--3240.32</f>
        <v>3240.32</v>
      </c>
      <c r="U17" s="3"/>
      <c r="V17" s="20"/>
      <c r="W17" s="3"/>
      <c r="X17" s="3">
        <f t="shared" si="2"/>
        <v>-3240.32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--62935.57</f>
        <v>62935.57</v>
      </c>
      <c r="I19" s="3"/>
      <c r="J19" s="20"/>
      <c r="K19" s="3"/>
      <c r="L19" s="3">
        <f t="shared" si="0"/>
        <v>-62935.57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--580543.51</f>
        <v>580543.51</v>
      </c>
      <c r="U19" s="3"/>
      <c r="V19" s="20"/>
      <c r="W19" s="3"/>
      <c r="X19" s="3">
        <f t="shared" si="2"/>
        <v>-580543.51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--44302.47</f>
        <v>44302.47</v>
      </c>
      <c r="I20" s="3"/>
      <c r="J20" s="20"/>
      <c r="K20" s="3"/>
      <c r="L20" s="3">
        <f t="shared" si="0"/>
        <v>-44302.47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--204521.47</f>
        <v>204521.47</v>
      </c>
      <c r="U20" s="3"/>
      <c r="V20" s="20"/>
      <c r="W20" s="3"/>
      <c r="X20" s="3">
        <f t="shared" si="2"/>
        <v>-204521.47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--9072.61</f>
        <v>9072.61</v>
      </c>
      <c r="I21" s="3"/>
      <c r="J21" s="20"/>
      <c r="K21" s="3"/>
      <c r="L21" s="3">
        <f t="shared" si="0"/>
        <v>-9072.61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--66009.22</f>
        <v>66009.22</v>
      </c>
      <c r="U21" s="3"/>
      <c r="V21" s="20"/>
      <c r="W21" s="3"/>
      <c r="X21" s="3">
        <f t="shared" si="2"/>
        <v>-66009.22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--7137.65</f>
        <v>7137.65</v>
      </c>
      <c r="I22" s="3"/>
      <c r="J22" s="20"/>
      <c r="K22" s="3"/>
      <c r="L22" s="3">
        <f t="shared" si="0"/>
        <v>-7137.65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--121693.59</f>
        <v>121693.59</v>
      </c>
      <c r="U22" s="3"/>
      <c r="V22" s="20"/>
      <c r="W22" s="3"/>
      <c r="X22" s="3">
        <f t="shared" si="2"/>
        <v>-121693.59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--1633.81</f>
        <v>1633.81</v>
      </c>
      <c r="I23" s="3"/>
      <c r="J23" s="20"/>
      <c r="K23" s="3"/>
      <c r="L23" s="3">
        <f t="shared" si="0"/>
        <v>-1633.81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--29035.46</f>
        <v>29035.46</v>
      </c>
      <c r="U23" s="3"/>
      <c r="V23" s="20"/>
      <c r="W23" s="3"/>
      <c r="X23" s="3">
        <f t="shared" si="2"/>
        <v>-29035.46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--8707.87</f>
        <v>8707.8700000000008</v>
      </c>
      <c r="I24" s="3"/>
      <c r="J24" s="20"/>
      <c r="K24" s="3"/>
      <c r="L24" s="3">
        <f t="shared" si="0"/>
        <v>-8707.8700000000008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--143871.07</f>
        <v>143871.07</v>
      </c>
      <c r="U24" s="3"/>
      <c r="V24" s="20"/>
      <c r="W24" s="3"/>
      <c r="X24" s="3">
        <f t="shared" si="2"/>
        <v>-143871.07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--68802.85</f>
        <v>68802.850000000006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68802.850000000006</v>
      </c>
      <c r="M25" s="3"/>
      <c r="N25" s="20">
        <f t="shared" si="1"/>
        <v>0</v>
      </c>
      <c r="O25" s="12"/>
      <c r="P25" s="3">
        <f>--386256.86</f>
        <v>386256.86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386256.86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--389.95</f>
        <v>389.95</v>
      </c>
      <c r="I27" s="3"/>
      <c r="J27" s="20"/>
      <c r="K27" s="3"/>
      <c r="L27" s="3">
        <f t="shared" si="0"/>
        <v>-389.95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--6607.31</f>
        <v>6607.31</v>
      </c>
      <c r="U27" s="3"/>
      <c r="V27" s="20"/>
      <c r="W27" s="3"/>
      <c r="X27" s="3">
        <f t="shared" si="2"/>
        <v>-6607.31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0</v>
      </c>
      <c r="M28" s="3"/>
      <c r="N28" s="20">
        <f t="shared" si="1"/>
        <v>0</v>
      </c>
      <c r="O28" s="12"/>
      <c r="P28" s="3">
        <f>0</f>
        <v>0</v>
      </c>
      <c r="Q28" s="3"/>
      <c r="R28" s="20"/>
      <c r="S28" s="3"/>
      <c r="T28" s="3">
        <f>--38.58</f>
        <v>38.58</v>
      </c>
      <c r="U28" s="3"/>
      <c r="V28" s="20"/>
      <c r="W28" s="3"/>
      <c r="X28" s="3">
        <f t="shared" si="2"/>
        <v>-38.58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--826.28</f>
        <v>826.28</v>
      </c>
      <c r="I29" s="3"/>
      <c r="J29" s="20"/>
      <c r="K29" s="3"/>
      <c r="L29" s="3">
        <f t="shared" si="0"/>
        <v>-826.28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--8512.27</f>
        <v>8512.27</v>
      </c>
      <c r="U29" s="3"/>
      <c r="V29" s="20"/>
      <c r="W29" s="3"/>
      <c r="X29" s="3">
        <f t="shared" si="2"/>
        <v>-8512.27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--59.25</f>
        <v>59.25</v>
      </c>
      <c r="U33" s="3"/>
      <c r="V33" s="20"/>
      <c r="W33" s="3"/>
      <c r="X33" s="3">
        <f t="shared" si="2"/>
        <v>-59.25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--16592.7</f>
        <v>16592.7</v>
      </c>
      <c r="I34" s="3"/>
      <c r="J34" s="20"/>
      <c r="K34" s="3"/>
      <c r="L34" s="3">
        <f t="shared" si="0"/>
        <v>-16592.7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--131552.2</f>
        <v>131552.20000000001</v>
      </c>
      <c r="U34" s="3"/>
      <c r="V34" s="20"/>
      <c r="W34" s="3"/>
      <c r="X34" s="3">
        <f t="shared" si="2"/>
        <v>-131552.20000000001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--1055.22</f>
        <v>1055.22</v>
      </c>
      <c r="I35" s="3"/>
      <c r="J35" s="20"/>
      <c r="K35" s="3"/>
      <c r="L35" s="3">
        <f t="shared" si="0"/>
        <v>-1055.22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--8289.6</f>
        <v>8289.6</v>
      </c>
      <c r="U35" s="3"/>
      <c r="V35" s="20"/>
      <c r="W35" s="3"/>
      <c r="X35" s="3">
        <f t="shared" si="2"/>
        <v>-8289.6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--16.9</f>
        <v>16.899999999999999</v>
      </c>
      <c r="I36" s="3"/>
      <c r="J36" s="20"/>
      <c r="K36" s="3"/>
      <c r="L36" s="3">
        <f t="shared" si="0"/>
        <v>-16.899999999999999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--1170.78</f>
        <v>1170.78</v>
      </c>
      <c r="U36" s="3"/>
      <c r="V36" s="20"/>
      <c r="W36" s="3"/>
      <c r="X36" s="3">
        <f t="shared" si="2"/>
        <v>-1170.78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--261.82</f>
        <v>261.82</v>
      </c>
      <c r="I37" s="3"/>
      <c r="J37" s="20"/>
      <c r="K37" s="3"/>
      <c r="L37" s="3">
        <f t="shared" si="0"/>
        <v>-261.82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--2381.48</f>
        <v>2381.48</v>
      </c>
      <c r="U37" s="3"/>
      <c r="V37" s="20"/>
      <c r="W37" s="3"/>
      <c r="X37" s="3">
        <f t="shared" si="2"/>
        <v>-2381.48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--29.9</f>
        <v>29.9</v>
      </c>
      <c r="I38" s="3"/>
      <c r="J38" s="20"/>
      <c r="K38" s="3"/>
      <c r="L38" s="3">
        <f t="shared" si="0"/>
        <v>-29.9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--679.25</f>
        <v>679.25</v>
      </c>
      <c r="U38" s="3"/>
      <c r="V38" s="20"/>
      <c r="W38" s="3"/>
      <c r="X38" s="3">
        <f t="shared" si="2"/>
        <v>-679.25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0</f>
        <v>0</v>
      </c>
      <c r="I39" s="3"/>
      <c r="J39" s="20"/>
      <c r="K39" s="3"/>
      <c r="L39" s="3">
        <f t="shared" si="0"/>
        <v>0</v>
      </c>
      <c r="M39" s="3"/>
      <c r="N39" s="20">
        <f t="shared" si="1"/>
        <v>0</v>
      </c>
      <c r="O39" s="12"/>
      <c r="P39" s="3">
        <f>0</f>
        <v>0</v>
      </c>
      <c r="Q39" s="3"/>
      <c r="R39" s="20"/>
      <c r="S39" s="3"/>
      <c r="T39" s="3">
        <f>--53709.09</f>
        <v>53709.09</v>
      </c>
      <c r="U39" s="3"/>
      <c r="V39" s="20"/>
      <c r="W39" s="3"/>
      <c r="X39" s="3">
        <f t="shared" si="2"/>
        <v>-53709.09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","4200"," - ","TAXABLE RETURNS")</f>
        <v xml:space="preserve">          4200 - TAXABLE RETURNS</v>
      </c>
      <c r="C40" s="12"/>
      <c r="D40" s="3">
        <f>-13913.76</f>
        <v>-13913.76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-13913.76</v>
      </c>
      <c r="M40" s="3"/>
      <c r="N40" s="20">
        <f t="shared" si="1"/>
        <v>0</v>
      </c>
      <c r="O40" s="12"/>
      <c r="P40" s="3">
        <f>-81406.23</f>
        <v>-81406.23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-81406.23</v>
      </c>
      <c r="Y40" s="3"/>
      <c r="Z40" s="20">
        <f t="shared" si="3"/>
        <v>0</v>
      </c>
    </row>
    <row r="41" spans="1:26" s="69" customFormat="1" ht="15" hidden="1" customHeight="1" outlineLevel="1" x14ac:dyDescent="0.3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-6.38</f>
        <v>-6.38</v>
      </c>
      <c r="U41" s="3"/>
      <c r="V41" s="20"/>
      <c r="W41" s="3"/>
      <c r="X41" s="3">
        <f t="shared" si="2"/>
        <v>6.38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-64.39</f>
        <v>-64.39</v>
      </c>
      <c r="I42" s="3"/>
      <c r="J42" s="20"/>
      <c r="K42" s="3"/>
      <c r="L42" s="3">
        <f t="shared" si="0"/>
        <v>64.39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-642.94</f>
        <v>-642.94000000000005</v>
      </c>
      <c r="U42" s="3"/>
      <c r="V42" s="20"/>
      <c r="W42" s="3"/>
      <c r="X42" s="3">
        <f t="shared" si="2"/>
        <v>642.94000000000005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-98.38</f>
        <v>-98.38</v>
      </c>
      <c r="I43" s="3"/>
      <c r="J43" s="20"/>
      <c r="K43" s="3"/>
      <c r="L43" s="3">
        <f t="shared" si="0"/>
        <v>98.38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-12615.42</f>
        <v>-12615.42</v>
      </c>
      <c r="U43" s="3"/>
      <c r="V43" s="20"/>
      <c r="W43" s="3"/>
      <c r="X43" s="3">
        <f t="shared" si="2"/>
        <v>12615.42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-3309.8</f>
        <v>-3309.8</v>
      </c>
      <c r="I44" s="3"/>
      <c r="J44" s="20"/>
      <c r="K44" s="3"/>
      <c r="L44" s="3">
        <f t="shared" si="0"/>
        <v>3309.8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-27103.03</f>
        <v>-27103.03</v>
      </c>
      <c r="U44" s="3"/>
      <c r="V44" s="20"/>
      <c r="W44" s="3"/>
      <c r="X44" s="3">
        <f t="shared" si="2"/>
        <v>27103.03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-1043.03</f>
        <v>-1043.03</v>
      </c>
      <c r="I45" s="3"/>
      <c r="J45" s="20"/>
      <c r="K45" s="3"/>
      <c r="L45" s="3">
        <f t="shared" si="0"/>
        <v>1043.03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-4693.34</f>
        <v>-4693.34</v>
      </c>
      <c r="U45" s="3"/>
      <c r="V45" s="20"/>
      <c r="W45" s="3"/>
      <c r="X45" s="3">
        <f t="shared" si="2"/>
        <v>4693.34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-535.13</f>
        <v>-535.13</v>
      </c>
      <c r="I46" s="3"/>
      <c r="J46" s="20"/>
      <c r="K46" s="3"/>
      <c r="L46" s="3">
        <f t="shared" si="0"/>
        <v>535.13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-1977.76</f>
        <v>-1977.76</v>
      </c>
      <c r="U46" s="3"/>
      <c r="V46" s="20"/>
      <c r="W46" s="3"/>
      <c r="X46" s="3">
        <f t="shared" si="2"/>
        <v>1977.76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-572.63</f>
        <v>-572.63</v>
      </c>
      <c r="I47" s="3"/>
      <c r="J47" s="20"/>
      <c r="K47" s="3"/>
      <c r="L47" s="3">
        <f t="shared" si="0"/>
        <v>572.63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-5942.23</f>
        <v>-5942.23</v>
      </c>
      <c r="U47" s="3"/>
      <c r="V47" s="20"/>
      <c r="W47" s="3"/>
      <c r="X47" s="3">
        <f t="shared" si="2"/>
        <v>5942.23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-227.47</f>
        <v>-227.47</v>
      </c>
      <c r="I48" s="3"/>
      <c r="J48" s="20"/>
      <c r="K48" s="3"/>
      <c r="L48" s="3">
        <f t="shared" si="0"/>
        <v>227.47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-1192.38</f>
        <v>-1192.3800000000001</v>
      </c>
      <c r="U48" s="3"/>
      <c r="V48" s="20"/>
      <c r="W48" s="3"/>
      <c r="X48" s="3">
        <f t="shared" si="2"/>
        <v>1192.3800000000001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0"/>
        <v>0</v>
      </c>
      <c r="M49" s="3"/>
      <c r="N49" s="20">
        <f t="shared" si="1"/>
        <v>0</v>
      </c>
      <c r="O49" s="12"/>
      <c r="P49" s="3">
        <f>0</f>
        <v>0</v>
      </c>
      <c r="Q49" s="3"/>
      <c r="R49" s="20"/>
      <c r="S49" s="3"/>
      <c r="T49" s="3">
        <f>-11346.59</f>
        <v>-11346.59</v>
      </c>
      <c r="U49" s="3"/>
      <c r="V49" s="20"/>
      <c r="W49" s="3"/>
      <c r="X49" s="3">
        <f t="shared" si="2"/>
        <v>11346.59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","4300"," - ","NON-TAX RETURNS")</f>
        <v xml:space="preserve">          4300 - NON-TAX RETURNS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0</v>
      </c>
      <c r="M50" s="3"/>
      <c r="N50" s="20">
        <f t="shared" si="1"/>
        <v>0</v>
      </c>
      <c r="O50" s="12"/>
      <c r="P50" s="3">
        <f>-1898.53</f>
        <v>-1898.53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-1898.53</v>
      </c>
      <c r="Y50" s="3"/>
      <c r="Z50" s="20">
        <f t="shared" si="3"/>
        <v>0</v>
      </c>
    </row>
    <row r="51" spans="1:26" s="69" customFormat="1" ht="15" hidden="1" customHeight="1" outlineLevel="1" x14ac:dyDescent="0.3">
      <c r="A51" s="42"/>
      <c r="B51" s="12" t="str">
        <f>CONCATENATE("          ","4340"," - ","SALES RETURN NON TAXABLE-LOGO")</f>
        <v xml:space="preserve">          4340 - SALES RETURN NON TAXABLE-LOGO</v>
      </c>
      <c r="C51" s="12"/>
      <c r="D51" s="3">
        <f>0</f>
        <v>0</v>
      </c>
      <c r="E51" s="3"/>
      <c r="F51" s="20"/>
      <c r="G51" s="3"/>
      <c r="H51" s="3">
        <f>-350.55</f>
        <v>-350.55</v>
      </c>
      <c r="I51" s="3"/>
      <c r="J51" s="20"/>
      <c r="K51" s="3"/>
      <c r="L51" s="3">
        <f t="shared" si="0"/>
        <v>350.55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-2643.39</f>
        <v>-2643.39</v>
      </c>
      <c r="U51" s="3"/>
      <c r="V51" s="20"/>
      <c r="W51" s="3"/>
      <c r="X51" s="3">
        <f t="shared" si="2"/>
        <v>2643.39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","4341"," - ","SALES RETURN NON TAXABLE-LOGO")</f>
        <v xml:space="preserve">          4341 - SALES RETURN NON TAXABLE-LOGO</v>
      </c>
      <c r="C52" s="12"/>
      <c r="D52" s="3">
        <f>0</f>
        <v>0</v>
      </c>
      <c r="E52" s="3"/>
      <c r="F52" s="20"/>
      <c r="G52" s="3"/>
      <c r="H52" s="3">
        <f>-29.9</f>
        <v>-29.9</v>
      </c>
      <c r="I52" s="3"/>
      <c r="J52" s="20"/>
      <c r="K52" s="3"/>
      <c r="L52" s="3">
        <f t="shared" si="0"/>
        <v>29.9</v>
      </c>
      <c r="M52" s="3"/>
      <c r="N52" s="20">
        <f t="shared" si="1"/>
        <v>-1</v>
      </c>
      <c r="O52" s="12"/>
      <c r="P52" s="3">
        <f>0</f>
        <v>0</v>
      </c>
      <c r="Q52" s="3"/>
      <c r="R52" s="20"/>
      <c r="S52" s="3"/>
      <c r="T52" s="3">
        <f>-381.34</f>
        <v>-381.34</v>
      </c>
      <c r="U52" s="3"/>
      <c r="V52" s="20"/>
      <c r="W52" s="3"/>
      <c r="X52" s="3">
        <f t="shared" si="2"/>
        <v>381.34</v>
      </c>
      <c r="Y52" s="3"/>
      <c r="Z52" s="20">
        <f t="shared" si="3"/>
        <v>-1</v>
      </c>
    </row>
    <row r="53" spans="1:26" s="69" customFormat="1" ht="15" hidden="1" customHeight="1" outlineLevel="1" x14ac:dyDescent="0.3">
      <c r="A53" s="42"/>
      <c r="B53" s="12" t="str">
        <f>CONCATENATE("          ","4342"," - ","SALES RETURN NON TAXABLE-EVERY")</f>
        <v xml:space="preserve">          4342 - SALES RETURN NON TAXABLE-EVERY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-118.7</f>
        <v>-118.7</v>
      </c>
      <c r="U53" s="3"/>
      <c r="V53" s="20"/>
      <c r="W53" s="3"/>
      <c r="X53" s="3">
        <f t="shared" si="2"/>
        <v>118.7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","4500"," - ","SALES DISCOUNT")</f>
        <v xml:space="preserve">          4500 - SALES DISCOUNT</v>
      </c>
      <c r="C54" s="12"/>
      <c r="D54" s="3">
        <f>-8435.71</f>
        <v>-8435.7099999999991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-8435.7099999999991</v>
      </c>
      <c r="M54" s="3"/>
      <c r="N54" s="20">
        <f t="shared" si="1"/>
        <v>0</v>
      </c>
      <c r="O54" s="12"/>
      <c r="P54" s="3">
        <f>-76283.12</f>
        <v>-76283.12</v>
      </c>
      <c r="Q54" s="3"/>
      <c r="R54" s="20"/>
      <c r="S54" s="3"/>
      <c r="T54" s="3">
        <f>0</f>
        <v>0</v>
      </c>
      <c r="U54" s="3"/>
      <c r="V54" s="20"/>
      <c r="W54" s="3"/>
      <c r="X54" s="3">
        <f t="shared" si="2"/>
        <v>-76283.12</v>
      </c>
      <c r="Y54" s="3"/>
      <c r="Z54" s="20">
        <f t="shared" si="3"/>
        <v>0</v>
      </c>
    </row>
    <row r="55" spans="1:26" ht="15" customHeight="1" x14ac:dyDescent="0.3">
      <c r="A55" s="10"/>
      <c r="B55" s="11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collapsed="1" x14ac:dyDescent="0.3">
      <c r="A56" s="11"/>
      <c r="B56" s="28" t="s">
        <v>287</v>
      </c>
      <c r="C56" s="11"/>
      <c r="D56" s="5">
        <f>SUM(OSRRefD16x_0)</f>
        <v>206428.73</v>
      </c>
      <c r="E56" s="5"/>
      <c r="F56" s="13">
        <f t="shared" ref="F56:F81" si="4">IF(D$12=0,0,D56/D$12)</f>
        <v>0.4330712602866596</v>
      </c>
      <c r="G56" s="5"/>
      <c r="H56" s="5">
        <f>SUM(OSRRefH16x_0)</f>
        <v>77854</v>
      </c>
      <c r="I56" s="5"/>
      <c r="J56" s="13">
        <f t="shared" ref="J56:J81" si="5">IF(H$12=0,0,H56/H$12)</f>
        <v>0.54555814107163425</v>
      </c>
      <c r="K56" s="5"/>
      <c r="L56" s="5">
        <f t="shared" ref="L56:L81" si="6">+D56-H56</f>
        <v>128574.73000000001</v>
      </c>
      <c r="M56" s="5"/>
      <c r="N56" s="13">
        <f t="shared" ref="N56:N81" si="7">IF(H56=0,0,L56/H56)</f>
        <v>1.6514852159169728</v>
      </c>
      <c r="O56" s="11"/>
      <c r="P56" s="5">
        <f>SUM(OSRRefP16x_0)</f>
        <v>1426940.0799999998</v>
      </c>
      <c r="Q56" s="5"/>
      <c r="R56" s="13">
        <f t="shared" ref="R56:R81" si="8">IF(P$12=0,0,P56/P$12)</f>
        <v>0.47639924056969418</v>
      </c>
      <c r="S56" s="5"/>
      <c r="T56" s="5">
        <f>SUM(OSRRefT16x_0)</f>
        <v>740856.54000000015</v>
      </c>
      <c r="U56" s="5"/>
      <c r="V56" s="13">
        <f t="shared" ref="V56:V81" si="9">IF(T$12=0,0,T56/T$12)</f>
        <v>0.58353771807299637</v>
      </c>
      <c r="W56" s="5"/>
      <c r="X56" s="5">
        <f t="shared" ref="X56:X81" si="10">+P56-T56</f>
        <v>686083.53999999969</v>
      </c>
      <c r="Y56" s="5"/>
      <c r="Z56" s="13">
        <f t="shared" ref="Z56:Z81" si="11">IF(T56=0,0,X56/T56)</f>
        <v>0.92606800771442144</v>
      </c>
    </row>
    <row r="57" spans="1:26" s="69" customFormat="1" ht="15" hidden="1" customHeight="1" outlineLevel="1" x14ac:dyDescent="0.3">
      <c r="A57" s="42"/>
      <c r="B57" s="12" t="str">
        <f>CONCATENATE("          ","5000"," - ","PURCHASES @ COST")</f>
        <v xml:space="preserve">          5000 - PURCHASES @ COST</v>
      </c>
      <c r="C57" s="12"/>
      <c r="D57" s="3">
        <v>364854.79</v>
      </c>
      <c r="E57" s="3"/>
      <c r="F57" s="20">
        <f t="shared" si="4"/>
        <v>0.76543668958736766</v>
      </c>
      <c r="G57" s="3"/>
      <c r="H57" s="3"/>
      <c r="I57" s="3"/>
      <c r="J57" s="20">
        <f t="shared" si="5"/>
        <v>0</v>
      </c>
      <c r="K57" s="3"/>
      <c r="L57" s="3">
        <f t="shared" si="6"/>
        <v>364854.79</v>
      </c>
      <c r="M57" s="3"/>
      <c r="N57" s="20">
        <f t="shared" si="7"/>
        <v>0</v>
      </c>
      <c r="O57" s="12"/>
      <c r="P57" s="3">
        <v>1781220.38</v>
      </c>
      <c r="Q57" s="3"/>
      <c r="R57" s="20">
        <f t="shared" si="8"/>
        <v>0.59467951612884973</v>
      </c>
      <c r="S57" s="3"/>
      <c r="T57" s="3"/>
      <c r="U57" s="3"/>
      <c r="V57" s="20">
        <f t="shared" si="9"/>
        <v>0</v>
      </c>
      <c r="W57" s="3"/>
      <c r="X57" s="3">
        <f t="shared" si="10"/>
        <v>1781220.38</v>
      </c>
      <c r="Y57" s="3"/>
      <c r="Z57" s="20">
        <f t="shared" si="11"/>
        <v>0</v>
      </c>
    </row>
    <row r="58" spans="1:26" s="69" customFormat="1" ht="15" hidden="1" customHeight="1" outlineLevel="1" x14ac:dyDescent="0.3">
      <c r="A58" s="42"/>
      <c r="B58" s="12" t="str">
        <f>CONCATENATE("          ","5025"," - ","PURCHASES @ COST-TEST FORMS")</f>
        <v xml:space="preserve">          5025 - PURCHASES @ COST-TEST FORMS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/>
      <c r="Q58" s="3"/>
      <c r="R58" s="20">
        <f t="shared" si="8"/>
        <v>0</v>
      </c>
      <c r="S58" s="3"/>
      <c r="T58" s="3">
        <v>599.29</v>
      </c>
      <c r="U58" s="3"/>
      <c r="V58" s="20">
        <f t="shared" si="9"/>
        <v>4.7203243837729486E-4</v>
      </c>
      <c r="W58" s="3"/>
      <c r="X58" s="3">
        <f t="shared" si="10"/>
        <v>-599.29</v>
      </c>
      <c r="Y58" s="3"/>
      <c r="Z58" s="20">
        <f t="shared" si="11"/>
        <v>-1</v>
      </c>
    </row>
    <row r="59" spans="1:26" s="69" customFormat="1" ht="15" hidden="1" customHeight="1" outlineLevel="1" x14ac:dyDescent="0.3">
      <c r="A59" s="42"/>
      <c r="B59" s="12" t="str">
        <f>CONCATENATE("          ","5026"," - ","PURCHASES @ COST-WRITING INSTR")</f>
        <v xml:space="preserve">          5026 - PURCHASES @ COST-WRITING INSTR</v>
      </c>
      <c r="C59" s="12"/>
      <c r="D59" s="3"/>
      <c r="E59" s="3"/>
      <c r="F59" s="20">
        <f t="shared" si="4"/>
        <v>0</v>
      </c>
      <c r="G59" s="3"/>
      <c r="H59" s="3">
        <v>209.64</v>
      </c>
      <c r="I59" s="3"/>
      <c r="J59" s="20">
        <f t="shared" si="5"/>
        <v>1.4690421647475711E-3</v>
      </c>
      <c r="K59" s="3"/>
      <c r="L59" s="3">
        <f t="shared" si="6"/>
        <v>-209.64</v>
      </c>
      <c r="M59" s="3"/>
      <c r="N59" s="20">
        <f t="shared" si="7"/>
        <v>-1</v>
      </c>
      <c r="O59" s="12"/>
      <c r="P59" s="3"/>
      <c r="Q59" s="3"/>
      <c r="R59" s="20">
        <f t="shared" si="8"/>
        <v>0</v>
      </c>
      <c r="S59" s="3"/>
      <c r="T59" s="3">
        <v>219.64</v>
      </c>
      <c r="U59" s="3"/>
      <c r="V59" s="20">
        <f t="shared" si="9"/>
        <v>1.7300005801062766E-4</v>
      </c>
      <c r="W59" s="3"/>
      <c r="X59" s="3">
        <f t="shared" si="10"/>
        <v>-219.64</v>
      </c>
      <c r="Y59" s="3"/>
      <c r="Z59" s="20">
        <f t="shared" si="11"/>
        <v>-1</v>
      </c>
    </row>
    <row r="60" spans="1:26" s="69" customFormat="1" ht="15" hidden="1" customHeight="1" outlineLevel="1" x14ac:dyDescent="0.3">
      <c r="A60" s="42"/>
      <c r="B60" s="12" t="str">
        <f>CONCATENATE("          ","5027"," - ","PURCHASES @ COST-SCHOOL SUPPLI")</f>
        <v xml:space="preserve">          5027 - PURCHASES @ COST-SCHOOL SUPPLI</v>
      </c>
      <c r="C60" s="12"/>
      <c r="D60" s="3"/>
      <c r="E60" s="3"/>
      <c r="F60" s="20">
        <f t="shared" si="4"/>
        <v>0</v>
      </c>
      <c r="G60" s="3"/>
      <c r="H60" s="3">
        <v>2824.53</v>
      </c>
      <c r="I60" s="3"/>
      <c r="J60" s="20">
        <f t="shared" si="5"/>
        <v>1.9792757420313192E-2</v>
      </c>
      <c r="K60" s="3"/>
      <c r="L60" s="3">
        <f t="shared" si="6"/>
        <v>-2824.53</v>
      </c>
      <c r="M60" s="3"/>
      <c r="N60" s="20">
        <f t="shared" si="7"/>
        <v>-1</v>
      </c>
      <c r="O60" s="12"/>
      <c r="P60" s="3">
        <v>0</v>
      </c>
      <c r="Q60" s="3"/>
      <c r="R60" s="20">
        <f t="shared" si="8"/>
        <v>0</v>
      </c>
      <c r="S60" s="3"/>
      <c r="T60" s="3">
        <v>21000.41</v>
      </c>
      <c r="U60" s="3"/>
      <c r="V60" s="20">
        <f t="shared" si="9"/>
        <v>1.6541031452590445E-2</v>
      </c>
      <c r="W60" s="3"/>
      <c r="X60" s="3">
        <f t="shared" si="10"/>
        <v>-21000.41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","5028"," - ","PURCHASES @ COST-ART/TECH")</f>
        <v xml:space="preserve">          5028 - PURCHASES @ COST-ART/TECH</v>
      </c>
      <c r="C61" s="12"/>
      <c r="D61" s="3"/>
      <c r="E61" s="3"/>
      <c r="F61" s="20">
        <f t="shared" si="4"/>
        <v>0</v>
      </c>
      <c r="G61" s="3"/>
      <c r="H61" s="3">
        <v>3443.78</v>
      </c>
      <c r="I61" s="3"/>
      <c r="J61" s="20">
        <f t="shared" si="5"/>
        <v>2.4132121857061584E-2</v>
      </c>
      <c r="K61" s="3"/>
      <c r="L61" s="3">
        <f t="shared" si="6"/>
        <v>-3443.78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4193.51</v>
      </c>
      <c r="U61" s="3"/>
      <c r="V61" s="20">
        <f t="shared" si="9"/>
        <v>3.3030298364056967E-3</v>
      </c>
      <c r="W61" s="3"/>
      <c r="X61" s="3">
        <f t="shared" si="10"/>
        <v>-4193.51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","5031"," - ","PURCHASES @ COST-FOOD")</f>
        <v xml:space="preserve">          5031 - PURCHASES @ COST-FOOD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>
        <v>5344.15</v>
      </c>
      <c r="U62" s="3"/>
      <c r="V62" s="20">
        <f t="shared" si="9"/>
        <v>4.209334638579019E-3</v>
      </c>
      <c r="W62" s="3"/>
      <c r="X62" s="3">
        <f t="shared" si="10"/>
        <v>-5344.15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","5040"," - ","PURCHASES @ COST-LOGO CLOTHING")</f>
        <v xml:space="preserve">          5040 - PURCHASES @ COST-LOGO CLOTHING</v>
      </c>
      <c r="C63" s="12"/>
      <c r="D63" s="3"/>
      <c r="E63" s="3"/>
      <c r="F63" s="20">
        <f t="shared" si="4"/>
        <v>0</v>
      </c>
      <c r="G63" s="3"/>
      <c r="H63" s="3">
        <v>45900.51</v>
      </c>
      <c r="I63" s="3"/>
      <c r="J63" s="20">
        <f t="shared" si="5"/>
        <v>0.32164560471960285</v>
      </c>
      <c r="K63" s="3"/>
      <c r="L63" s="3">
        <f t="shared" si="6"/>
        <v>-45900.51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239871.6</v>
      </c>
      <c r="U63" s="3"/>
      <c r="V63" s="20">
        <f t="shared" si="9"/>
        <v>0.18893553412448585</v>
      </c>
      <c r="W63" s="3"/>
      <c r="X63" s="3">
        <f t="shared" si="10"/>
        <v>-239871.6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","5041"," - ","PURCHASES @ COST-LOGO GIFTS")</f>
        <v xml:space="preserve">          5041 - PURCHASES @ COST-LOGO GIFTS</v>
      </c>
      <c r="C64" s="12"/>
      <c r="D64" s="3"/>
      <c r="E64" s="3"/>
      <c r="F64" s="20">
        <f t="shared" si="4"/>
        <v>0</v>
      </c>
      <c r="G64" s="3"/>
      <c r="H64" s="3">
        <v>899.63</v>
      </c>
      <c r="I64" s="3"/>
      <c r="J64" s="20">
        <f t="shared" si="5"/>
        <v>6.3041137315009415E-3</v>
      </c>
      <c r="K64" s="3"/>
      <c r="L64" s="3">
        <f t="shared" si="6"/>
        <v>-899.63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68255.839999999997</v>
      </c>
      <c r="U64" s="3"/>
      <c r="V64" s="20">
        <f t="shared" si="9"/>
        <v>5.376190256585376E-2</v>
      </c>
      <c r="W64" s="3"/>
      <c r="X64" s="3">
        <f t="shared" si="10"/>
        <v>-68255.839999999997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","5042"," - ","PURCHASES @ COST-EVERYDAY GIFT")</f>
        <v xml:space="preserve">          5042 - PURCHASES @ COST-EVERYDAY GIFT</v>
      </c>
      <c r="C65" s="12"/>
      <c r="D65" s="3"/>
      <c r="E65" s="3"/>
      <c r="F65" s="20">
        <f t="shared" si="4"/>
        <v>0</v>
      </c>
      <c r="G65" s="3"/>
      <c r="H65" s="3">
        <v>-270</v>
      </c>
      <c r="I65" s="3"/>
      <c r="J65" s="20">
        <f t="shared" si="5"/>
        <v>-1.892011946583878E-3</v>
      </c>
      <c r="K65" s="3"/>
      <c r="L65" s="3">
        <f t="shared" si="6"/>
        <v>270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10802.14</v>
      </c>
      <c r="U65" s="3"/>
      <c r="V65" s="20">
        <f t="shared" si="9"/>
        <v>8.5083356703647851E-3</v>
      </c>
      <c r="W65" s="3"/>
      <c r="X65" s="3">
        <f t="shared" si="10"/>
        <v>-10802.14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","5043"," - ","PURCHASES @ COST-CARDS")</f>
        <v xml:space="preserve">          5043 - PURCHASES @ COST-CARDS</v>
      </c>
      <c r="C66" s="12"/>
      <c r="D66" s="3"/>
      <c r="E66" s="3"/>
      <c r="F66" s="20">
        <f t="shared" si="4"/>
        <v>0</v>
      </c>
      <c r="G66" s="3"/>
      <c r="H66" s="3"/>
      <c r="I66" s="3"/>
      <c r="J66" s="20">
        <f t="shared" si="5"/>
        <v>0</v>
      </c>
      <c r="K66" s="3"/>
      <c r="L66" s="3">
        <f t="shared" si="6"/>
        <v>0</v>
      </c>
      <c r="M66" s="3"/>
      <c r="N66" s="20">
        <f t="shared" si="7"/>
        <v>0</v>
      </c>
      <c r="O66" s="12"/>
      <c r="P66" s="3">
        <v>0</v>
      </c>
      <c r="Q66" s="3"/>
      <c r="R66" s="20">
        <f t="shared" si="8"/>
        <v>0</v>
      </c>
      <c r="S66" s="3"/>
      <c r="T66" s="3">
        <v>55364.33</v>
      </c>
      <c r="U66" s="3"/>
      <c r="V66" s="20">
        <f t="shared" si="9"/>
        <v>4.3607868793113888E-2</v>
      </c>
      <c r="W66" s="3"/>
      <c r="X66" s="3">
        <f t="shared" si="10"/>
        <v>-55364.33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","5044"," - ","PURCHASES @ COST-ACCESSORIES")</f>
        <v xml:space="preserve">          5044 - PURCHASES @ COST-ACCESSORIES</v>
      </c>
      <c r="C67" s="12"/>
      <c r="D67" s="3"/>
      <c r="E67" s="3"/>
      <c r="F67" s="20">
        <f t="shared" si="4"/>
        <v>0</v>
      </c>
      <c r="G67" s="3"/>
      <c r="H67" s="3"/>
      <c r="I67" s="3"/>
      <c r="J67" s="20">
        <f t="shared" si="5"/>
        <v>0</v>
      </c>
      <c r="K67" s="3"/>
      <c r="L67" s="3">
        <f t="shared" si="6"/>
        <v>0</v>
      </c>
      <c r="M67" s="3"/>
      <c r="N67" s="20">
        <f t="shared" si="7"/>
        <v>0</v>
      </c>
      <c r="O67" s="12"/>
      <c r="P67" s="3">
        <v>0</v>
      </c>
      <c r="Q67" s="3"/>
      <c r="R67" s="20">
        <f t="shared" si="8"/>
        <v>0</v>
      </c>
      <c r="S67" s="3"/>
      <c r="T67" s="3">
        <v>1064.83</v>
      </c>
      <c r="U67" s="3"/>
      <c r="V67" s="20">
        <f t="shared" si="9"/>
        <v>8.3871631657009944E-4</v>
      </c>
      <c r="W67" s="3"/>
      <c r="X67" s="3">
        <f t="shared" si="10"/>
        <v>-1064.83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","5045"," - ","PURCHASES @ COST-SPECIAL ORDER")</f>
        <v xml:space="preserve">          5045 - PURCHASES @ COST-SPECIAL ORDER</v>
      </c>
      <c r="C68" s="12"/>
      <c r="D68" s="3"/>
      <c r="E68" s="3"/>
      <c r="F68" s="20">
        <f t="shared" si="4"/>
        <v>0</v>
      </c>
      <c r="G68" s="3"/>
      <c r="H68" s="3">
        <v>13853.18</v>
      </c>
      <c r="I68" s="3"/>
      <c r="J68" s="20">
        <f t="shared" si="5"/>
        <v>9.7075489104358703E-2</v>
      </c>
      <c r="K68" s="3"/>
      <c r="L68" s="3">
        <f t="shared" si="6"/>
        <v>-13853.18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109226.69</v>
      </c>
      <c r="U68" s="3"/>
      <c r="V68" s="20">
        <f t="shared" si="9"/>
        <v>8.6032706730599373E-2</v>
      </c>
      <c r="W68" s="3"/>
      <c r="X68" s="3">
        <f t="shared" si="10"/>
        <v>-109226.69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","5200"," - ","PURCHASES OFFSET")</f>
        <v xml:space="preserve">          5200 - PURCHASES OFFSET</v>
      </c>
      <c r="C69" s="12"/>
      <c r="D69" s="3">
        <v>-385967.61</v>
      </c>
      <c r="E69" s="3"/>
      <c r="F69" s="20">
        <f t="shared" si="4"/>
        <v>-0.80972972750706707</v>
      </c>
      <c r="G69" s="3"/>
      <c r="H69" s="3">
        <v>-68518.25</v>
      </c>
      <c r="I69" s="3"/>
      <c r="J69" s="20">
        <f t="shared" si="5"/>
        <v>-0.48013832429266967</v>
      </c>
      <c r="K69" s="3"/>
      <c r="L69" s="3">
        <f t="shared" si="6"/>
        <v>-317449.36</v>
      </c>
      <c r="M69" s="3"/>
      <c r="N69" s="20">
        <f t="shared" si="7"/>
        <v>4.6330628701112477</v>
      </c>
      <c r="O69" s="12"/>
      <c r="P69" s="3">
        <v>-1854439.02</v>
      </c>
      <c r="Q69" s="3"/>
      <c r="R69" s="20">
        <f t="shared" si="8"/>
        <v>-0.61912434389733306</v>
      </c>
      <c r="S69" s="3"/>
      <c r="T69" s="3">
        <v>-535704.61</v>
      </c>
      <c r="U69" s="3"/>
      <c r="V69" s="20">
        <f t="shared" si="9"/>
        <v>-0.42194922876780488</v>
      </c>
      <c r="W69" s="3"/>
      <c r="X69" s="3">
        <f t="shared" si="10"/>
        <v>-1318734.4100000001</v>
      </c>
      <c r="Y69" s="3"/>
      <c r="Z69" s="20">
        <f t="shared" si="11"/>
        <v>2.4616820265929769</v>
      </c>
    </row>
    <row r="70" spans="1:26" s="69" customFormat="1" ht="15" hidden="1" customHeight="1" outlineLevel="1" x14ac:dyDescent="0.3">
      <c r="A70" s="42"/>
      <c r="B70" s="12" t="str">
        <f>CONCATENATE("          ","5300"," - ","COG$ OFFSET")</f>
        <v xml:space="preserve">          5300 - COG$ OFFSET</v>
      </c>
      <c r="C70" s="12"/>
      <c r="D70" s="3">
        <v>209428.73</v>
      </c>
      <c r="E70" s="3"/>
      <c r="F70" s="20">
        <f t="shared" si="4"/>
        <v>0.43936502463263988</v>
      </c>
      <c r="G70" s="3"/>
      <c r="H70" s="3">
        <v>77854</v>
      </c>
      <c r="I70" s="3"/>
      <c r="J70" s="20">
        <f t="shared" si="5"/>
        <v>0.54555814107163425</v>
      </c>
      <c r="K70" s="3"/>
      <c r="L70" s="3">
        <f t="shared" si="6"/>
        <v>131574.73000000001</v>
      </c>
      <c r="M70" s="3"/>
      <c r="N70" s="20">
        <f t="shared" si="7"/>
        <v>1.6900188814961339</v>
      </c>
      <c r="O70" s="12"/>
      <c r="P70" s="3">
        <v>1429940.08</v>
      </c>
      <c r="Q70" s="3"/>
      <c r="R70" s="20">
        <f t="shared" si="8"/>
        <v>0.47740082272562406</v>
      </c>
      <c r="S70" s="3"/>
      <c r="T70" s="3">
        <v>739940</v>
      </c>
      <c r="U70" s="3"/>
      <c r="V70" s="20">
        <f t="shared" si="9"/>
        <v>0.58281580278812528</v>
      </c>
      <c r="W70" s="3"/>
      <c r="X70" s="3">
        <f t="shared" si="10"/>
        <v>690000.08000000007</v>
      </c>
      <c r="Y70" s="3"/>
      <c r="Z70" s="20">
        <f t="shared" si="11"/>
        <v>0.93250814930940351</v>
      </c>
    </row>
    <row r="71" spans="1:26" s="69" customFormat="1" ht="15" hidden="1" customHeight="1" outlineLevel="1" x14ac:dyDescent="0.3">
      <c r="A71" s="42"/>
      <c r="B71" s="12" t="str">
        <f>CONCATENATE("          ","5500"," - ","FREIGHT-IN")</f>
        <v xml:space="preserve">          5500 - FREIGHT-IN</v>
      </c>
      <c r="C71" s="12"/>
      <c r="D71" s="3">
        <v>18112.82</v>
      </c>
      <c r="E71" s="3"/>
      <c r="F71" s="20">
        <f t="shared" si="4"/>
        <v>3.799927357371919E-2</v>
      </c>
      <c r="G71" s="3"/>
      <c r="H71" s="3"/>
      <c r="I71" s="3"/>
      <c r="J71" s="20">
        <f t="shared" si="5"/>
        <v>0</v>
      </c>
      <c r="K71" s="3"/>
      <c r="L71" s="3">
        <f t="shared" si="6"/>
        <v>18112.82</v>
      </c>
      <c r="M71" s="3"/>
      <c r="N71" s="20">
        <f t="shared" si="7"/>
        <v>0</v>
      </c>
      <c r="O71" s="12"/>
      <c r="P71" s="3">
        <v>70218.64</v>
      </c>
      <c r="Q71" s="3"/>
      <c r="R71" s="20">
        <f t="shared" si="8"/>
        <v>2.3443245612553509E-2</v>
      </c>
      <c r="S71" s="3"/>
      <c r="T71" s="3"/>
      <c r="U71" s="3"/>
      <c r="V71" s="20">
        <f t="shared" si="9"/>
        <v>0</v>
      </c>
      <c r="W71" s="3"/>
      <c r="X71" s="3">
        <f t="shared" si="10"/>
        <v>70218.64</v>
      </c>
      <c r="Y71" s="3"/>
      <c r="Z71" s="20">
        <f t="shared" si="11"/>
        <v>0</v>
      </c>
    </row>
    <row r="72" spans="1:26" s="69" customFormat="1" ht="15" hidden="1" customHeight="1" outlineLevel="1" x14ac:dyDescent="0.3">
      <c r="A72" s="42"/>
      <c r="B72" s="12" t="str">
        <f>CONCATENATE("          ","5525"," - ","FREIGHT-IN-TEST FORMS")</f>
        <v xml:space="preserve">          5525 - FREIGHT-IN-TEST FORMS</v>
      </c>
      <c r="C72" s="12"/>
      <c r="D72" s="3"/>
      <c r="E72" s="3"/>
      <c r="F72" s="20">
        <f t="shared" si="4"/>
        <v>0</v>
      </c>
      <c r="G72" s="3"/>
      <c r="H72" s="3"/>
      <c r="I72" s="3"/>
      <c r="J72" s="20">
        <f t="shared" si="5"/>
        <v>0</v>
      </c>
      <c r="K72" s="3"/>
      <c r="L72" s="3">
        <f t="shared" si="6"/>
        <v>0</v>
      </c>
      <c r="M72" s="3"/>
      <c r="N72" s="20">
        <f t="shared" si="7"/>
        <v>0</v>
      </c>
      <c r="O72" s="12"/>
      <c r="P72" s="3"/>
      <c r="Q72" s="3"/>
      <c r="R72" s="20">
        <f t="shared" si="8"/>
        <v>0</v>
      </c>
      <c r="S72" s="3"/>
      <c r="T72" s="3">
        <v>48.14</v>
      </c>
      <c r="U72" s="3"/>
      <c r="V72" s="20">
        <f t="shared" si="9"/>
        <v>3.7917605138552247E-5</v>
      </c>
      <c r="W72" s="3"/>
      <c r="X72" s="3">
        <f t="shared" si="10"/>
        <v>-48.14</v>
      </c>
      <c r="Y72" s="3"/>
      <c r="Z72" s="20">
        <f t="shared" si="11"/>
        <v>-1</v>
      </c>
    </row>
    <row r="73" spans="1:26" s="69" customFormat="1" ht="15" hidden="1" customHeight="1" outlineLevel="1" x14ac:dyDescent="0.3">
      <c r="A73" s="42"/>
      <c r="B73" s="12" t="str">
        <f>CONCATENATE("          ","5526"," - ","FREIGHT-IN-WRITING INSTRUMENTS")</f>
        <v xml:space="preserve">          5526 - FREIGHT-IN-WRITING INSTRUMENTS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0</v>
      </c>
      <c r="U73" s="3"/>
      <c r="V73" s="20">
        <f t="shared" si="9"/>
        <v>0</v>
      </c>
      <c r="W73" s="3"/>
      <c r="X73" s="3">
        <f t="shared" si="10"/>
        <v>0</v>
      </c>
      <c r="Y73" s="3"/>
      <c r="Z73" s="20">
        <f t="shared" si="11"/>
        <v>0</v>
      </c>
    </row>
    <row r="74" spans="1:26" s="69" customFormat="1" ht="15" hidden="1" customHeight="1" outlineLevel="1" x14ac:dyDescent="0.3">
      <c r="A74" s="42"/>
      <c r="B74" s="12" t="str">
        <f>CONCATENATE("          ","5527"," - ","FREIGHT-IN-SCHOOL SUPPLIES")</f>
        <v xml:space="preserve">          5527 - FREIGHT-IN-SCHOOL SUPPLIES</v>
      </c>
      <c r="C74" s="12"/>
      <c r="D74" s="3"/>
      <c r="E74" s="3"/>
      <c r="F74" s="20">
        <f t="shared" si="4"/>
        <v>0</v>
      </c>
      <c r="G74" s="3"/>
      <c r="H74" s="3">
        <v>41.12</v>
      </c>
      <c r="I74" s="3"/>
      <c r="J74" s="20">
        <f t="shared" si="5"/>
        <v>2.8814641201307061E-4</v>
      </c>
      <c r="K74" s="3"/>
      <c r="L74" s="3">
        <f t="shared" si="6"/>
        <v>-41.12</v>
      </c>
      <c r="M74" s="3"/>
      <c r="N74" s="20">
        <f t="shared" si="7"/>
        <v>-1</v>
      </c>
      <c r="O74" s="12"/>
      <c r="P74" s="3">
        <v>0</v>
      </c>
      <c r="Q74" s="3"/>
      <c r="R74" s="20">
        <f t="shared" si="8"/>
        <v>0</v>
      </c>
      <c r="S74" s="3"/>
      <c r="T74" s="3">
        <v>218.62</v>
      </c>
      <c r="U74" s="3"/>
      <c r="V74" s="20">
        <f t="shared" si="9"/>
        <v>1.7219665216847304E-4</v>
      </c>
      <c r="W74" s="3"/>
      <c r="X74" s="3">
        <f t="shared" si="10"/>
        <v>-218.62</v>
      </c>
      <c r="Y74" s="3"/>
      <c r="Z74" s="20">
        <f t="shared" si="11"/>
        <v>-1</v>
      </c>
    </row>
    <row r="75" spans="1:26" s="69" customFormat="1" ht="15" hidden="1" customHeight="1" outlineLevel="1" x14ac:dyDescent="0.3">
      <c r="A75" s="42"/>
      <c r="B75" s="12" t="str">
        <f>CONCATENATE("          ","5528"," - ","FREIGHT-IN-ART/TECH")</f>
        <v xml:space="preserve">          5528 - FREIGHT-IN-ART/TECH</v>
      </c>
      <c r="C75" s="12"/>
      <c r="D75" s="3"/>
      <c r="E75" s="3"/>
      <c r="F75" s="20">
        <f t="shared" si="4"/>
        <v>0</v>
      </c>
      <c r="G75" s="3"/>
      <c r="H75" s="3">
        <v>73.23</v>
      </c>
      <c r="I75" s="3"/>
      <c r="J75" s="20">
        <f t="shared" si="5"/>
        <v>5.131556846234719E-4</v>
      </c>
      <c r="K75" s="3"/>
      <c r="L75" s="3">
        <f t="shared" si="6"/>
        <v>-73.23</v>
      </c>
      <c r="M75" s="3"/>
      <c r="N75" s="20">
        <f t="shared" si="7"/>
        <v>-1</v>
      </c>
      <c r="O75" s="12"/>
      <c r="P75" s="3"/>
      <c r="Q75" s="3"/>
      <c r="R75" s="20">
        <f t="shared" si="8"/>
        <v>0</v>
      </c>
      <c r="S75" s="3"/>
      <c r="T75" s="3">
        <v>107.18</v>
      </c>
      <c r="U75" s="3"/>
      <c r="V75" s="20">
        <f t="shared" si="9"/>
        <v>8.4420625649148938E-5</v>
      </c>
      <c r="W75" s="3"/>
      <c r="X75" s="3">
        <f t="shared" si="10"/>
        <v>-107.18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","5540"," - ","FREIGHT-IN-LOGO CLOTHING")</f>
        <v xml:space="preserve">          5540 - FREIGHT-IN-LOGO CLOTHING</v>
      </c>
      <c r="C76" s="12"/>
      <c r="D76" s="3"/>
      <c r="E76" s="3"/>
      <c r="F76" s="20">
        <f t="shared" si="4"/>
        <v>0</v>
      </c>
      <c r="G76" s="3"/>
      <c r="H76" s="3">
        <v>1167.1400000000001</v>
      </c>
      <c r="I76" s="3"/>
      <c r="J76" s="20">
        <f t="shared" si="5"/>
        <v>8.1786771234663245E-3</v>
      </c>
      <c r="K76" s="3"/>
      <c r="L76" s="3">
        <f t="shared" si="6"/>
        <v>-1167.1400000000001</v>
      </c>
      <c r="M76" s="3"/>
      <c r="N76" s="20">
        <f t="shared" si="7"/>
        <v>-1</v>
      </c>
      <c r="O76" s="12"/>
      <c r="P76" s="3">
        <v>0</v>
      </c>
      <c r="Q76" s="3"/>
      <c r="R76" s="20">
        <f t="shared" si="8"/>
        <v>0</v>
      </c>
      <c r="S76" s="3"/>
      <c r="T76" s="3">
        <v>7108.37</v>
      </c>
      <c r="U76" s="3"/>
      <c r="V76" s="20">
        <f t="shared" si="9"/>
        <v>5.5989274374476658E-3</v>
      </c>
      <c r="W76" s="3"/>
      <c r="X76" s="3">
        <f t="shared" si="10"/>
        <v>-7108.37</v>
      </c>
      <c r="Y76" s="3"/>
      <c r="Z76" s="20">
        <f t="shared" si="11"/>
        <v>-1</v>
      </c>
    </row>
    <row r="77" spans="1:26" s="69" customFormat="1" ht="15" hidden="1" customHeight="1" outlineLevel="1" x14ac:dyDescent="0.3">
      <c r="A77" s="42"/>
      <c r="B77" s="12" t="str">
        <f>CONCATENATE("          ","5541"," - ","FREIGHT-IN-LOGO GIFTS")</f>
        <v xml:space="preserve">          5541 - FREIGHT-IN-LOGO GIFTS</v>
      </c>
      <c r="C77" s="12"/>
      <c r="D77" s="3"/>
      <c r="E77" s="3"/>
      <c r="F77" s="20">
        <f t="shared" si="4"/>
        <v>0</v>
      </c>
      <c r="G77" s="3"/>
      <c r="H77" s="3">
        <v>60.07</v>
      </c>
      <c r="I77" s="3"/>
      <c r="J77" s="20">
        <f t="shared" si="5"/>
        <v>4.2093762085664282E-4</v>
      </c>
      <c r="K77" s="3"/>
      <c r="L77" s="3">
        <f t="shared" si="6"/>
        <v>-60.07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2138</v>
      </c>
      <c r="U77" s="3"/>
      <c r="V77" s="20">
        <f t="shared" si="9"/>
        <v>1.6840016573789927E-3</v>
      </c>
      <c r="W77" s="3"/>
      <c r="X77" s="3">
        <f t="shared" si="10"/>
        <v>-2138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","5542"," - ","FREIGHT-IN-EVERYDAY GIFTS")</f>
        <v xml:space="preserve">          5542 - FREIGHT-IN-EVERYDAY GIFTS</v>
      </c>
      <c r="C78" s="12"/>
      <c r="D78" s="3"/>
      <c r="E78" s="3"/>
      <c r="F78" s="20">
        <f t="shared" si="4"/>
        <v>0</v>
      </c>
      <c r="G78" s="3"/>
      <c r="H78" s="3">
        <v>297.79000000000002</v>
      </c>
      <c r="I78" s="3"/>
      <c r="J78" s="20">
        <f t="shared" si="5"/>
        <v>2.0867490280489375E-3</v>
      </c>
      <c r="K78" s="3"/>
      <c r="L78" s="3">
        <f t="shared" si="6"/>
        <v>-297.79000000000002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681.72</v>
      </c>
      <c r="U78" s="3"/>
      <c r="V78" s="20">
        <f t="shared" si="9"/>
        <v>5.3695865756239801E-4</v>
      </c>
      <c r="W78" s="3"/>
      <c r="X78" s="3">
        <f t="shared" si="10"/>
        <v>-681.72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","5543"," - ","FREIGHT-IN-CARDS")</f>
        <v xml:space="preserve">          5543 - FREIGHT-IN-CARDS</v>
      </c>
      <c r="C79" s="12"/>
      <c r="D79" s="3"/>
      <c r="E79" s="3"/>
      <c r="F79" s="20">
        <f t="shared" si="4"/>
        <v>0</v>
      </c>
      <c r="G79" s="3"/>
      <c r="H79" s="3"/>
      <c r="I79" s="3"/>
      <c r="J79" s="20">
        <f t="shared" si="5"/>
        <v>0</v>
      </c>
      <c r="K79" s="3"/>
      <c r="L79" s="3">
        <f t="shared" si="6"/>
        <v>0</v>
      </c>
      <c r="M79" s="3"/>
      <c r="N79" s="20">
        <f t="shared" si="7"/>
        <v>0</v>
      </c>
      <c r="O79" s="12"/>
      <c r="P79" s="3"/>
      <c r="Q79" s="3"/>
      <c r="R79" s="20">
        <f t="shared" si="8"/>
        <v>0</v>
      </c>
      <c r="S79" s="3"/>
      <c r="T79" s="3">
        <v>9110.5300000000007</v>
      </c>
      <c r="U79" s="3"/>
      <c r="V79" s="20">
        <f t="shared" si="9"/>
        <v>7.1759343403185382E-3</v>
      </c>
      <c r="W79" s="3"/>
      <c r="X79" s="3">
        <f t="shared" si="10"/>
        <v>-9110.5300000000007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","5544"," - ","FREIGHT-IN-ACCESSORIES")</f>
        <v xml:space="preserve">          5544 - FREIGHT-IN-ACCESSORIES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>
        <v>0</v>
      </c>
      <c r="Q80" s="3"/>
      <c r="R80" s="20">
        <f t="shared" si="8"/>
        <v>0</v>
      </c>
      <c r="S80" s="3"/>
      <c r="T80" s="3"/>
      <c r="U80" s="3"/>
      <c r="V80" s="20">
        <f t="shared" si="9"/>
        <v>0</v>
      </c>
      <c r="W80" s="3"/>
      <c r="X80" s="3">
        <f t="shared" si="10"/>
        <v>0</v>
      </c>
      <c r="Y80" s="3"/>
      <c r="Z80" s="20">
        <f t="shared" si="11"/>
        <v>0</v>
      </c>
    </row>
    <row r="81" spans="1:26" s="69" customFormat="1" ht="15" hidden="1" customHeight="1" outlineLevel="1" x14ac:dyDescent="0.3">
      <c r="A81" s="42"/>
      <c r="B81" s="12" t="str">
        <f>CONCATENATE("          ","5545"," - ","FREIGHT-IN-SPECIAL ORDERS")</f>
        <v xml:space="preserve">          5545 - FREIGHT-IN-SPECIAL ORDERS</v>
      </c>
      <c r="C81" s="12"/>
      <c r="D81" s="3"/>
      <c r="E81" s="3"/>
      <c r="F81" s="20">
        <f t="shared" si="4"/>
        <v>0</v>
      </c>
      <c r="G81" s="3"/>
      <c r="H81" s="3">
        <v>17.63</v>
      </c>
      <c r="I81" s="3"/>
      <c r="J81" s="20">
        <f t="shared" si="5"/>
        <v>1.2354137266027321E-4</v>
      </c>
      <c r="K81" s="3"/>
      <c r="L81" s="3">
        <f t="shared" si="6"/>
        <v>-17.63</v>
      </c>
      <c r="M81" s="3"/>
      <c r="N81" s="20">
        <f t="shared" si="7"/>
        <v>-1</v>
      </c>
      <c r="O81" s="12"/>
      <c r="P81" s="3">
        <v>0</v>
      </c>
      <c r="Q81" s="3"/>
      <c r="R81" s="20">
        <f t="shared" si="8"/>
        <v>0</v>
      </c>
      <c r="S81" s="3"/>
      <c r="T81" s="3">
        <v>1266.1600000000001</v>
      </c>
      <c r="U81" s="3"/>
      <c r="V81" s="20">
        <f t="shared" si="9"/>
        <v>9.9729445206126551E-4</v>
      </c>
      <c r="W81" s="3"/>
      <c r="X81" s="3">
        <f t="shared" si="10"/>
        <v>-1266.1600000000001</v>
      </c>
      <c r="Y81" s="3"/>
      <c r="Z81" s="20">
        <f t="shared" si="11"/>
        <v>-1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7" t="s">
        <v>288</v>
      </c>
      <c r="C83" s="27"/>
      <c r="D83" s="22">
        <f>D12-D56</f>
        <v>270233.53999999992</v>
      </c>
      <c r="E83" s="15"/>
      <c r="F83" s="21">
        <f>IF(D$12=0,0,D83/D$12)</f>
        <v>0.56692873971334035</v>
      </c>
      <c r="G83" s="15"/>
      <c r="H83" s="22">
        <f>H12-H56</f>
        <v>64851.229999999981</v>
      </c>
      <c r="I83" s="15"/>
      <c r="J83" s="21">
        <f>IF(H$12=0,0,H83/H$12)</f>
        <v>0.45444185892836575</v>
      </c>
      <c r="K83" s="17"/>
      <c r="L83" s="22">
        <f>+D83-H83</f>
        <v>205382.30999999994</v>
      </c>
      <c r="M83" s="17"/>
      <c r="N83" s="21">
        <f>IF(H83=0,0,L83/H83)</f>
        <v>3.1669763241190645</v>
      </c>
      <c r="O83" s="28"/>
      <c r="P83" s="22">
        <f>P12-P56</f>
        <v>1568320.95</v>
      </c>
      <c r="Q83" s="15"/>
      <c r="R83" s="21">
        <f>IF(P$12=0,0,P83/P$12)</f>
        <v>0.52360075943030582</v>
      </c>
      <c r="S83" s="15"/>
      <c r="T83" s="22">
        <f>T12-T56</f>
        <v>528738.41000000027</v>
      </c>
      <c r="U83" s="15"/>
      <c r="V83" s="21">
        <f>IF(T$12=0,0,T83/T$12)</f>
        <v>0.41646228192700363</v>
      </c>
      <c r="W83" s="17"/>
      <c r="X83" s="22">
        <f>+P83-T83</f>
        <v>1039582.5399999997</v>
      </c>
      <c r="Y83" s="17"/>
      <c r="Z83" s="21">
        <f>IF(T83=0,0,X83/T83)</f>
        <v>1.9661566482374511</v>
      </c>
    </row>
    <row r="84" spans="1:26" ht="15" customHeight="1" x14ac:dyDescent="0.3">
      <c r="A84" s="10"/>
      <c r="B84" s="11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2" customFormat="1" ht="15" customHeight="1" x14ac:dyDescent="0.3">
      <c r="A85" s="11"/>
      <c r="B85" s="28" t="s">
        <v>289</v>
      </c>
      <c r="C85" s="11"/>
      <c r="D85" s="23" cm="1">
        <f t="array" ref="D85">SUM(OSRRefD22x_0)</f>
        <v>85895.550000000017</v>
      </c>
      <c r="E85" s="23"/>
      <c r="F85" s="35">
        <f t="shared" ref="F85:F116" si="12">IF(D$12=0,0,D85/D$12)</f>
        <v>0.18020211668945399</v>
      </c>
      <c r="G85" s="23"/>
      <c r="H85" s="23" cm="1">
        <f t="array" ref="H85">SUM(OSRRefH22x_0)</f>
        <v>43298.26999999999</v>
      </c>
      <c r="I85" s="23"/>
      <c r="J85" s="35">
        <f t="shared" ref="J85:J116" si="13">IF(H$12=0,0,H85/H$12)</f>
        <v>0.30341053372746041</v>
      </c>
      <c r="K85" s="5"/>
      <c r="L85" s="23">
        <f t="shared" ref="L85:L116" si="14">+D85-H85</f>
        <v>42597.280000000028</v>
      </c>
      <c r="M85" s="5"/>
      <c r="N85" s="35">
        <f t="shared" ref="N85:N116" si="15">IF(H85=0,0,L85/H85)</f>
        <v>0.98381020765956784</v>
      </c>
      <c r="O85" s="11"/>
      <c r="P85" s="23" cm="1">
        <f t="array" ref="P85">SUM(OSRRefP22x_0)</f>
        <v>741742.40000000014</v>
      </c>
      <c r="Q85" s="23"/>
      <c r="R85" s="35">
        <f t="shared" ref="R85:R116" si="16">IF(P$12=0,0,P85/P$12)</f>
        <v>0.24763865071218857</v>
      </c>
      <c r="S85" s="23"/>
      <c r="T85" s="23" cm="1">
        <f t="array" ref="T85">SUM(OSRRefT22x_0)</f>
        <v>415367.95</v>
      </c>
      <c r="U85" s="23"/>
      <c r="V85" s="35">
        <f t="shared" ref="V85:V116" si="17">IF(T$12=0,0,T85/T$12)</f>
        <v>0.32716572320959519</v>
      </c>
      <c r="W85" s="5"/>
      <c r="X85" s="23">
        <f t="shared" ref="X85:X116" si="18">+P85-T85</f>
        <v>326374.45000000013</v>
      </c>
      <c r="Y85" s="5"/>
      <c r="Z85" s="35">
        <f t="shared" ref="Z85:Z116" si="19">IF(T85=0,0,X85/T85)</f>
        <v>0.78574779301099207</v>
      </c>
    </row>
    <row r="86" spans="1:26" s="68" customFormat="1" ht="15" customHeight="1" outlineLevel="1" collapsed="1" x14ac:dyDescent="0.3">
      <c r="A86" s="26"/>
      <c r="B86" s="14" t="str">
        <f>CONCATENATE("     ","*Benefits                                         ")</f>
        <v xml:space="preserve">     *Benefits                                         </v>
      </c>
      <c r="C86" s="14"/>
      <c r="D86" s="2">
        <f>SUM(OSRRefD22_0x_0)</f>
        <v>11028.36</v>
      </c>
      <c r="E86" s="2"/>
      <c r="F86" s="6">
        <f t="shared" si="12"/>
        <v>2.3136632987544831E-2</v>
      </c>
      <c r="G86" s="2"/>
      <c r="H86" s="2">
        <f>SUM(OSRRefH22_0x_0)</f>
        <v>9722.48</v>
      </c>
      <c r="I86" s="2"/>
      <c r="J86" s="6">
        <f t="shared" si="13"/>
        <v>6.8129808557121557E-2</v>
      </c>
      <c r="K86" s="2"/>
      <c r="L86" s="2">
        <f t="shared" si="14"/>
        <v>1305.880000000001</v>
      </c>
      <c r="M86" s="2"/>
      <c r="N86" s="6">
        <f t="shared" si="15"/>
        <v>0.13431552443409511</v>
      </c>
      <c r="O86" s="14"/>
      <c r="P86" s="2">
        <f>SUM(OSRRefP22_0x_0)</f>
        <v>120628.50000000001</v>
      </c>
      <c r="Q86" s="2"/>
      <c r="R86" s="6">
        <f t="shared" si="16"/>
        <v>4.0273117698860467E-2</v>
      </c>
      <c r="S86" s="2"/>
      <c r="T86" s="2">
        <f>SUM(OSRRefT22_0x_0)</f>
        <v>90696.02</v>
      </c>
      <c r="U86" s="2"/>
      <c r="V86" s="6">
        <f t="shared" si="17"/>
        <v>7.1436972870756912E-2</v>
      </c>
      <c r="W86" s="2"/>
      <c r="X86" s="2">
        <f t="shared" si="18"/>
        <v>29932.48000000001</v>
      </c>
      <c r="Y86" s="2"/>
      <c r="Z86" s="6">
        <f t="shared" si="19"/>
        <v>0.33003079958745718</v>
      </c>
    </row>
    <row r="87" spans="1:26" s="69" customFormat="1" ht="15" hidden="1" customHeight="1" outlineLevel="2" x14ac:dyDescent="0.3">
      <c r="A87" s="25"/>
      <c r="B87" s="12" t="str">
        <f>CONCATENATE("          ","6111"," - ","F.I.C.A.")</f>
        <v xml:space="preserve">          6111 - F.I.C.A.</v>
      </c>
      <c r="C87" s="12"/>
      <c r="D87" s="8">
        <v>1865.14</v>
      </c>
      <c r="E87" s="3"/>
      <c r="F87" s="7">
        <f t="shared" si="12"/>
        <v>3.9129172107538537E-3</v>
      </c>
      <c r="G87" s="3"/>
      <c r="H87" s="8">
        <v>2052.3000000000002</v>
      </c>
      <c r="I87" s="3"/>
      <c r="J87" s="7">
        <f t="shared" si="13"/>
        <v>1.4381393029533679E-2</v>
      </c>
      <c r="K87" s="3"/>
      <c r="L87" s="8">
        <f t="shared" si="14"/>
        <v>-187.16000000000008</v>
      </c>
      <c r="M87" s="3"/>
      <c r="N87" s="7">
        <f t="shared" si="15"/>
        <v>-9.1195244359986383E-2</v>
      </c>
      <c r="O87" s="12"/>
      <c r="P87" s="8">
        <v>21662.26</v>
      </c>
      <c r="Q87" s="3"/>
      <c r="R87" s="7">
        <f t="shared" si="16"/>
        <v>7.2321776910374983E-3</v>
      </c>
      <c r="S87" s="3"/>
      <c r="T87" s="8">
        <v>20225.04</v>
      </c>
      <c r="U87" s="3"/>
      <c r="V87" s="7">
        <f t="shared" si="17"/>
        <v>1.5930309111579243E-2</v>
      </c>
      <c r="W87" s="3"/>
      <c r="X87" s="8">
        <f t="shared" si="18"/>
        <v>1437.2199999999975</v>
      </c>
      <c r="Y87" s="3"/>
      <c r="Z87" s="7">
        <f t="shared" si="19"/>
        <v>7.1061416936628929E-2</v>
      </c>
    </row>
    <row r="88" spans="1:26" s="69" customFormat="1" ht="15" hidden="1" customHeight="1" outlineLevel="2" x14ac:dyDescent="0.3">
      <c r="A88" s="25"/>
      <c r="B88" s="12" t="str">
        <f>CONCATENATE("          ","6112"," - ","COMPENSATION INSURANCE")</f>
        <v xml:space="preserve">          6112 - COMPENSATION INSURANCE</v>
      </c>
      <c r="C88" s="12"/>
      <c r="D88" s="8">
        <v>984.31</v>
      </c>
      <c r="E88" s="3"/>
      <c r="F88" s="7">
        <f t="shared" si="12"/>
        <v>2.0650050611305988E-3</v>
      </c>
      <c r="G88" s="3"/>
      <c r="H88" s="8">
        <v>586.92999999999995</v>
      </c>
      <c r="I88" s="3"/>
      <c r="J88" s="7">
        <f t="shared" si="13"/>
        <v>4.1128835992906496E-3</v>
      </c>
      <c r="K88" s="3"/>
      <c r="L88" s="8">
        <f t="shared" si="14"/>
        <v>397.38</v>
      </c>
      <c r="M88" s="3"/>
      <c r="N88" s="7">
        <f t="shared" si="15"/>
        <v>0.67704837033377063</v>
      </c>
      <c r="O88" s="12"/>
      <c r="P88" s="8">
        <v>8032.72</v>
      </c>
      <c r="Q88" s="3"/>
      <c r="R88" s="7">
        <f t="shared" si="16"/>
        <v>2.6818096718602188E-3</v>
      </c>
      <c r="S88" s="3"/>
      <c r="T88" s="8">
        <v>7157.02</v>
      </c>
      <c r="U88" s="3"/>
      <c r="V88" s="7">
        <f t="shared" si="17"/>
        <v>5.6372467455072959E-3</v>
      </c>
      <c r="W88" s="3"/>
      <c r="X88" s="8">
        <f t="shared" si="18"/>
        <v>875.69999999999982</v>
      </c>
      <c r="Y88" s="3"/>
      <c r="Z88" s="7">
        <f t="shared" si="19"/>
        <v>0.12235539372532139</v>
      </c>
    </row>
    <row r="89" spans="1:26" s="69" customFormat="1" ht="15" hidden="1" customHeight="1" outlineLevel="2" x14ac:dyDescent="0.3">
      <c r="A89" s="25"/>
      <c r="B89" s="12" t="str">
        <f>CONCATENATE("          ","6113"," - ","GROUP INSURANCE")</f>
        <v xml:space="preserve">          6113 - GROUP INSURANCE</v>
      </c>
      <c r="C89" s="12"/>
      <c r="D89" s="8">
        <v>3347.46</v>
      </c>
      <c r="E89" s="3"/>
      <c r="F89" s="7">
        <f t="shared" si="12"/>
        <v>7.0227081325316566E-3</v>
      </c>
      <c r="G89" s="3"/>
      <c r="H89" s="8">
        <v>2823.95</v>
      </c>
      <c r="I89" s="3"/>
      <c r="J89" s="7">
        <f t="shared" si="13"/>
        <v>1.9788693098353859E-2</v>
      </c>
      <c r="K89" s="3"/>
      <c r="L89" s="8">
        <f t="shared" si="14"/>
        <v>523.51000000000022</v>
      </c>
      <c r="M89" s="3"/>
      <c r="N89" s="7">
        <f t="shared" si="15"/>
        <v>0.18538217744648464</v>
      </c>
      <c r="O89" s="12"/>
      <c r="P89" s="8">
        <v>37523.379999999997</v>
      </c>
      <c r="Q89" s="3"/>
      <c r="R89" s="7">
        <f t="shared" si="16"/>
        <v>1.2527582612724741E-2</v>
      </c>
      <c r="S89" s="3"/>
      <c r="T89" s="8">
        <v>26300.9</v>
      </c>
      <c r="U89" s="3"/>
      <c r="V89" s="7">
        <f t="shared" si="17"/>
        <v>2.0715977170514103E-2</v>
      </c>
      <c r="W89" s="3"/>
      <c r="X89" s="8">
        <f t="shared" si="18"/>
        <v>11222.479999999996</v>
      </c>
      <c r="Y89" s="3"/>
      <c r="Z89" s="7">
        <f t="shared" si="19"/>
        <v>0.42669566440692125</v>
      </c>
    </row>
    <row r="90" spans="1:26" s="69" customFormat="1" ht="15" hidden="1" customHeight="1" outlineLevel="2" x14ac:dyDescent="0.3">
      <c r="A90" s="25"/>
      <c r="B90" s="12" t="str">
        <f>CONCATENATE("          ","6114"," - ","STATE UNEMPLOYMENT INSURANCE")</f>
        <v xml:space="preserve">          6114 - STATE UNEMPLOYMENT INSURANCE</v>
      </c>
      <c r="C90" s="12"/>
      <c r="D90" s="8">
        <v>173.13</v>
      </c>
      <c r="E90" s="3"/>
      <c r="F90" s="7">
        <f t="shared" si="12"/>
        <v>3.6321314040651886E-4</v>
      </c>
      <c r="G90" s="3"/>
      <c r="H90" s="8">
        <v>82.49</v>
      </c>
      <c r="I90" s="3"/>
      <c r="J90" s="7">
        <f t="shared" si="13"/>
        <v>5.7804468693964481E-4</v>
      </c>
      <c r="K90" s="3"/>
      <c r="L90" s="8">
        <f t="shared" si="14"/>
        <v>90.64</v>
      </c>
      <c r="M90" s="3"/>
      <c r="N90" s="7">
        <f t="shared" si="15"/>
        <v>1.0987998545278217</v>
      </c>
      <c r="O90" s="12"/>
      <c r="P90" s="8">
        <v>1412.31</v>
      </c>
      <c r="Q90" s="3"/>
      <c r="R90" s="7">
        <f t="shared" si="16"/>
        <v>4.7151483154708556E-4</v>
      </c>
      <c r="S90" s="3"/>
      <c r="T90" s="8">
        <v>832.08</v>
      </c>
      <c r="U90" s="3"/>
      <c r="V90" s="7">
        <f t="shared" si="17"/>
        <v>6.5539013052942575E-4</v>
      </c>
      <c r="W90" s="3"/>
      <c r="X90" s="8">
        <f t="shared" si="18"/>
        <v>580.2299999999999</v>
      </c>
      <c r="Y90" s="3"/>
      <c r="Z90" s="7">
        <f t="shared" si="19"/>
        <v>0.69732477646380142</v>
      </c>
    </row>
    <row r="91" spans="1:26" s="69" customFormat="1" ht="15" hidden="1" customHeight="1" outlineLevel="2" x14ac:dyDescent="0.3">
      <c r="A91" s="25"/>
      <c r="B91" s="12" t="str">
        <f>CONCATENATE("          ","6115"," - ","P.E.R.S.")</f>
        <v xml:space="preserve">          6115 - P.E.R.S.</v>
      </c>
      <c r="C91" s="12"/>
      <c r="D91" s="8">
        <v>1050.5</v>
      </c>
      <c r="E91" s="3"/>
      <c r="F91" s="7">
        <f t="shared" si="12"/>
        <v>2.2038664818174094E-3</v>
      </c>
      <c r="G91" s="3"/>
      <c r="H91" s="8">
        <v>1554.7</v>
      </c>
      <c r="I91" s="3"/>
      <c r="J91" s="7">
        <f t="shared" si="13"/>
        <v>1.089448508649613E-2</v>
      </c>
      <c r="K91" s="3"/>
      <c r="L91" s="8">
        <f t="shared" si="14"/>
        <v>-504.20000000000005</v>
      </c>
      <c r="M91" s="3"/>
      <c r="N91" s="7">
        <f t="shared" si="15"/>
        <v>-0.32430694024570661</v>
      </c>
      <c r="O91" s="12"/>
      <c r="P91" s="8">
        <v>13716.63</v>
      </c>
      <c r="Q91" s="3"/>
      <c r="R91" s="7">
        <f t="shared" si="16"/>
        <v>4.5794439491639236E-3</v>
      </c>
      <c r="S91" s="3"/>
      <c r="T91" s="8">
        <v>14670.4</v>
      </c>
      <c r="U91" s="3"/>
      <c r="V91" s="7">
        <f t="shared" si="17"/>
        <v>1.1555181437985394E-2</v>
      </c>
      <c r="W91" s="3"/>
      <c r="X91" s="8">
        <f t="shared" si="18"/>
        <v>-953.77000000000044</v>
      </c>
      <c r="Y91" s="3"/>
      <c r="Z91" s="7">
        <f t="shared" si="19"/>
        <v>-6.5013223906641979E-2</v>
      </c>
    </row>
    <row r="92" spans="1:26" s="69" customFormat="1" ht="15" hidden="1" customHeight="1" outlineLevel="2" x14ac:dyDescent="0.3">
      <c r="A92" s="25"/>
      <c r="B92" s="12" t="str">
        <f>CONCATENATE("          ","6118"," - ","VACATION")</f>
        <v xml:space="preserve">          6118 - VACATION</v>
      </c>
      <c r="C92" s="12"/>
      <c r="D92" s="8">
        <v>1560.78</v>
      </c>
      <c r="E92" s="3"/>
      <c r="F92" s="7">
        <f t="shared" si="12"/>
        <v>3.2743938386396729E-3</v>
      </c>
      <c r="G92" s="3"/>
      <c r="H92" s="8">
        <v>1290.6199999999999</v>
      </c>
      <c r="I92" s="3"/>
      <c r="J92" s="7">
        <f t="shared" si="13"/>
        <v>9.0439572537040162E-3</v>
      </c>
      <c r="K92" s="3"/>
      <c r="L92" s="8">
        <f t="shared" si="14"/>
        <v>270.16000000000008</v>
      </c>
      <c r="M92" s="3"/>
      <c r="N92" s="7">
        <f t="shared" si="15"/>
        <v>0.20932575041452953</v>
      </c>
      <c r="O92" s="12"/>
      <c r="P92" s="8">
        <v>17179.89</v>
      </c>
      <c r="Q92" s="3"/>
      <c r="R92" s="7">
        <f t="shared" si="16"/>
        <v>5.7356904216124367E-3</v>
      </c>
      <c r="S92" s="3"/>
      <c r="T92" s="8">
        <v>10992.97</v>
      </c>
      <c r="U92" s="3"/>
      <c r="V92" s="7">
        <f t="shared" si="17"/>
        <v>8.6586434515984762E-3</v>
      </c>
      <c r="W92" s="3"/>
      <c r="X92" s="8">
        <f t="shared" si="18"/>
        <v>6186.92</v>
      </c>
      <c r="Y92" s="3"/>
      <c r="Z92" s="7">
        <f t="shared" si="19"/>
        <v>0.56280695753740806</v>
      </c>
    </row>
    <row r="93" spans="1:26" s="69" customFormat="1" ht="15" hidden="1" customHeight="1" outlineLevel="2" x14ac:dyDescent="0.3">
      <c r="A93" s="25"/>
      <c r="B93" s="12" t="str">
        <f>CONCATENATE("          ","6119"," - ","SICK LEAVE")</f>
        <v xml:space="preserve">          6119 - SICK LEAVE</v>
      </c>
      <c r="C93" s="12"/>
      <c r="D93" s="8">
        <v>1176.8399999999999</v>
      </c>
      <c r="E93" s="3"/>
      <c r="F93" s="7">
        <f t="shared" si="12"/>
        <v>2.4689178776411231E-3</v>
      </c>
      <c r="G93" s="3"/>
      <c r="H93" s="8">
        <v>889.54</v>
      </c>
      <c r="I93" s="3"/>
      <c r="J93" s="7">
        <f t="shared" si="13"/>
        <v>6.2334085443119368E-3</v>
      </c>
      <c r="K93" s="3"/>
      <c r="L93" s="8">
        <f t="shared" si="14"/>
        <v>287.29999999999995</v>
      </c>
      <c r="M93" s="3"/>
      <c r="N93" s="7">
        <f t="shared" si="15"/>
        <v>0.32297592013849852</v>
      </c>
      <c r="O93" s="12"/>
      <c r="P93" s="8">
        <v>15084.35</v>
      </c>
      <c r="Q93" s="3"/>
      <c r="R93" s="7">
        <f t="shared" si="16"/>
        <v>5.0360719312667057E-3</v>
      </c>
      <c r="S93" s="3"/>
      <c r="T93" s="8">
        <v>7792.89</v>
      </c>
      <c r="U93" s="3"/>
      <c r="V93" s="7">
        <f t="shared" si="17"/>
        <v>6.1380915228120576E-3</v>
      </c>
      <c r="W93" s="3"/>
      <c r="X93" s="8">
        <f t="shared" si="18"/>
        <v>7291.46</v>
      </c>
      <c r="Y93" s="3"/>
      <c r="Z93" s="7">
        <f t="shared" si="19"/>
        <v>0.93565545003201633</v>
      </c>
    </row>
    <row r="94" spans="1:26" s="69" customFormat="1" ht="15" hidden="1" customHeight="1" outlineLevel="2" x14ac:dyDescent="0.3">
      <c r="A94" s="25"/>
      <c r="B94" s="12" t="str">
        <f>CONCATENATE("          ","6156"," - ","EMPLOYEE MEALS")</f>
        <v xml:space="preserve">          6156 - EMPLOYEE MEALS</v>
      </c>
      <c r="C94" s="12"/>
      <c r="D94" s="8">
        <v>870.2</v>
      </c>
      <c r="E94" s="3"/>
      <c r="F94" s="7">
        <f t="shared" si="12"/>
        <v>1.8256112446239979E-3</v>
      </c>
      <c r="G94" s="3"/>
      <c r="H94" s="8">
        <v>441.95</v>
      </c>
      <c r="I94" s="3"/>
      <c r="J94" s="7">
        <f t="shared" si="13"/>
        <v>3.0969432584916478E-3</v>
      </c>
      <c r="K94" s="3"/>
      <c r="L94" s="8">
        <f t="shared" si="14"/>
        <v>428.25000000000006</v>
      </c>
      <c r="M94" s="3"/>
      <c r="N94" s="7">
        <f t="shared" si="15"/>
        <v>0.96900101821473028</v>
      </c>
      <c r="O94" s="12"/>
      <c r="P94" s="8">
        <v>6016.96</v>
      </c>
      <c r="Q94" s="3"/>
      <c r="R94" s="7">
        <f t="shared" si="16"/>
        <v>2.0088265896478479E-3</v>
      </c>
      <c r="S94" s="3"/>
      <c r="T94" s="8">
        <v>2724.72</v>
      </c>
      <c r="U94" s="3"/>
      <c r="V94" s="7">
        <f t="shared" si="17"/>
        <v>2.1461333002309115E-3</v>
      </c>
      <c r="W94" s="3"/>
      <c r="X94" s="8">
        <f t="shared" si="18"/>
        <v>3292.2400000000002</v>
      </c>
      <c r="Y94" s="3"/>
      <c r="Z94" s="7">
        <f t="shared" si="19"/>
        <v>1.2082856220088671</v>
      </c>
    </row>
    <row r="95" spans="1:26" s="68" customFormat="1" ht="15" customHeight="1" outlineLevel="1" collapsed="1" x14ac:dyDescent="0.3">
      <c r="A95" s="26"/>
      <c r="B95" s="14" t="str">
        <f>CONCATENATE("     ","*Payroll                                          ")</f>
        <v xml:space="preserve">     *Payroll                                          </v>
      </c>
      <c r="C95" s="14"/>
      <c r="D95" s="2">
        <f>SUM(OSRRefD22_1x_0)</f>
        <v>67625.81</v>
      </c>
      <c r="E95" s="2"/>
      <c r="F95" s="6">
        <f t="shared" si="12"/>
        <v>0.14187363728201102</v>
      </c>
      <c r="G95" s="2"/>
      <c r="H95" s="2">
        <f>SUM(OSRRefH22_1x_0)</f>
        <v>32673.71</v>
      </c>
      <c r="I95" s="2"/>
      <c r="J95" s="6">
        <f t="shared" si="13"/>
        <v>0.22895944318228564</v>
      </c>
      <c r="K95" s="2"/>
      <c r="L95" s="2">
        <f t="shared" si="14"/>
        <v>34952.1</v>
      </c>
      <c r="M95" s="2"/>
      <c r="N95" s="6">
        <f t="shared" si="15"/>
        <v>1.0697315976667479</v>
      </c>
      <c r="O95" s="14"/>
      <c r="P95" s="2">
        <f>SUM(OSRRefP22_1x_0)</f>
        <v>526233.71</v>
      </c>
      <c r="Q95" s="2"/>
      <c r="R95" s="6">
        <f t="shared" si="16"/>
        <v>0.17568876459491745</v>
      </c>
      <c r="S95" s="2"/>
      <c r="T95" s="2">
        <f>SUM(OSRRefT22_1x_0)</f>
        <v>270534.27</v>
      </c>
      <c r="U95" s="2"/>
      <c r="V95" s="6">
        <f t="shared" si="17"/>
        <v>0.21308707158924972</v>
      </c>
      <c r="W95" s="2"/>
      <c r="X95" s="2">
        <f t="shared" si="18"/>
        <v>255699.43999999994</v>
      </c>
      <c r="Y95" s="2"/>
      <c r="Z95" s="6">
        <f t="shared" si="19"/>
        <v>0.9451646920739466</v>
      </c>
    </row>
    <row r="96" spans="1:26" s="69" customFormat="1" ht="15" hidden="1" customHeight="1" outlineLevel="2" x14ac:dyDescent="0.3">
      <c r="A96" s="25"/>
      <c r="B96" s="12" t="str">
        <f>CONCATENATE("          ","6002"," - ","STAFF SALARIES")</f>
        <v xml:space="preserve">          6002 - STAFF SALARIES</v>
      </c>
      <c r="C96" s="12"/>
      <c r="D96" s="8">
        <v>10282.32</v>
      </c>
      <c r="E96" s="3"/>
      <c r="F96" s="7">
        <f t="shared" si="12"/>
        <v>2.1571499669986467E-2</v>
      </c>
      <c r="G96" s="3"/>
      <c r="H96" s="8">
        <v>14454.33</v>
      </c>
      <c r="I96" s="3"/>
      <c r="J96" s="7">
        <f t="shared" si="13"/>
        <v>0.10128801866616943</v>
      </c>
      <c r="K96" s="3"/>
      <c r="L96" s="8">
        <f t="shared" si="14"/>
        <v>-4172.01</v>
      </c>
      <c r="M96" s="3"/>
      <c r="N96" s="7">
        <f t="shared" si="15"/>
        <v>-0.28863392492076773</v>
      </c>
      <c r="O96" s="12"/>
      <c r="P96" s="8">
        <v>132736.70000000001</v>
      </c>
      <c r="Q96" s="3"/>
      <c r="R96" s="7">
        <f t="shared" si="16"/>
        <v>4.4315570052336981E-2</v>
      </c>
      <c r="S96" s="3"/>
      <c r="T96" s="8">
        <v>122169.13</v>
      </c>
      <c r="U96" s="3"/>
      <c r="V96" s="7">
        <f t="shared" si="17"/>
        <v>9.622685565975192E-2</v>
      </c>
      <c r="W96" s="3"/>
      <c r="X96" s="8">
        <f t="shared" si="18"/>
        <v>10567.570000000007</v>
      </c>
      <c r="Y96" s="3"/>
      <c r="Z96" s="7">
        <f t="shared" si="19"/>
        <v>8.6499510964840348E-2</v>
      </c>
    </row>
    <row r="97" spans="1:26" s="69" customFormat="1" ht="15" hidden="1" customHeight="1" outlineLevel="2" x14ac:dyDescent="0.3">
      <c r="A97" s="25"/>
      <c r="B97" s="12" t="str">
        <f>CONCATENATE("          ","6004"," - ","STAFF HOURLY")</f>
        <v xml:space="preserve">          6004 - STAFF HOURLY</v>
      </c>
      <c r="C97" s="12"/>
      <c r="D97" s="8">
        <v>9796.66</v>
      </c>
      <c r="E97" s="3"/>
      <c r="F97" s="7">
        <f t="shared" si="12"/>
        <v>2.0552623139230217E-2</v>
      </c>
      <c r="G97" s="3"/>
      <c r="H97" s="8">
        <v>3122.6</v>
      </c>
      <c r="I97" s="3"/>
      <c r="J97" s="7">
        <f t="shared" si="13"/>
        <v>2.1881468534825251E-2</v>
      </c>
      <c r="K97" s="3"/>
      <c r="L97" s="8">
        <f t="shared" si="14"/>
        <v>6674.0599999999995</v>
      </c>
      <c r="M97" s="3"/>
      <c r="N97" s="7">
        <f t="shared" si="15"/>
        <v>2.1373406776404278</v>
      </c>
      <c r="O97" s="12"/>
      <c r="P97" s="8">
        <v>79292.81</v>
      </c>
      <c r="Q97" s="3"/>
      <c r="R97" s="7">
        <f t="shared" si="16"/>
        <v>2.6472754529844766E-2</v>
      </c>
      <c r="S97" s="3"/>
      <c r="T97" s="8">
        <v>48949.78</v>
      </c>
      <c r="U97" s="3"/>
      <c r="V97" s="7">
        <f t="shared" si="17"/>
        <v>3.8555430611944372E-2</v>
      </c>
      <c r="W97" s="3"/>
      <c r="X97" s="8">
        <f t="shared" si="18"/>
        <v>30343.03</v>
      </c>
      <c r="Y97" s="3"/>
      <c r="Z97" s="7">
        <f t="shared" si="19"/>
        <v>0.61988082479635254</v>
      </c>
    </row>
    <row r="98" spans="1:26" s="69" customFormat="1" ht="15" hidden="1" customHeight="1" outlineLevel="2" x14ac:dyDescent="0.3">
      <c r="A98" s="25"/>
      <c r="B98" s="12" t="str">
        <f>CONCATENATE("          ","6005"," - ","TEMPORARY WAGES-HOURLY")</f>
        <v xml:space="preserve">          6005 - TEMPORARY WAGES-HOURLY</v>
      </c>
      <c r="C98" s="12"/>
      <c r="D98" s="8">
        <v>567.05999999999995</v>
      </c>
      <c r="E98" s="3"/>
      <c r="F98" s="7">
        <f t="shared" si="12"/>
        <v>1.1896473366771823E-3</v>
      </c>
      <c r="G98" s="3"/>
      <c r="H98" s="8">
        <v>6003.77</v>
      </c>
      <c r="I98" s="3"/>
      <c r="J98" s="7">
        <f t="shared" si="13"/>
        <v>4.2071128016821814E-2</v>
      </c>
      <c r="K98" s="3"/>
      <c r="L98" s="8">
        <f t="shared" si="14"/>
        <v>-5436.7100000000009</v>
      </c>
      <c r="M98" s="3"/>
      <c r="N98" s="7">
        <f t="shared" si="15"/>
        <v>-0.90554934649395302</v>
      </c>
      <c r="O98" s="12"/>
      <c r="P98" s="8">
        <v>22430.91</v>
      </c>
      <c r="Q98" s="3"/>
      <c r="R98" s="7">
        <f t="shared" si="16"/>
        <v>7.4887997324226538E-3</v>
      </c>
      <c r="S98" s="3"/>
      <c r="T98" s="8">
        <v>37875.410000000003</v>
      </c>
      <c r="U98" s="3"/>
      <c r="V98" s="7">
        <f t="shared" si="17"/>
        <v>2.9832672223530813E-2</v>
      </c>
      <c r="W98" s="3"/>
      <c r="X98" s="8">
        <f t="shared" si="18"/>
        <v>-15444.500000000004</v>
      </c>
      <c r="Y98" s="3"/>
      <c r="Z98" s="7">
        <f t="shared" si="19"/>
        <v>-0.40777116340126751</v>
      </c>
    </row>
    <row r="99" spans="1:26" s="69" customFormat="1" ht="15" hidden="1" customHeight="1" outlineLevel="2" x14ac:dyDescent="0.3">
      <c r="A99" s="25"/>
      <c r="B99" s="12" t="str">
        <f>CONCATENATE("          ","6006"," - ","TEMPORARY PART TIME")</f>
        <v xml:space="preserve">          6006 - TEMPORARY PART TIME</v>
      </c>
      <c r="C99" s="12"/>
      <c r="D99" s="8"/>
      <c r="E99" s="3"/>
      <c r="F99" s="7">
        <f t="shared" si="12"/>
        <v>0</v>
      </c>
      <c r="G99" s="3"/>
      <c r="H99" s="8">
        <v>1272.68</v>
      </c>
      <c r="I99" s="3"/>
      <c r="J99" s="7">
        <f t="shared" si="13"/>
        <v>8.9182435710309996E-3</v>
      </c>
      <c r="K99" s="3"/>
      <c r="L99" s="8">
        <f t="shared" si="14"/>
        <v>-1272.68</v>
      </c>
      <c r="M99" s="3"/>
      <c r="N99" s="7">
        <f t="shared" si="15"/>
        <v>-1</v>
      </c>
      <c r="O99" s="12"/>
      <c r="P99" s="8"/>
      <c r="Q99" s="3"/>
      <c r="R99" s="7">
        <f t="shared" si="16"/>
        <v>0</v>
      </c>
      <c r="S99" s="3"/>
      <c r="T99" s="8">
        <v>2263.46</v>
      </c>
      <c r="U99" s="3"/>
      <c r="V99" s="7">
        <f t="shared" si="17"/>
        <v>1.7828205759640107E-3</v>
      </c>
      <c r="W99" s="3"/>
      <c r="X99" s="8">
        <f t="shared" si="18"/>
        <v>-2263.46</v>
      </c>
      <c r="Y99" s="3"/>
      <c r="Z99" s="7">
        <f t="shared" si="19"/>
        <v>-1</v>
      </c>
    </row>
    <row r="100" spans="1:26" s="69" customFormat="1" ht="15" hidden="1" customHeight="1" outlineLevel="2" x14ac:dyDescent="0.3">
      <c r="A100" s="25"/>
      <c r="B100" s="12" t="str">
        <f>CONCATENATE("          ","6007"," - ","STUDENT HOURLY")</f>
        <v xml:space="preserve">          6007 - STUDENT HOURLY</v>
      </c>
      <c r="C100" s="12"/>
      <c r="D100" s="8">
        <v>38493.58</v>
      </c>
      <c r="E100" s="3"/>
      <c r="F100" s="7">
        <f t="shared" si="12"/>
        <v>8.0756507117712512E-2</v>
      </c>
      <c r="G100" s="3"/>
      <c r="H100" s="8">
        <v>6707.96</v>
      </c>
      <c r="I100" s="3"/>
      <c r="J100" s="7">
        <f t="shared" si="13"/>
        <v>4.700570539706219E-2</v>
      </c>
      <c r="K100" s="3"/>
      <c r="L100" s="8">
        <f t="shared" si="14"/>
        <v>31785.620000000003</v>
      </c>
      <c r="M100" s="3"/>
      <c r="N100" s="7">
        <f t="shared" si="15"/>
        <v>4.738492775747023</v>
      </c>
      <c r="O100" s="12"/>
      <c r="P100" s="8">
        <v>228494.07999999999</v>
      </c>
      <c r="Q100" s="3"/>
      <c r="R100" s="7">
        <f t="shared" si="16"/>
        <v>7.6285197754534267E-2</v>
      </c>
      <c r="S100" s="3"/>
      <c r="T100" s="8">
        <v>53751.16</v>
      </c>
      <c r="U100" s="3"/>
      <c r="V100" s="7">
        <f t="shared" si="17"/>
        <v>4.2337250947634901E-2</v>
      </c>
      <c r="W100" s="3"/>
      <c r="X100" s="8">
        <f t="shared" si="18"/>
        <v>174742.91999999998</v>
      </c>
      <c r="Y100" s="3"/>
      <c r="Z100" s="7">
        <f t="shared" si="19"/>
        <v>3.2509609094947898</v>
      </c>
    </row>
    <row r="101" spans="1:26" s="69" customFormat="1" ht="15" hidden="1" customHeight="1" outlineLevel="2" x14ac:dyDescent="0.3">
      <c r="A101" s="25"/>
      <c r="B101" s="12" t="str">
        <f>CONCATENATE("          ","6008"," - ","STUDENT HOURLY-FICA EXEMPT")</f>
        <v xml:space="preserve">          6008 - STUDENT HOURLY-FICA EXEMPT</v>
      </c>
      <c r="C101" s="12"/>
      <c r="D101" s="8">
        <v>8486.19</v>
      </c>
      <c r="E101" s="3"/>
      <c r="F101" s="7">
        <f t="shared" si="12"/>
        <v>1.7803360018404647E-2</v>
      </c>
      <c r="G101" s="3"/>
      <c r="H101" s="8">
        <v>1112.3699999999999</v>
      </c>
      <c r="I101" s="3"/>
      <c r="J101" s="7">
        <f t="shared" si="13"/>
        <v>7.7948789963759564E-3</v>
      </c>
      <c r="K101" s="3"/>
      <c r="L101" s="8">
        <f t="shared" si="14"/>
        <v>7373.8200000000006</v>
      </c>
      <c r="M101" s="3"/>
      <c r="N101" s="7">
        <f t="shared" si="15"/>
        <v>6.6289274252272188</v>
      </c>
      <c r="O101" s="12"/>
      <c r="P101" s="8">
        <v>63279.21</v>
      </c>
      <c r="Q101" s="3"/>
      <c r="R101" s="7">
        <f t="shared" si="16"/>
        <v>2.1126442525778798E-2</v>
      </c>
      <c r="S101" s="3"/>
      <c r="T101" s="8">
        <v>5525.33</v>
      </c>
      <c r="U101" s="3"/>
      <c r="V101" s="7">
        <f t="shared" si="17"/>
        <v>4.3520415704236997E-3</v>
      </c>
      <c r="W101" s="3"/>
      <c r="X101" s="8">
        <f t="shared" si="18"/>
        <v>57753.88</v>
      </c>
      <c r="Y101" s="3"/>
      <c r="Z101" s="7">
        <f t="shared" si="19"/>
        <v>10.452566634029099</v>
      </c>
    </row>
    <row r="102" spans="1:26" s="68" customFormat="1" ht="15" customHeight="1" outlineLevel="1" collapsed="1" x14ac:dyDescent="0.3">
      <c r="A102" s="26"/>
      <c r="B102" s="14" t="str">
        <f>CONCATENATE("     ","Advertising/Promo                                 ")</f>
        <v xml:space="preserve">     Advertising/Promo                                 </v>
      </c>
      <c r="C102" s="14"/>
      <c r="D102" s="2">
        <f>SUM(OSRRefD22_2x_0)</f>
        <v>2060.75</v>
      </c>
      <c r="E102" s="2"/>
      <c r="F102" s="6">
        <f t="shared" si="12"/>
        <v>4.3232916253262508E-3</v>
      </c>
      <c r="G102" s="2"/>
      <c r="H102" s="2">
        <f>SUM(OSRRefH22_2x_0)</f>
        <v>42.6</v>
      </c>
      <c r="I102" s="2"/>
      <c r="J102" s="6">
        <f t="shared" si="13"/>
        <v>2.9851744046101189E-4</v>
      </c>
      <c r="K102" s="2"/>
      <c r="L102" s="2">
        <f t="shared" si="14"/>
        <v>2018.15</v>
      </c>
      <c r="M102" s="2"/>
      <c r="N102" s="6">
        <f t="shared" si="15"/>
        <v>47.374413145539904</v>
      </c>
      <c r="O102" s="14"/>
      <c r="P102" s="2">
        <f>SUM(OSRRefP22_2x_0)</f>
        <v>4992.8900000000003</v>
      </c>
      <c r="Q102" s="2"/>
      <c r="R102" s="6">
        <f t="shared" si="16"/>
        <v>1.6669298435068281E-3</v>
      </c>
      <c r="S102" s="2"/>
      <c r="T102" s="2">
        <f>SUM(OSRRefT22_2x_0)</f>
        <v>12817.92</v>
      </c>
      <c r="U102" s="2"/>
      <c r="V102" s="6">
        <f t="shared" si="17"/>
        <v>1.0096070404186782E-2</v>
      </c>
      <c r="W102" s="2"/>
      <c r="X102" s="2">
        <f t="shared" si="18"/>
        <v>-7825.03</v>
      </c>
      <c r="Y102" s="2"/>
      <c r="Z102" s="6">
        <f t="shared" si="19"/>
        <v>-0.61047580262632317</v>
      </c>
    </row>
    <row r="103" spans="1:26" s="69" customFormat="1" ht="15" hidden="1" customHeight="1" outlineLevel="2" x14ac:dyDescent="0.3">
      <c r="A103" s="25"/>
      <c r="B103" s="12" t="str">
        <f>CONCATENATE("          ","6362"," - ","ADVERTISING EXPENSE")</f>
        <v xml:space="preserve">          6362 - ADVERTISING EXPENSE</v>
      </c>
      <c r="C103" s="12"/>
      <c r="D103" s="8">
        <v>2060.75</v>
      </c>
      <c r="E103" s="3"/>
      <c r="F103" s="7">
        <f t="shared" si="12"/>
        <v>4.3232916253262508E-3</v>
      </c>
      <c r="G103" s="3"/>
      <c r="H103" s="8">
        <v>42.6</v>
      </c>
      <c r="I103" s="3"/>
      <c r="J103" s="7">
        <f t="shared" si="13"/>
        <v>2.9851744046101189E-4</v>
      </c>
      <c r="K103" s="3"/>
      <c r="L103" s="8">
        <f t="shared" si="14"/>
        <v>2018.15</v>
      </c>
      <c r="M103" s="3"/>
      <c r="N103" s="7">
        <f t="shared" si="15"/>
        <v>47.374413145539904</v>
      </c>
      <c r="O103" s="12"/>
      <c r="P103" s="8">
        <v>4992.8900000000003</v>
      </c>
      <c r="Q103" s="3"/>
      <c r="R103" s="7">
        <f t="shared" si="16"/>
        <v>1.6669298435068281E-3</v>
      </c>
      <c r="S103" s="3"/>
      <c r="T103" s="8">
        <v>12817.92</v>
      </c>
      <c r="U103" s="3"/>
      <c r="V103" s="7">
        <f t="shared" si="17"/>
        <v>1.0096070404186782E-2</v>
      </c>
      <c r="W103" s="3"/>
      <c r="X103" s="8">
        <f t="shared" si="18"/>
        <v>-7825.03</v>
      </c>
      <c r="Y103" s="3"/>
      <c r="Z103" s="7">
        <f t="shared" si="19"/>
        <v>-0.61047580262632317</v>
      </c>
    </row>
    <row r="104" spans="1:26" s="68" customFormat="1" ht="15" customHeight="1" outlineLevel="1" collapsed="1" x14ac:dyDescent="0.3">
      <c r="A104" s="26"/>
      <c r="B104" s="14" t="str">
        <f>CONCATENATE("     ","Discounts and Markdowns                           ")</f>
        <v xml:space="preserve">     Discounts and Markdowns                           </v>
      </c>
      <c r="C104" s="14"/>
      <c r="D104" s="2">
        <f>SUM(OSRRefD22_3x_0)</f>
        <v>0</v>
      </c>
      <c r="E104" s="2"/>
      <c r="F104" s="6">
        <f t="shared" si="12"/>
        <v>0</v>
      </c>
      <c r="G104" s="2"/>
      <c r="H104" s="2">
        <f>SUM(OSRRefH22_3x_0)</f>
        <v>0</v>
      </c>
      <c r="I104" s="2"/>
      <c r="J104" s="6">
        <f t="shared" si="13"/>
        <v>0</v>
      </c>
      <c r="K104" s="2"/>
      <c r="L104" s="2">
        <f t="shared" si="14"/>
        <v>0</v>
      </c>
      <c r="M104" s="2"/>
      <c r="N104" s="6">
        <f t="shared" si="15"/>
        <v>0</v>
      </c>
      <c r="O104" s="14"/>
      <c r="P104" s="2">
        <f>SUM(OSRRefP22_3x_0)</f>
        <v>0</v>
      </c>
      <c r="Q104" s="2"/>
      <c r="R104" s="6">
        <f t="shared" si="16"/>
        <v>0</v>
      </c>
      <c r="S104" s="2"/>
      <c r="T104" s="2">
        <f>SUM(OSRRefT22_3x_0)</f>
        <v>0</v>
      </c>
      <c r="U104" s="2"/>
      <c r="V104" s="6">
        <f t="shared" si="17"/>
        <v>0</v>
      </c>
      <c r="W104" s="2"/>
      <c r="X104" s="2">
        <f t="shared" si="18"/>
        <v>0</v>
      </c>
      <c r="Y104" s="2"/>
      <c r="Z104" s="6">
        <f t="shared" si="19"/>
        <v>0</v>
      </c>
    </row>
    <row r="105" spans="1:26" s="69" customFormat="1" ht="15" hidden="1" customHeight="1" outlineLevel="2" x14ac:dyDescent="0.3">
      <c r="A105" s="25"/>
      <c r="B105" s="12" t="str">
        <f>CONCATENATE("          ","6382"," - ","DISCOUNTS/MARK DOWNS")</f>
        <v xml:space="preserve">          6382 - DISCOUNTS/MARK DOWNS</v>
      </c>
      <c r="C105" s="12"/>
      <c r="D105" s="8"/>
      <c r="E105" s="3"/>
      <c r="F105" s="7">
        <f t="shared" si="12"/>
        <v>0</v>
      </c>
      <c r="G105" s="3"/>
      <c r="H105" s="8">
        <v>0</v>
      </c>
      <c r="I105" s="3"/>
      <c r="J105" s="7">
        <f t="shared" si="13"/>
        <v>0</v>
      </c>
      <c r="K105" s="3"/>
      <c r="L105" s="8">
        <f t="shared" si="14"/>
        <v>0</v>
      </c>
      <c r="M105" s="3"/>
      <c r="N105" s="7">
        <f t="shared" si="15"/>
        <v>0</v>
      </c>
      <c r="O105" s="12"/>
      <c r="P105" s="8"/>
      <c r="Q105" s="3"/>
      <c r="R105" s="7">
        <f t="shared" si="16"/>
        <v>0</v>
      </c>
      <c r="S105" s="3"/>
      <c r="T105" s="8">
        <v>0</v>
      </c>
      <c r="U105" s="3"/>
      <c r="V105" s="7">
        <f t="shared" si="17"/>
        <v>0</v>
      </c>
      <c r="W105" s="3"/>
      <c r="X105" s="8">
        <f t="shared" si="18"/>
        <v>0</v>
      </c>
      <c r="Y105" s="3"/>
      <c r="Z105" s="7">
        <f t="shared" si="19"/>
        <v>0</v>
      </c>
    </row>
    <row r="106" spans="1:26" s="69" customFormat="1" ht="15" hidden="1" customHeight="1" outlineLevel="2" x14ac:dyDescent="0.3">
      <c r="A106" s="25"/>
      <c r="B106" s="12" t="str">
        <f>CONCATENATE("          ","9175"," - ","EARNED DISCOUNTS")</f>
        <v xml:space="preserve">          9175 - EARNED DISCOUNTS</v>
      </c>
      <c r="C106" s="12"/>
      <c r="D106" s="8"/>
      <c r="E106" s="3"/>
      <c r="F106" s="7">
        <f t="shared" si="12"/>
        <v>0</v>
      </c>
      <c r="G106" s="3"/>
      <c r="H106" s="8"/>
      <c r="I106" s="3"/>
      <c r="J106" s="7">
        <f t="shared" si="13"/>
        <v>0</v>
      </c>
      <c r="K106" s="3"/>
      <c r="L106" s="8">
        <f t="shared" si="14"/>
        <v>0</v>
      </c>
      <c r="M106" s="3"/>
      <c r="N106" s="7">
        <f t="shared" si="15"/>
        <v>0</v>
      </c>
      <c r="O106" s="12"/>
      <c r="P106" s="8">
        <v>0</v>
      </c>
      <c r="Q106" s="3"/>
      <c r="R106" s="7">
        <f t="shared" si="16"/>
        <v>0</v>
      </c>
      <c r="S106" s="3"/>
      <c r="T106" s="8"/>
      <c r="U106" s="3"/>
      <c r="V106" s="7">
        <f t="shared" si="17"/>
        <v>0</v>
      </c>
      <c r="W106" s="3"/>
      <c r="X106" s="8">
        <f t="shared" si="18"/>
        <v>0</v>
      </c>
      <c r="Y106" s="3"/>
      <c r="Z106" s="7">
        <f t="shared" si="19"/>
        <v>0</v>
      </c>
    </row>
    <row r="107" spans="1:26" s="68" customFormat="1" ht="15" customHeight="1" outlineLevel="1" collapsed="1" x14ac:dyDescent="0.3">
      <c r="A107" s="26"/>
      <c r="B107" s="14" t="str">
        <f>CONCATENATE("     ","Employees' Appreciation                           ")</f>
        <v xml:space="preserve">     Employees' Appreciation                           </v>
      </c>
      <c r="C107" s="14"/>
      <c r="D107" s="2">
        <f>SUM(OSRRefD22_4x_0)</f>
        <v>74.69</v>
      </c>
      <c r="E107" s="2"/>
      <c r="F107" s="6">
        <f t="shared" si="12"/>
        <v>1.5669375300042104E-4</v>
      </c>
      <c r="G107" s="2"/>
      <c r="H107" s="2">
        <f>SUM(OSRRefH22_4x_0)</f>
        <v>0</v>
      </c>
      <c r="I107" s="2"/>
      <c r="J107" s="6">
        <f t="shared" si="13"/>
        <v>0</v>
      </c>
      <c r="K107" s="2"/>
      <c r="L107" s="2">
        <f t="shared" si="14"/>
        <v>74.69</v>
      </c>
      <c r="M107" s="2"/>
      <c r="N107" s="6">
        <f t="shared" si="15"/>
        <v>0</v>
      </c>
      <c r="O107" s="14"/>
      <c r="P107" s="2">
        <f>SUM(OSRRefP22_4x_0)</f>
        <v>291.13</v>
      </c>
      <c r="Q107" s="2"/>
      <c r="R107" s="6">
        <f t="shared" si="16"/>
        <v>9.7196871018617037E-5</v>
      </c>
      <c r="S107" s="2"/>
      <c r="T107" s="2">
        <f>SUM(OSRRefT22_4x_0)</f>
        <v>0</v>
      </c>
      <c r="U107" s="2"/>
      <c r="V107" s="6">
        <f t="shared" si="17"/>
        <v>0</v>
      </c>
      <c r="W107" s="2"/>
      <c r="X107" s="2">
        <f t="shared" si="18"/>
        <v>291.13</v>
      </c>
      <c r="Y107" s="2"/>
      <c r="Z107" s="6">
        <f t="shared" si="19"/>
        <v>0</v>
      </c>
    </row>
    <row r="108" spans="1:26" s="69" customFormat="1" ht="15" hidden="1" customHeight="1" outlineLevel="2" x14ac:dyDescent="0.3">
      <c r="A108" s="25"/>
      <c r="B108" s="12" t="str">
        <f>CONCATENATE("          ","6277"," - ","EMPLOYEE APPRECIATION")</f>
        <v xml:space="preserve">          6277 - EMPLOYEE APPRECIATION</v>
      </c>
      <c r="C108" s="12"/>
      <c r="D108" s="8">
        <v>74.69</v>
      </c>
      <c r="E108" s="3"/>
      <c r="F108" s="7">
        <f t="shared" si="12"/>
        <v>1.5669375300042104E-4</v>
      </c>
      <c r="G108" s="3"/>
      <c r="H108" s="8"/>
      <c r="I108" s="3"/>
      <c r="J108" s="7">
        <f t="shared" si="13"/>
        <v>0</v>
      </c>
      <c r="K108" s="3"/>
      <c r="L108" s="8">
        <f t="shared" si="14"/>
        <v>74.69</v>
      </c>
      <c r="M108" s="3"/>
      <c r="N108" s="7">
        <f t="shared" si="15"/>
        <v>0</v>
      </c>
      <c r="O108" s="12"/>
      <c r="P108" s="8">
        <v>291.13</v>
      </c>
      <c r="Q108" s="3"/>
      <c r="R108" s="7">
        <f t="shared" si="16"/>
        <v>9.7196871018617037E-5</v>
      </c>
      <c r="S108" s="3"/>
      <c r="T108" s="8"/>
      <c r="U108" s="3"/>
      <c r="V108" s="7">
        <f t="shared" si="17"/>
        <v>0</v>
      </c>
      <c r="W108" s="3"/>
      <c r="X108" s="8">
        <f t="shared" si="18"/>
        <v>291.13</v>
      </c>
      <c r="Y108" s="3"/>
      <c r="Z108" s="7">
        <f t="shared" si="19"/>
        <v>0</v>
      </c>
    </row>
    <row r="109" spans="1:26" s="68" customFormat="1" ht="15" customHeight="1" outlineLevel="1" collapsed="1" x14ac:dyDescent="0.3">
      <c r="A109" s="26"/>
      <c r="B109" s="14" t="str">
        <f>CONCATENATE("     ","Equipment Rental                                  ")</f>
        <v xml:space="preserve">     Equipment Rental                                  </v>
      </c>
      <c r="C109" s="14"/>
      <c r="D109" s="2">
        <f>SUM(OSRRefD22_5x_0)</f>
        <v>0</v>
      </c>
      <c r="E109" s="2"/>
      <c r="F109" s="6">
        <f t="shared" si="12"/>
        <v>0</v>
      </c>
      <c r="G109" s="2"/>
      <c r="H109" s="2">
        <f>SUM(OSRRefH22_5x_0)</f>
        <v>0</v>
      </c>
      <c r="I109" s="2"/>
      <c r="J109" s="6">
        <f t="shared" si="13"/>
        <v>0</v>
      </c>
      <c r="K109" s="2"/>
      <c r="L109" s="2">
        <f t="shared" si="14"/>
        <v>0</v>
      </c>
      <c r="M109" s="2"/>
      <c r="N109" s="6">
        <f t="shared" si="15"/>
        <v>0</v>
      </c>
      <c r="O109" s="14"/>
      <c r="P109" s="2">
        <f>SUM(OSRRefP22_5x_0)</f>
        <v>118.91</v>
      </c>
      <c r="Q109" s="2"/>
      <c r="R109" s="6">
        <f t="shared" si="16"/>
        <v>3.9699378053871988E-5</v>
      </c>
      <c r="S109" s="2"/>
      <c r="T109" s="2">
        <f>SUM(OSRRefT22_5x_0)</f>
        <v>0</v>
      </c>
      <c r="U109" s="2"/>
      <c r="V109" s="6">
        <f t="shared" si="17"/>
        <v>0</v>
      </c>
      <c r="W109" s="2"/>
      <c r="X109" s="2">
        <f t="shared" si="18"/>
        <v>118.91</v>
      </c>
      <c r="Y109" s="2"/>
      <c r="Z109" s="6">
        <f t="shared" si="19"/>
        <v>0</v>
      </c>
    </row>
    <row r="110" spans="1:26" s="69" customFormat="1" ht="15" hidden="1" customHeight="1" outlineLevel="2" x14ac:dyDescent="0.3">
      <c r="A110" s="25"/>
      <c r="B110" s="12" t="str">
        <f>CONCATENATE("          ","6351"," - ","EQUIPMENT RENTAL")</f>
        <v xml:space="preserve">          6351 - EQUIPMENT RENTAL</v>
      </c>
      <c r="C110" s="12"/>
      <c r="D110" s="8"/>
      <c r="E110" s="3"/>
      <c r="F110" s="7">
        <f t="shared" si="12"/>
        <v>0</v>
      </c>
      <c r="G110" s="3"/>
      <c r="H110" s="8"/>
      <c r="I110" s="3"/>
      <c r="J110" s="7">
        <f t="shared" si="13"/>
        <v>0</v>
      </c>
      <c r="K110" s="3"/>
      <c r="L110" s="8">
        <f t="shared" si="14"/>
        <v>0</v>
      </c>
      <c r="M110" s="3"/>
      <c r="N110" s="7">
        <f t="shared" si="15"/>
        <v>0</v>
      </c>
      <c r="O110" s="12"/>
      <c r="P110" s="8">
        <v>118.91</v>
      </c>
      <c r="Q110" s="3"/>
      <c r="R110" s="7">
        <f t="shared" si="16"/>
        <v>3.9699378053871988E-5</v>
      </c>
      <c r="S110" s="3"/>
      <c r="T110" s="8"/>
      <c r="U110" s="3"/>
      <c r="V110" s="7">
        <f t="shared" si="17"/>
        <v>0</v>
      </c>
      <c r="W110" s="3"/>
      <c r="X110" s="8">
        <f t="shared" si="18"/>
        <v>118.91</v>
      </c>
      <c r="Y110" s="3"/>
      <c r="Z110" s="7">
        <f t="shared" si="19"/>
        <v>0</v>
      </c>
    </row>
    <row r="111" spans="1:26" s="68" customFormat="1" ht="15" customHeight="1" outlineLevel="1" collapsed="1" x14ac:dyDescent="0.3">
      <c r="A111" s="26"/>
      <c r="B111" s="14" t="str">
        <f>CONCATENATE("     ","Freight out/Postage                               ")</f>
        <v xml:space="preserve">     Freight out/Postage                               </v>
      </c>
      <c r="C111" s="14"/>
      <c r="D111" s="2">
        <f>SUM(OSRRefD22_6x_0)</f>
        <v>0</v>
      </c>
      <c r="E111" s="2"/>
      <c r="F111" s="6">
        <f t="shared" si="12"/>
        <v>0</v>
      </c>
      <c r="G111" s="2"/>
      <c r="H111" s="2">
        <f>SUM(OSRRefH22_6x_0)</f>
        <v>-502.63</v>
      </c>
      <c r="I111" s="2"/>
      <c r="J111" s="6">
        <f t="shared" si="13"/>
        <v>-3.5221554248572396E-3</v>
      </c>
      <c r="K111" s="2"/>
      <c r="L111" s="2">
        <f t="shared" si="14"/>
        <v>502.63</v>
      </c>
      <c r="M111" s="2"/>
      <c r="N111" s="6">
        <f t="shared" si="15"/>
        <v>-1</v>
      </c>
      <c r="O111" s="14"/>
      <c r="P111" s="2">
        <f>SUM(OSRRefP22_6x_0)</f>
        <v>929.29</v>
      </c>
      <c r="Q111" s="2"/>
      <c r="R111" s="6">
        <f t="shared" si="16"/>
        <v>3.1025342722801027E-4</v>
      </c>
      <c r="S111" s="2"/>
      <c r="T111" s="2">
        <f>SUM(OSRRefT22_6x_0)</f>
        <v>-216.09999999999997</v>
      </c>
      <c r="U111" s="2"/>
      <c r="V111" s="6">
        <f t="shared" si="17"/>
        <v>-1.7021176714667924E-4</v>
      </c>
      <c r="W111" s="2"/>
      <c r="X111" s="2">
        <f t="shared" si="18"/>
        <v>1145.3899999999999</v>
      </c>
      <c r="Y111" s="2"/>
      <c r="Z111" s="6">
        <f t="shared" si="19"/>
        <v>-5.3002776492364649</v>
      </c>
    </row>
    <row r="112" spans="1:26" s="69" customFormat="1" ht="15" hidden="1" customHeight="1" outlineLevel="2" x14ac:dyDescent="0.3">
      <c r="A112" s="25"/>
      <c r="B112" s="12" t="str">
        <f>CONCATENATE("          ","6305"," - ","FREIGHT OUT")</f>
        <v xml:space="preserve">          6305 - FREIGHT OUT</v>
      </c>
      <c r="C112" s="12"/>
      <c r="D112" s="8"/>
      <c r="E112" s="3"/>
      <c r="F112" s="7">
        <f t="shared" si="12"/>
        <v>0</v>
      </c>
      <c r="G112" s="3"/>
      <c r="H112" s="8">
        <v>-233.44</v>
      </c>
      <c r="I112" s="3"/>
      <c r="J112" s="7">
        <f t="shared" si="13"/>
        <v>-1.6358195141131129E-3</v>
      </c>
      <c r="K112" s="3"/>
      <c r="L112" s="8">
        <f t="shared" si="14"/>
        <v>233.44</v>
      </c>
      <c r="M112" s="3"/>
      <c r="N112" s="7">
        <f t="shared" si="15"/>
        <v>-1</v>
      </c>
      <c r="O112" s="12"/>
      <c r="P112" s="8">
        <v>893.87</v>
      </c>
      <c r="Q112" s="3"/>
      <c r="R112" s="7">
        <f t="shared" si="16"/>
        <v>2.9842808057366541E-4</v>
      </c>
      <c r="S112" s="3"/>
      <c r="T112" s="8">
        <v>73.239999999999995</v>
      </c>
      <c r="U112" s="3"/>
      <c r="V112" s="7">
        <f t="shared" si="17"/>
        <v>5.7687690077847247E-5</v>
      </c>
      <c r="W112" s="3"/>
      <c r="X112" s="8">
        <f t="shared" si="18"/>
        <v>820.63</v>
      </c>
      <c r="Y112" s="3"/>
      <c r="Z112" s="7">
        <f t="shared" si="19"/>
        <v>11.204669579464774</v>
      </c>
    </row>
    <row r="113" spans="1:26" s="69" customFormat="1" ht="15" hidden="1" customHeight="1" outlineLevel="2" x14ac:dyDescent="0.3">
      <c r="A113" s="25"/>
      <c r="B113" s="12" t="str">
        <f>CONCATENATE("          ","6307"," - ","POSTAGE")</f>
        <v xml:space="preserve">          6307 - POSTAGE</v>
      </c>
      <c r="C113" s="12"/>
      <c r="D113" s="8"/>
      <c r="E113" s="3"/>
      <c r="F113" s="7">
        <f t="shared" si="12"/>
        <v>0</v>
      </c>
      <c r="G113" s="3"/>
      <c r="H113" s="8">
        <v>-269.19</v>
      </c>
      <c r="I113" s="3"/>
      <c r="J113" s="7">
        <f t="shared" si="13"/>
        <v>-1.8863359107441264E-3</v>
      </c>
      <c r="K113" s="3"/>
      <c r="L113" s="8">
        <f t="shared" si="14"/>
        <v>269.19</v>
      </c>
      <c r="M113" s="3"/>
      <c r="N113" s="7">
        <f t="shared" si="15"/>
        <v>-1</v>
      </c>
      <c r="O113" s="12"/>
      <c r="P113" s="8">
        <v>35.42</v>
      </c>
      <c r="Q113" s="3"/>
      <c r="R113" s="7">
        <f t="shared" si="16"/>
        <v>1.1825346654344848E-5</v>
      </c>
      <c r="S113" s="3"/>
      <c r="T113" s="8">
        <v>-289.33999999999997</v>
      </c>
      <c r="U113" s="3"/>
      <c r="V113" s="7">
        <f t="shared" si="17"/>
        <v>-2.2789945722452652E-4</v>
      </c>
      <c r="W113" s="3"/>
      <c r="X113" s="8">
        <f t="shared" si="18"/>
        <v>324.76</v>
      </c>
      <c r="Y113" s="3"/>
      <c r="Z113" s="7">
        <f t="shared" si="19"/>
        <v>-1.1224165341812402</v>
      </c>
    </row>
    <row r="114" spans="1:26" s="68" customFormat="1" ht="15" customHeight="1" outlineLevel="1" collapsed="1" x14ac:dyDescent="0.3">
      <c r="A114" s="26"/>
      <c r="B114" s="14" t="str">
        <f>CONCATENATE("     ","General                                           ")</f>
        <v xml:space="preserve">     General                                           </v>
      </c>
      <c r="C114" s="14"/>
      <c r="D114" s="2">
        <f>SUM(OSRRefD22_7x_0)</f>
        <v>0</v>
      </c>
      <c r="E114" s="2"/>
      <c r="F114" s="6">
        <f t="shared" si="12"/>
        <v>0</v>
      </c>
      <c r="G114" s="2"/>
      <c r="H114" s="2">
        <f>SUM(OSRRefH22_7x_0)</f>
        <v>0</v>
      </c>
      <c r="I114" s="2"/>
      <c r="J114" s="6">
        <f t="shared" si="13"/>
        <v>0</v>
      </c>
      <c r="K114" s="2"/>
      <c r="L114" s="2">
        <f t="shared" si="14"/>
        <v>0</v>
      </c>
      <c r="M114" s="2"/>
      <c r="N114" s="6">
        <f t="shared" si="15"/>
        <v>0</v>
      </c>
      <c r="O114" s="14"/>
      <c r="P114" s="2">
        <f>SUM(OSRRefP22_7x_0)</f>
        <v>1157.1099999999999</v>
      </c>
      <c r="Q114" s="2"/>
      <c r="R114" s="6">
        <f t="shared" si="16"/>
        <v>3.8631357614932145E-4</v>
      </c>
      <c r="S114" s="2"/>
      <c r="T114" s="2">
        <f>SUM(OSRRefT22_7x_0)</f>
        <v>0</v>
      </c>
      <c r="U114" s="2"/>
      <c r="V114" s="6">
        <f t="shared" si="17"/>
        <v>0</v>
      </c>
      <c r="W114" s="2"/>
      <c r="X114" s="2">
        <f t="shared" si="18"/>
        <v>1157.1099999999999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5"/>
      <c r="B115" s="12" t="str">
        <f>CONCATENATE("          ","6279"," - ","GENERAL EXPENSE")</f>
        <v xml:space="preserve">          6279 - GENERAL EXPENSE</v>
      </c>
      <c r="C115" s="12"/>
      <c r="D115" s="8"/>
      <c r="E115" s="3"/>
      <c r="F115" s="7">
        <f t="shared" si="12"/>
        <v>0</v>
      </c>
      <c r="G115" s="3"/>
      <c r="H115" s="8"/>
      <c r="I115" s="3"/>
      <c r="J115" s="7">
        <f t="shared" si="13"/>
        <v>0</v>
      </c>
      <c r="K115" s="3"/>
      <c r="L115" s="8">
        <f t="shared" si="14"/>
        <v>0</v>
      </c>
      <c r="M115" s="3"/>
      <c r="N115" s="7">
        <f t="shared" si="15"/>
        <v>0</v>
      </c>
      <c r="O115" s="12"/>
      <c r="P115" s="8">
        <v>1157.1099999999999</v>
      </c>
      <c r="Q115" s="3"/>
      <c r="R115" s="7">
        <f t="shared" si="16"/>
        <v>3.8631357614932145E-4</v>
      </c>
      <c r="S115" s="3"/>
      <c r="T115" s="8"/>
      <c r="U115" s="3"/>
      <c r="V115" s="7">
        <f t="shared" si="17"/>
        <v>0</v>
      </c>
      <c r="W115" s="3"/>
      <c r="X115" s="8">
        <f t="shared" si="18"/>
        <v>1157.1099999999999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6"/>
      <c r="B116" s="14" t="str">
        <f>CONCATENATE("     ","Inventory Adjustment                              ")</f>
        <v xml:space="preserve">     Inventory Adjustment                              </v>
      </c>
      <c r="C116" s="14"/>
      <c r="D116" s="2">
        <f>SUM(OSRRefD22_8x_0)</f>
        <v>3350</v>
      </c>
      <c r="E116" s="2"/>
      <c r="F116" s="6">
        <f t="shared" si="12"/>
        <v>7.0280368530112533E-3</v>
      </c>
      <c r="G116" s="2"/>
      <c r="H116" s="2">
        <f>SUM(OSRRefH22_8x_0)</f>
        <v>1000</v>
      </c>
      <c r="I116" s="2"/>
      <c r="J116" s="6">
        <f t="shared" si="13"/>
        <v>7.0074516540143631E-3</v>
      </c>
      <c r="K116" s="2"/>
      <c r="L116" s="2">
        <f t="shared" si="14"/>
        <v>2350</v>
      </c>
      <c r="M116" s="2"/>
      <c r="N116" s="6">
        <f t="shared" si="15"/>
        <v>2.35</v>
      </c>
      <c r="O116" s="14"/>
      <c r="P116" s="2">
        <f>SUM(OSRRefP22_8x_0)</f>
        <v>30150</v>
      </c>
      <c r="Q116" s="2"/>
      <c r="R116" s="6">
        <f t="shared" si="16"/>
        <v>1.0065900667094781E-2</v>
      </c>
      <c r="S116" s="2"/>
      <c r="T116" s="2">
        <f>SUM(OSRRefT22_8x_0)</f>
        <v>9000</v>
      </c>
      <c r="U116" s="2"/>
      <c r="V116" s="6">
        <f t="shared" si="17"/>
        <v>7.0888750778348615E-3</v>
      </c>
      <c r="W116" s="2"/>
      <c r="X116" s="2">
        <f t="shared" si="18"/>
        <v>21150</v>
      </c>
      <c r="Y116" s="2"/>
      <c r="Z116" s="6">
        <f t="shared" si="19"/>
        <v>2.35</v>
      </c>
    </row>
    <row r="117" spans="1:26" s="69" customFormat="1" ht="15" hidden="1" customHeight="1" outlineLevel="2" x14ac:dyDescent="0.3">
      <c r="A117" s="25"/>
      <c r="B117" s="12" t="str">
        <f>CONCATENATE("          ","6408"," - ","INVENTORY ADJUSTMENT")</f>
        <v xml:space="preserve">          6408 - INVENTORY ADJUSTMENT</v>
      </c>
      <c r="C117" s="12"/>
      <c r="D117" s="8">
        <v>3350</v>
      </c>
      <c r="E117" s="3"/>
      <c r="F117" s="7">
        <f t="shared" ref="F117:F141" si="20">IF(D$12=0,0,D117/D$12)</f>
        <v>7.0280368530112533E-3</v>
      </c>
      <c r="G117" s="3"/>
      <c r="H117" s="8">
        <v>1000</v>
      </c>
      <c r="I117" s="3"/>
      <c r="J117" s="7">
        <f t="shared" ref="J117:J141" si="21">IF(H$12=0,0,H117/H$12)</f>
        <v>7.0074516540143631E-3</v>
      </c>
      <c r="K117" s="3"/>
      <c r="L117" s="8">
        <f t="shared" ref="L117:L141" si="22">+D117-H117</f>
        <v>2350</v>
      </c>
      <c r="M117" s="3"/>
      <c r="N117" s="7">
        <f t="shared" ref="N117:N141" si="23">IF(H117=0,0,L117/H117)</f>
        <v>2.35</v>
      </c>
      <c r="O117" s="12"/>
      <c r="P117" s="8">
        <v>30150</v>
      </c>
      <c r="Q117" s="3"/>
      <c r="R117" s="7">
        <f t="shared" ref="R117:R141" si="24">IF(P$12=0,0,P117/P$12)</f>
        <v>1.0065900667094781E-2</v>
      </c>
      <c r="S117" s="3"/>
      <c r="T117" s="8">
        <v>9000</v>
      </c>
      <c r="U117" s="3"/>
      <c r="V117" s="7">
        <f t="shared" ref="V117:V141" si="25">IF(T$12=0,0,T117/T$12)</f>
        <v>7.0888750778348615E-3</v>
      </c>
      <c r="W117" s="3"/>
      <c r="X117" s="8">
        <f t="shared" ref="X117:X141" si="26">+P117-T117</f>
        <v>21150</v>
      </c>
      <c r="Y117" s="3"/>
      <c r="Z117" s="7">
        <f t="shared" ref="Z117:Z141" si="27">IF(T117=0,0,X117/T117)</f>
        <v>2.35</v>
      </c>
    </row>
    <row r="118" spans="1:26" s="69" customFormat="1" ht="15" hidden="1" customHeight="1" outlineLevel="2" x14ac:dyDescent="0.3">
      <c r="A118" s="25"/>
      <c r="B118" s="12" t="str">
        <f>CONCATENATE("          ","7741"," - ","INV. SHRINKAGE-LOGO GIFTS")</f>
        <v xml:space="preserve">          7741 - INV. SHRINKAGE-LOGO GIFTS</v>
      </c>
      <c r="C118" s="12"/>
      <c r="D118" s="8"/>
      <c r="E118" s="3"/>
      <c r="F118" s="7">
        <f t="shared" si="20"/>
        <v>0</v>
      </c>
      <c r="G118" s="3"/>
      <c r="H118" s="8"/>
      <c r="I118" s="3"/>
      <c r="J118" s="7">
        <f t="shared" si="21"/>
        <v>0</v>
      </c>
      <c r="K118" s="3"/>
      <c r="L118" s="8">
        <f t="shared" si="22"/>
        <v>0</v>
      </c>
      <c r="M118" s="3"/>
      <c r="N118" s="7">
        <f t="shared" si="23"/>
        <v>0</v>
      </c>
      <c r="O118" s="12"/>
      <c r="P118" s="8"/>
      <c r="Q118" s="3"/>
      <c r="R118" s="7">
        <f t="shared" si="24"/>
        <v>0</v>
      </c>
      <c r="S118" s="3"/>
      <c r="T118" s="8">
        <v>0</v>
      </c>
      <c r="U118" s="3"/>
      <c r="V118" s="7">
        <f t="shared" si="25"/>
        <v>0</v>
      </c>
      <c r="W118" s="3"/>
      <c r="X118" s="8">
        <f t="shared" si="26"/>
        <v>0</v>
      </c>
      <c r="Y118" s="3"/>
      <c r="Z118" s="7">
        <f t="shared" si="27"/>
        <v>0</v>
      </c>
    </row>
    <row r="119" spans="1:26" s="68" customFormat="1" ht="15" customHeight="1" outlineLevel="1" collapsed="1" x14ac:dyDescent="0.3">
      <c r="A119" s="26"/>
      <c r="B119" s="14" t="str">
        <f>CONCATENATE("     ","Professional Services                             ")</f>
        <v xml:space="preserve">     Professional Services                             </v>
      </c>
      <c r="C119" s="14"/>
      <c r="D119" s="2">
        <f>SUM(OSRRefD22_9x_0)</f>
        <v>1050</v>
      </c>
      <c r="E119" s="2"/>
      <c r="F119" s="6">
        <f t="shared" si="20"/>
        <v>2.2028175210930794E-3</v>
      </c>
      <c r="G119" s="2"/>
      <c r="H119" s="2">
        <f>SUM(OSRRefH22_9x_0)</f>
        <v>0</v>
      </c>
      <c r="I119" s="2"/>
      <c r="J119" s="6">
        <f t="shared" si="21"/>
        <v>0</v>
      </c>
      <c r="K119" s="2"/>
      <c r="L119" s="2">
        <f t="shared" si="22"/>
        <v>1050</v>
      </c>
      <c r="M119" s="2"/>
      <c r="N119" s="6">
        <f t="shared" si="23"/>
        <v>0</v>
      </c>
      <c r="O119" s="14"/>
      <c r="P119" s="2">
        <f>SUM(OSRRefP22_9x_0)</f>
        <v>1947.64</v>
      </c>
      <c r="Q119" s="2"/>
      <c r="R119" s="6">
        <f t="shared" si="24"/>
        <v>6.5024049005839074E-4</v>
      </c>
      <c r="S119" s="2"/>
      <c r="T119" s="2">
        <f>SUM(OSRRefT22_9x_0)</f>
        <v>0</v>
      </c>
      <c r="U119" s="2"/>
      <c r="V119" s="6">
        <f t="shared" si="25"/>
        <v>0</v>
      </c>
      <c r="W119" s="2"/>
      <c r="X119" s="2">
        <f t="shared" si="26"/>
        <v>1947.64</v>
      </c>
      <c r="Y119" s="2"/>
      <c r="Z119" s="6">
        <f t="shared" si="27"/>
        <v>0</v>
      </c>
    </row>
    <row r="120" spans="1:26" s="69" customFormat="1" ht="15" hidden="1" customHeight="1" outlineLevel="2" x14ac:dyDescent="0.3">
      <c r="A120" s="25"/>
      <c r="B120" s="12" t="str">
        <f>CONCATENATE("          ","6336"," - ","PROFESSIONAL SERVICES")</f>
        <v xml:space="preserve">          6336 - PROFESSIONAL SERVICES</v>
      </c>
      <c r="C120" s="12"/>
      <c r="D120" s="8">
        <v>1050</v>
      </c>
      <c r="E120" s="3"/>
      <c r="F120" s="7">
        <f t="shared" si="20"/>
        <v>2.2028175210930794E-3</v>
      </c>
      <c r="G120" s="3"/>
      <c r="H120" s="8"/>
      <c r="I120" s="3"/>
      <c r="J120" s="7">
        <f t="shared" si="21"/>
        <v>0</v>
      </c>
      <c r="K120" s="3"/>
      <c r="L120" s="8">
        <f t="shared" si="22"/>
        <v>1050</v>
      </c>
      <c r="M120" s="3"/>
      <c r="N120" s="7">
        <f t="shared" si="23"/>
        <v>0</v>
      </c>
      <c r="O120" s="12"/>
      <c r="P120" s="8">
        <v>1947.64</v>
      </c>
      <c r="Q120" s="3"/>
      <c r="R120" s="7">
        <f t="shared" si="24"/>
        <v>6.5024049005839074E-4</v>
      </c>
      <c r="S120" s="3"/>
      <c r="T120" s="8"/>
      <c r="U120" s="3"/>
      <c r="V120" s="7">
        <f t="shared" si="25"/>
        <v>0</v>
      </c>
      <c r="W120" s="3"/>
      <c r="X120" s="8">
        <f t="shared" si="26"/>
        <v>1947.64</v>
      </c>
      <c r="Y120" s="3"/>
      <c r="Z120" s="7">
        <f t="shared" si="27"/>
        <v>0</v>
      </c>
    </row>
    <row r="121" spans="1:26" s="68" customFormat="1" ht="15" customHeight="1" outlineLevel="1" collapsed="1" x14ac:dyDescent="0.3">
      <c r="A121" s="26"/>
      <c r="B121" s="14" t="str">
        <f>CONCATENATE("     ","Repair and Maintenance                            ")</f>
        <v xml:space="preserve">     Repair and Maintenance                            </v>
      </c>
      <c r="C121" s="14"/>
      <c r="D121" s="2">
        <f>SUM(OSRRefD22_10x_0)</f>
        <v>0</v>
      </c>
      <c r="E121" s="2"/>
      <c r="F121" s="6">
        <f t="shared" si="20"/>
        <v>0</v>
      </c>
      <c r="G121" s="2"/>
      <c r="H121" s="2">
        <f>SUM(OSRRefH22_10x_0)</f>
        <v>0</v>
      </c>
      <c r="I121" s="2"/>
      <c r="J121" s="6">
        <f t="shared" si="21"/>
        <v>0</v>
      </c>
      <c r="K121" s="2"/>
      <c r="L121" s="2">
        <f t="shared" si="22"/>
        <v>0</v>
      </c>
      <c r="M121" s="2"/>
      <c r="N121" s="6">
        <f t="shared" si="23"/>
        <v>0</v>
      </c>
      <c r="O121" s="14"/>
      <c r="P121" s="2">
        <f>SUM(OSRRefP22_10x_0)</f>
        <v>1704.58</v>
      </c>
      <c r="Q121" s="2"/>
      <c r="R121" s="6">
        <f t="shared" si="24"/>
        <v>5.6909230378495595E-4</v>
      </c>
      <c r="S121" s="2"/>
      <c r="T121" s="2">
        <f>SUM(OSRRefT22_10x_0)</f>
        <v>0</v>
      </c>
      <c r="U121" s="2"/>
      <c r="V121" s="6">
        <f t="shared" si="25"/>
        <v>0</v>
      </c>
      <c r="W121" s="2"/>
      <c r="X121" s="2">
        <f t="shared" si="26"/>
        <v>1704.58</v>
      </c>
      <c r="Y121" s="2"/>
      <c r="Z121" s="6">
        <f t="shared" si="27"/>
        <v>0</v>
      </c>
    </row>
    <row r="122" spans="1:26" s="69" customFormat="1" ht="15" hidden="1" customHeight="1" outlineLevel="2" x14ac:dyDescent="0.3">
      <c r="A122" s="25"/>
      <c r="B122" s="12" t="str">
        <f>CONCATENATE("          ","6373"," - ","MAINTENANCE CONTRACTS")</f>
        <v xml:space="preserve">          6373 - MAINTENANCE CONTRACTS</v>
      </c>
      <c r="C122" s="12"/>
      <c r="D122" s="8"/>
      <c r="E122" s="3"/>
      <c r="F122" s="7">
        <f t="shared" si="20"/>
        <v>0</v>
      </c>
      <c r="G122" s="3"/>
      <c r="H122" s="8"/>
      <c r="I122" s="3"/>
      <c r="J122" s="7">
        <f t="shared" si="21"/>
        <v>0</v>
      </c>
      <c r="K122" s="3"/>
      <c r="L122" s="8">
        <f t="shared" si="22"/>
        <v>0</v>
      </c>
      <c r="M122" s="3"/>
      <c r="N122" s="7">
        <f t="shared" si="23"/>
        <v>0</v>
      </c>
      <c r="O122" s="12"/>
      <c r="P122" s="8">
        <v>17.739999999999998</v>
      </c>
      <c r="Q122" s="3"/>
      <c r="R122" s="7">
        <f t="shared" si="24"/>
        <v>5.9226891487317214E-6</v>
      </c>
      <c r="S122" s="3"/>
      <c r="T122" s="8"/>
      <c r="U122" s="3"/>
      <c r="V122" s="7">
        <f t="shared" si="25"/>
        <v>0</v>
      </c>
      <c r="W122" s="3"/>
      <c r="X122" s="8">
        <f t="shared" si="26"/>
        <v>17.739999999999998</v>
      </c>
      <c r="Y122" s="3"/>
      <c r="Z122" s="7">
        <f t="shared" si="27"/>
        <v>0</v>
      </c>
    </row>
    <row r="123" spans="1:26" s="69" customFormat="1" ht="15" hidden="1" customHeight="1" outlineLevel="2" x14ac:dyDescent="0.3">
      <c r="A123" s="25"/>
      <c r="B123" s="12" t="str">
        <f>CONCATENATE("          ","6375"," - ","OUTSIDE REPAIRS &amp; MAINTENANCE")</f>
        <v xml:space="preserve">          6375 - OUTSIDE REPAIRS &amp; MAINTENANCE</v>
      </c>
      <c r="C123" s="12"/>
      <c r="D123" s="8"/>
      <c r="E123" s="3"/>
      <c r="F123" s="7">
        <f t="shared" si="20"/>
        <v>0</v>
      </c>
      <c r="G123" s="3"/>
      <c r="H123" s="8"/>
      <c r="I123" s="3"/>
      <c r="J123" s="7">
        <f t="shared" si="21"/>
        <v>0</v>
      </c>
      <c r="K123" s="3"/>
      <c r="L123" s="8">
        <f t="shared" si="22"/>
        <v>0</v>
      </c>
      <c r="M123" s="3"/>
      <c r="N123" s="7">
        <f t="shared" si="23"/>
        <v>0</v>
      </c>
      <c r="O123" s="12"/>
      <c r="P123" s="8">
        <v>1686.84</v>
      </c>
      <c r="Q123" s="3"/>
      <c r="R123" s="7">
        <f t="shared" si="24"/>
        <v>5.6316961463622427E-4</v>
      </c>
      <c r="S123" s="3"/>
      <c r="T123" s="8"/>
      <c r="U123" s="3"/>
      <c r="V123" s="7">
        <f t="shared" si="25"/>
        <v>0</v>
      </c>
      <c r="W123" s="3"/>
      <c r="X123" s="8">
        <f t="shared" si="26"/>
        <v>1686.84</v>
      </c>
      <c r="Y123" s="3"/>
      <c r="Z123" s="7">
        <f t="shared" si="27"/>
        <v>0</v>
      </c>
    </row>
    <row r="124" spans="1:26" s="68" customFormat="1" ht="15" customHeight="1" outlineLevel="1" collapsed="1" x14ac:dyDescent="0.3">
      <c r="A124" s="26"/>
      <c r="B124" s="14" t="str">
        <f>CONCATENATE("     ","Royalty &amp; Commissions                             ")</f>
        <v xml:space="preserve">     Royalty &amp; Commissions                             </v>
      </c>
      <c r="C124" s="14"/>
      <c r="D124" s="2">
        <f>SUM(OSRRefD22_11x_0)</f>
        <v>0</v>
      </c>
      <c r="E124" s="2"/>
      <c r="F124" s="6">
        <f t="shared" si="20"/>
        <v>0</v>
      </c>
      <c r="G124" s="2"/>
      <c r="H124" s="2">
        <f>SUM(OSRRefH22_11x_0)</f>
        <v>0</v>
      </c>
      <c r="I124" s="2"/>
      <c r="J124" s="6">
        <f t="shared" si="21"/>
        <v>0</v>
      </c>
      <c r="K124" s="2"/>
      <c r="L124" s="2">
        <f t="shared" si="22"/>
        <v>0</v>
      </c>
      <c r="M124" s="2"/>
      <c r="N124" s="6">
        <f t="shared" si="23"/>
        <v>0</v>
      </c>
      <c r="O124" s="14"/>
      <c r="P124" s="2">
        <f>SUM(OSRRefP22_11x_0)</f>
        <v>42730.310000000005</v>
      </c>
      <c r="Q124" s="2"/>
      <c r="R124" s="6">
        <f t="shared" si="24"/>
        <v>1.4265972004449979E-2</v>
      </c>
      <c r="S124" s="2"/>
      <c r="T124" s="2">
        <f>SUM(OSRRefT22_11x_0)</f>
        <v>26197.58</v>
      </c>
      <c r="U124" s="2"/>
      <c r="V124" s="6">
        <f t="shared" si="25"/>
        <v>2.0634596884620559E-2</v>
      </c>
      <c r="W124" s="2"/>
      <c r="X124" s="2">
        <f t="shared" si="26"/>
        <v>16532.730000000003</v>
      </c>
      <c r="Y124" s="2"/>
      <c r="Z124" s="6">
        <f t="shared" si="27"/>
        <v>0.63107851946630189</v>
      </c>
    </row>
    <row r="125" spans="1:26" s="69" customFormat="1" ht="15" hidden="1" customHeight="1" outlineLevel="2" x14ac:dyDescent="0.3">
      <c r="A125" s="25"/>
      <c r="B125" s="12" t="str">
        <f>CONCATENATE("          ","6253"," - ","ROYALTY DUE ATHLETICS-LRG")</f>
        <v xml:space="preserve">          6253 - ROYALTY DUE ATHLETICS-LRG</v>
      </c>
      <c r="C125" s="12"/>
      <c r="D125" s="8"/>
      <c r="E125" s="3"/>
      <c r="F125" s="7">
        <f t="shared" si="20"/>
        <v>0</v>
      </c>
      <c r="G125" s="3"/>
      <c r="H125" s="8"/>
      <c r="I125" s="3"/>
      <c r="J125" s="7">
        <f t="shared" si="21"/>
        <v>0</v>
      </c>
      <c r="K125" s="3"/>
      <c r="L125" s="8">
        <f t="shared" si="22"/>
        <v>0</v>
      </c>
      <c r="M125" s="3"/>
      <c r="N125" s="7">
        <f t="shared" si="23"/>
        <v>0</v>
      </c>
      <c r="O125" s="12"/>
      <c r="P125" s="8">
        <v>39221.160000000003</v>
      </c>
      <c r="Q125" s="3"/>
      <c r="R125" s="7">
        <f t="shared" si="24"/>
        <v>1.3094404663622924E-2</v>
      </c>
      <c r="S125" s="3"/>
      <c r="T125" s="8">
        <v>26197.58</v>
      </c>
      <c r="U125" s="3"/>
      <c r="V125" s="7">
        <f t="shared" si="25"/>
        <v>2.0634596884620559E-2</v>
      </c>
      <c r="W125" s="3"/>
      <c r="X125" s="8">
        <f t="shared" si="26"/>
        <v>13023.580000000002</v>
      </c>
      <c r="Y125" s="3"/>
      <c r="Z125" s="7">
        <f t="shared" si="27"/>
        <v>0.49712912414047405</v>
      </c>
    </row>
    <row r="126" spans="1:26" s="69" customFormat="1" ht="15" hidden="1" customHeight="1" outlineLevel="2" x14ac:dyDescent="0.3">
      <c r="A126" s="25"/>
      <c r="B126" s="12" t="str">
        <f>CONCATENATE("          ","6254"," - ","ROYALTY &amp; COMMISSIONS")</f>
        <v xml:space="preserve">          6254 - ROYALTY &amp; COMMISSIONS</v>
      </c>
      <c r="C126" s="12"/>
      <c r="D126" s="8"/>
      <c r="E126" s="3"/>
      <c r="F126" s="7">
        <f t="shared" si="20"/>
        <v>0</v>
      </c>
      <c r="G126" s="3"/>
      <c r="H126" s="8"/>
      <c r="I126" s="3"/>
      <c r="J126" s="7">
        <f t="shared" si="21"/>
        <v>0</v>
      </c>
      <c r="K126" s="3"/>
      <c r="L126" s="8">
        <f t="shared" si="22"/>
        <v>0</v>
      </c>
      <c r="M126" s="3"/>
      <c r="N126" s="7">
        <f t="shared" si="23"/>
        <v>0</v>
      </c>
      <c r="O126" s="12"/>
      <c r="P126" s="8">
        <v>3509.15</v>
      </c>
      <c r="Q126" s="3"/>
      <c r="R126" s="7">
        <f t="shared" si="24"/>
        <v>1.1715673408270531E-3</v>
      </c>
      <c r="S126" s="3"/>
      <c r="T126" s="8"/>
      <c r="U126" s="3"/>
      <c r="V126" s="7">
        <f t="shared" si="25"/>
        <v>0</v>
      </c>
      <c r="W126" s="3"/>
      <c r="X126" s="8">
        <f t="shared" si="26"/>
        <v>3509.15</v>
      </c>
      <c r="Y126" s="3"/>
      <c r="Z126" s="7">
        <f t="shared" si="27"/>
        <v>0</v>
      </c>
    </row>
    <row r="127" spans="1:26" s="68" customFormat="1" ht="15" customHeight="1" outlineLevel="1" collapsed="1" x14ac:dyDescent="0.3">
      <c r="A127" s="26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SUM(OSRRefD22_12x_0)</f>
        <v>125</v>
      </c>
      <c r="E127" s="2"/>
      <c r="F127" s="6">
        <f t="shared" si="20"/>
        <v>2.6224018108250946E-4</v>
      </c>
      <c r="G127" s="2"/>
      <c r="H127" s="2">
        <f>SUM(OSRRefH22_12x_0)</f>
        <v>0</v>
      </c>
      <c r="I127" s="2"/>
      <c r="J127" s="6">
        <f t="shared" si="21"/>
        <v>0</v>
      </c>
      <c r="K127" s="2"/>
      <c r="L127" s="2">
        <f t="shared" si="22"/>
        <v>125</v>
      </c>
      <c r="M127" s="2"/>
      <c r="N127" s="6">
        <f t="shared" si="23"/>
        <v>0</v>
      </c>
      <c r="O127" s="14"/>
      <c r="P127" s="2">
        <f>SUM(OSRRefP22_12x_0)</f>
        <v>125</v>
      </c>
      <c r="Q127" s="2"/>
      <c r="R127" s="6">
        <f t="shared" si="24"/>
        <v>4.1732589830409544E-5</v>
      </c>
      <c r="S127" s="2"/>
      <c r="T127" s="2">
        <f>SUM(OSRRefT22_12x_0)</f>
        <v>-231.57</v>
      </c>
      <c r="U127" s="2"/>
      <c r="V127" s="6">
        <f t="shared" si="25"/>
        <v>-1.8239675575269099E-4</v>
      </c>
      <c r="W127" s="2"/>
      <c r="X127" s="2">
        <f t="shared" si="26"/>
        <v>356.57</v>
      </c>
      <c r="Y127" s="2"/>
      <c r="Z127" s="6">
        <f t="shared" si="27"/>
        <v>-1.539793582933886</v>
      </c>
    </row>
    <row r="128" spans="1:26" s="69" customFormat="1" ht="15" hidden="1" customHeight="1" outlineLevel="2" x14ac:dyDescent="0.3">
      <c r="A128" s="25"/>
      <c r="B128" s="12" t="str">
        <f>CONCATENATE("          ","6258"," - ","MEMBERSHIP DUES")</f>
        <v xml:space="preserve">          6258 - MEMBERSHIP DUES</v>
      </c>
      <c r="C128" s="12"/>
      <c r="D128" s="8">
        <v>125</v>
      </c>
      <c r="E128" s="3"/>
      <c r="F128" s="7">
        <f t="shared" si="20"/>
        <v>2.6224018108250946E-4</v>
      </c>
      <c r="G128" s="3"/>
      <c r="H128" s="8"/>
      <c r="I128" s="3"/>
      <c r="J128" s="7">
        <f t="shared" si="21"/>
        <v>0</v>
      </c>
      <c r="K128" s="3"/>
      <c r="L128" s="8">
        <f t="shared" si="22"/>
        <v>125</v>
      </c>
      <c r="M128" s="3"/>
      <c r="N128" s="7">
        <f t="shared" si="23"/>
        <v>0</v>
      </c>
      <c r="O128" s="12"/>
      <c r="P128" s="8">
        <v>125</v>
      </c>
      <c r="Q128" s="3"/>
      <c r="R128" s="7">
        <f t="shared" si="24"/>
        <v>4.1732589830409544E-5</v>
      </c>
      <c r="S128" s="3"/>
      <c r="T128" s="8">
        <v>-307.3</v>
      </c>
      <c r="U128" s="3"/>
      <c r="V128" s="7">
        <f t="shared" si="25"/>
        <v>-2.4204570126873924E-4</v>
      </c>
      <c r="W128" s="3"/>
      <c r="X128" s="8">
        <f t="shared" si="26"/>
        <v>432.3</v>
      </c>
      <c r="Y128" s="3"/>
      <c r="Z128" s="7">
        <f t="shared" si="27"/>
        <v>-1.406768630003254</v>
      </c>
    </row>
    <row r="129" spans="1:26" s="69" customFormat="1" ht="15" hidden="1" customHeight="1" outlineLevel="2" x14ac:dyDescent="0.3">
      <c r="A129" s="25"/>
      <c r="B129" s="12" t="str">
        <f>CONCATENATE("          ","6275"," - ","SUBSCRIPTIONS")</f>
        <v xml:space="preserve">          6275 - SUBSCRIPTIONS</v>
      </c>
      <c r="C129" s="12"/>
      <c r="D129" s="8"/>
      <c r="E129" s="3"/>
      <c r="F129" s="7">
        <f t="shared" si="20"/>
        <v>0</v>
      </c>
      <c r="G129" s="3"/>
      <c r="H129" s="8"/>
      <c r="I129" s="3"/>
      <c r="J129" s="7">
        <f t="shared" si="21"/>
        <v>0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/>
      <c r="Q129" s="3"/>
      <c r="R129" s="7">
        <f t="shared" si="24"/>
        <v>0</v>
      </c>
      <c r="S129" s="3"/>
      <c r="T129" s="8">
        <v>75.73</v>
      </c>
      <c r="U129" s="3"/>
      <c r="V129" s="7">
        <f t="shared" si="25"/>
        <v>5.964894551604823E-5</v>
      </c>
      <c r="W129" s="3"/>
      <c r="X129" s="8">
        <f t="shared" si="26"/>
        <v>-75.73</v>
      </c>
      <c r="Y129" s="3"/>
      <c r="Z129" s="7">
        <f t="shared" si="27"/>
        <v>-1</v>
      </c>
    </row>
    <row r="130" spans="1:26" s="68" customFormat="1" ht="15" customHeight="1" outlineLevel="1" collapsed="1" x14ac:dyDescent="0.3">
      <c r="A130" s="26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SUM(OSRRefD22_13x_0)</f>
        <v>317.47000000000003</v>
      </c>
      <c r="E130" s="2"/>
      <c r="F130" s="6">
        <f t="shared" si="20"/>
        <v>6.6602712230611426E-4</v>
      </c>
      <c r="G130" s="2"/>
      <c r="H130" s="2">
        <f>SUM(OSRRefH22_13x_0)</f>
        <v>266.36</v>
      </c>
      <c r="I130" s="2"/>
      <c r="J130" s="6">
        <f t="shared" si="21"/>
        <v>1.8665048225632659E-3</v>
      </c>
      <c r="K130" s="2"/>
      <c r="L130" s="2">
        <f t="shared" si="22"/>
        <v>51.110000000000014</v>
      </c>
      <c r="M130" s="2"/>
      <c r="N130" s="6">
        <f t="shared" si="23"/>
        <v>0.1918831656404866</v>
      </c>
      <c r="O130" s="14"/>
      <c r="P130" s="2">
        <f>SUM(OSRRefP22_13x_0)</f>
        <v>8477.69</v>
      </c>
      <c r="Q130" s="2"/>
      <c r="R130" s="6">
        <f t="shared" si="24"/>
        <v>2.8303676758349174E-3</v>
      </c>
      <c r="S130" s="2"/>
      <c r="T130" s="2">
        <f>SUM(OSRRefT22_13x_0)</f>
        <v>3629.97</v>
      </c>
      <c r="U130" s="2"/>
      <c r="V130" s="6">
        <f t="shared" si="25"/>
        <v>2.8591559851431345E-3</v>
      </c>
      <c r="W130" s="2"/>
      <c r="X130" s="2">
        <f t="shared" si="26"/>
        <v>4847.7200000000012</v>
      </c>
      <c r="Y130" s="2"/>
      <c r="Z130" s="6">
        <f t="shared" si="27"/>
        <v>1.3354710920475932</v>
      </c>
    </row>
    <row r="131" spans="1:26" s="69" customFormat="1" ht="15" hidden="1" customHeight="1" outlineLevel="2" x14ac:dyDescent="0.3">
      <c r="A131" s="25"/>
      <c r="B131" s="12" t="str">
        <f>CONCATENATE("          ","6234"," - ","EXPENDABLE SUPPLIES &amp; EQUIPMEN")</f>
        <v xml:space="preserve">          6234 - EXPENDABLE SUPPLIES &amp; EQUIPMEN</v>
      </c>
      <c r="C131" s="12"/>
      <c r="D131" s="8"/>
      <c r="E131" s="3"/>
      <c r="F131" s="7">
        <f t="shared" si="20"/>
        <v>0</v>
      </c>
      <c r="G131" s="3"/>
      <c r="H131" s="8"/>
      <c r="I131" s="3"/>
      <c r="J131" s="7">
        <f t="shared" si="21"/>
        <v>0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/>
      <c r="Q131" s="3"/>
      <c r="R131" s="7">
        <f t="shared" si="24"/>
        <v>0</v>
      </c>
      <c r="S131" s="3"/>
      <c r="T131" s="8">
        <v>396.5</v>
      </c>
      <c r="U131" s="3"/>
      <c r="V131" s="7">
        <f t="shared" si="25"/>
        <v>3.1230432981794694E-4</v>
      </c>
      <c r="W131" s="3"/>
      <c r="X131" s="8">
        <f t="shared" si="26"/>
        <v>-396.5</v>
      </c>
      <c r="Y131" s="3"/>
      <c r="Z131" s="7">
        <f t="shared" si="27"/>
        <v>-1</v>
      </c>
    </row>
    <row r="132" spans="1:26" s="69" customFormat="1" ht="15" hidden="1" customHeight="1" outlineLevel="2" x14ac:dyDescent="0.3">
      <c r="A132" s="25"/>
      <c r="B132" s="12" t="str">
        <f>CONCATENATE("          ","6235"," - ","COVID-19 EXPENSES")</f>
        <v xml:space="preserve">          6235 - COVID-19 EXPENSES</v>
      </c>
      <c r="C132" s="12"/>
      <c r="D132" s="8"/>
      <c r="E132" s="3"/>
      <c r="F132" s="7">
        <f t="shared" si="20"/>
        <v>0</v>
      </c>
      <c r="G132" s="3"/>
      <c r="H132" s="8"/>
      <c r="I132" s="3"/>
      <c r="J132" s="7">
        <f t="shared" si="21"/>
        <v>0</v>
      </c>
      <c r="K132" s="3"/>
      <c r="L132" s="8">
        <f t="shared" si="22"/>
        <v>0</v>
      </c>
      <c r="M132" s="3"/>
      <c r="N132" s="7">
        <f t="shared" si="23"/>
        <v>0</v>
      </c>
      <c r="O132" s="12"/>
      <c r="P132" s="8"/>
      <c r="Q132" s="3"/>
      <c r="R132" s="7">
        <f t="shared" si="24"/>
        <v>0</v>
      </c>
      <c r="S132" s="3"/>
      <c r="T132" s="8">
        <v>1026.43</v>
      </c>
      <c r="U132" s="3"/>
      <c r="V132" s="7">
        <f t="shared" si="25"/>
        <v>8.0847044957133745E-4</v>
      </c>
      <c r="W132" s="3"/>
      <c r="X132" s="8">
        <f t="shared" si="26"/>
        <v>-1026.43</v>
      </c>
      <c r="Y132" s="3"/>
      <c r="Z132" s="7">
        <f t="shared" si="27"/>
        <v>-1</v>
      </c>
    </row>
    <row r="133" spans="1:26" s="69" customFormat="1" ht="15" hidden="1" customHeight="1" outlineLevel="2" x14ac:dyDescent="0.3">
      <c r="A133" s="25"/>
      <c r="B133" s="12" t="str">
        <f>CONCATENATE("          ","6241"," - ","OFFICE EXPENSE")</f>
        <v xml:space="preserve">          6241 - OFFICE EXPENSE</v>
      </c>
      <c r="C133" s="12"/>
      <c r="D133" s="8">
        <v>253.69</v>
      </c>
      <c r="E133" s="3"/>
      <c r="F133" s="7">
        <f t="shared" si="20"/>
        <v>5.3222169231057458E-4</v>
      </c>
      <c r="G133" s="3"/>
      <c r="H133" s="8">
        <v>266.36</v>
      </c>
      <c r="I133" s="3"/>
      <c r="J133" s="7">
        <f t="shared" si="21"/>
        <v>1.8665048225632659E-3</v>
      </c>
      <c r="K133" s="3"/>
      <c r="L133" s="8">
        <f t="shared" si="22"/>
        <v>-12.670000000000016</v>
      </c>
      <c r="M133" s="3"/>
      <c r="N133" s="7">
        <f t="shared" si="23"/>
        <v>-4.7567202282625079E-2</v>
      </c>
      <c r="O133" s="12"/>
      <c r="P133" s="8">
        <v>1917</v>
      </c>
      <c r="Q133" s="3"/>
      <c r="R133" s="7">
        <f t="shared" si="24"/>
        <v>6.4001099763916073E-4</v>
      </c>
      <c r="S133" s="3"/>
      <c r="T133" s="8">
        <v>1096.81</v>
      </c>
      <c r="U133" s="3"/>
      <c r="V133" s="7">
        <f t="shared" si="25"/>
        <v>8.6390545268000599E-4</v>
      </c>
      <c r="W133" s="3"/>
      <c r="X133" s="8">
        <f t="shared" si="26"/>
        <v>820.19</v>
      </c>
      <c r="Y133" s="3"/>
      <c r="Z133" s="7">
        <f t="shared" si="27"/>
        <v>0.74779588078153925</v>
      </c>
    </row>
    <row r="134" spans="1:26" s="69" customFormat="1" ht="15" hidden="1" customHeight="1" outlineLevel="2" x14ac:dyDescent="0.3">
      <c r="A134" s="25"/>
      <c r="B134" s="12" t="str">
        <f>CONCATENATE("          ","6245"," - ","PRINTING")</f>
        <v xml:space="preserve">          6245 - PRINTING</v>
      </c>
      <c r="C134" s="12"/>
      <c r="D134" s="8">
        <v>10.8</v>
      </c>
      <c r="E134" s="3"/>
      <c r="F134" s="7">
        <f t="shared" si="20"/>
        <v>2.2657551645528817E-5</v>
      </c>
      <c r="G134" s="3"/>
      <c r="H134" s="8"/>
      <c r="I134" s="3"/>
      <c r="J134" s="7">
        <f t="shared" si="21"/>
        <v>0</v>
      </c>
      <c r="K134" s="3"/>
      <c r="L134" s="8">
        <f t="shared" si="22"/>
        <v>10.8</v>
      </c>
      <c r="M134" s="3"/>
      <c r="N134" s="7">
        <f t="shared" si="23"/>
        <v>0</v>
      </c>
      <c r="O134" s="12"/>
      <c r="P134" s="8">
        <v>35.549999999999997</v>
      </c>
      <c r="Q134" s="3"/>
      <c r="R134" s="7">
        <f t="shared" si="24"/>
        <v>1.1868748547768472E-5</v>
      </c>
      <c r="S134" s="3"/>
      <c r="T134" s="8"/>
      <c r="U134" s="3"/>
      <c r="V134" s="7">
        <f t="shared" si="25"/>
        <v>0</v>
      </c>
      <c r="W134" s="3"/>
      <c r="X134" s="8">
        <f t="shared" si="26"/>
        <v>35.549999999999997</v>
      </c>
      <c r="Y134" s="3"/>
      <c r="Z134" s="7">
        <f t="shared" si="27"/>
        <v>0</v>
      </c>
    </row>
    <row r="135" spans="1:26" s="69" customFormat="1" ht="15" hidden="1" customHeight="1" outlineLevel="2" x14ac:dyDescent="0.3">
      <c r="A135" s="25"/>
      <c r="B135" s="12" t="str">
        <f>CONCATENATE("          ","6247"," - ","STORE SUPPLIES")</f>
        <v xml:space="preserve">          6247 - STORE SUPPLIES</v>
      </c>
      <c r="C135" s="12"/>
      <c r="D135" s="8">
        <v>52.98</v>
      </c>
      <c r="E135" s="3"/>
      <c r="F135" s="7">
        <f t="shared" si="20"/>
        <v>1.1114787835001079E-4</v>
      </c>
      <c r="G135" s="3"/>
      <c r="H135" s="8"/>
      <c r="I135" s="3"/>
      <c r="J135" s="7">
        <f t="shared" si="21"/>
        <v>0</v>
      </c>
      <c r="K135" s="3"/>
      <c r="L135" s="8">
        <f t="shared" si="22"/>
        <v>52.98</v>
      </c>
      <c r="M135" s="3"/>
      <c r="N135" s="7">
        <f t="shared" si="23"/>
        <v>0</v>
      </c>
      <c r="O135" s="12"/>
      <c r="P135" s="8">
        <v>6525.14</v>
      </c>
      <c r="Q135" s="3"/>
      <c r="R135" s="7">
        <f t="shared" si="24"/>
        <v>2.1784879296479881E-3</v>
      </c>
      <c r="S135" s="3"/>
      <c r="T135" s="8">
        <v>1110.23</v>
      </c>
      <c r="U135" s="3"/>
      <c r="V135" s="7">
        <f t="shared" si="25"/>
        <v>8.7447575307384427E-4</v>
      </c>
      <c r="W135" s="3"/>
      <c r="X135" s="8">
        <f t="shared" si="26"/>
        <v>5414.91</v>
      </c>
      <c r="Y135" s="3"/>
      <c r="Z135" s="7">
        <f t="shared" si="27"/>
        <v>4.8772866883438564</v>
      </c>
    </row>
    <row r="136" spans="1:26" s="68" customFormat="1" ht="15" customHeight="1" outlineLevel="1" collapsed="1" x14ac:dyDescent="0.3">
      <c r="A136" s="26"/>
      <c r="B136" s="14" t="str">
        <f>CONCATENATE("     ","Telephone/Data Lines                              ")</f>
        <v xml:space="preserve">     Telephone/Data Lines                              </v>
      </c>
      <c r="C136" s="14"/>
      <c r="D136" s="2">
        <f>SUM(OSRRefD22_14x_0)</f>
        <v>226.4</v>
      </c>
      <c r="E136" s="2"/>
      <c r="F136" s="6">
        <f t="shared" si="20"/>
        <v>4.749694159766411E-4</v>
      </c>
      <c r="G136" s="2"/>
      <c r="H136" s="2">
        <f>SUM(OSRRefH22_14x_0)</f>
        <v>95.75</v>
      </c>
      <c r="I136" s="2"/>
      <c r="J136" s="6">
        <f t="shared" si="21"/>
        <v>6.7096349587187525E-4</v>
      </c>
      <c r="K136" s="2"/>
      <c r="L136" s="2">
        <f t="shared" si="22"/>
        <v>130.65</v>
      </c>
      <c r="M136" s="2"/>
      <c r="N136" s="6">
        <f t="shared" si="23"/>
        <v>1.364490861618799</v>
      </c>
      <c r="O136" s="14"/>
      <c r="P136" s="2">
        <f>SUM(OSRRefP22_14x_0)</f>
        <v>1878.25</v>
      </c>
      <c r="Q136" s="2"/>
      <c r="R136" s="6">
        <f t="shared" si="24"/>
        <v>6.2707389479173378E-4</v>
      </c>
      <c r="S136" s="2"/>
      <c r="T136" s="2">
        <f>SUM(OSRRefT22_14x_0)</f>
        <v>2869.94</v>
      </c>
      <c r="U136" s="2"/>
      <c r="V136" s="6">
        <f t="shared" si="25"/>
        <v>2.2605162378757093E-3</v>
      </c>
      <c r="W136" s="2"/>
      <c r="X136" s="2">
        <f t="shared" si="26"/>
        <v>-991.69</v>
      </c>
      <c r="Y136" s="2"/>
      <c r="Z136" s="6">
        <f t="shared" si="27"/>
        <v>-0.34554380927824274</v>
      </c>
    </row>
    <row r="137" spans="1:26" s="69" customFormat="1" ht="15" hidden="1" customHeight="1" outlineLevel="2" x14ac:dyDescent="0.3">
      <c r="A137" s="25"/>
      <c r="B137" s="12" t="str">
        <f>CONCATENATE("          ","6309"," - ","TELEPHONE")</f>
        <v xml:space="preserve">          6309 - TELEPHONE</v>
      </c>
      <c r="C137" s="12"/>
      <c r="D137" s="8">
        <v>226.4</v>
      </c>
      <c r="E137" s="3"/>
      <c r="F137" s="7">
        <f t="shared" si="20"/>
        <v>4.749694159766411E-4</v>
      </c>
      <c r="G137" s="3"/>
      <c r="H137" s="8">
        <v>95.75</v>
      </c>
      <c r="I137" s="3"/>
      <c r="J137" s="7">
        <f t="shared" si="21"/>
        <v>6.7096349587187525E-4</v>
      </c>
      <c r="K137" s="3"/>
      <c r="L137" s="8">
        <f t="shared" si="22"/>
        <v>130.65</v>
      </c>
      <c r="M137" s="3"/>
      <c r="N137" s="7">
        <f t="shared" si="23"/>
        <v>1.364490861618799</v>
      </c>
      <c r="O137" s="12"/>
      <c r="P137" s="8">
        <v>1878.25</v>
      </c>
      <c r="Q137" s="3"/>
      <c r="R137" s="7">
        <f t="shared" si="24"/>
        <v>6.2707389479173378E-4</v>
      </c>
      <c r="S137" s="3"/>
      <c r="T137" s="8">
        <v>2869.94</v>
      </c>
      <c r="U137" s="3"/>
      <c r="V137" s="7">
        <f t="shared" si="25"/>
        <v>2.2605162378757093E-3</v>
      </c>
      <c r="W137" s="3"/>
      <c r="X137" s="8">
        <f t="shared" si="26"/>
        <v>-991.69</v>
      </c>
      <c r="Y137" s="3"/>
      <c r="Z137" s="7">
        <f t="shared" si="27"/>
        <v>-0.34554380927824274</v>
      </c>
    </row>
    <row r="138" spans="1:26" s="68" customFormat="1" ht="15" customHeight="1" outlineLevel="1" collapsed="1" x14ac:dyDescent="0.3">
      <c r="A138" s="26"/>
      <c r="B138" s="14" t="str">
        <f>CONCATENATE("     ","Training                                          ")</f>
        <v xml:space="preserve">     Training                                          </v>
      </c>
      <c r="C138" s="14"/>
      <c r="D138" s="2">
        <f>SUM(OSRRefD22_15x_0)</f>
        <v>0</v>
      </c>
      <c r="E138" s="2"/>
      <c r="F138" s="6">
        <f t="shared" si="20"/>
        <v>0</v>
      </c>
      <c r="G138" s="2"/>
      <c r="H138" s="2">
        <f>SUM(OSRRefH22_15x_0)</f>
        <v>0</v>
      </c>
      <c r="I138" s="2"/>
      <c r="J138" s="6">
        <f t="shared" si="21"/>
        <v>0</v>
      </c>
      <c r="K138" s="2"/>
      <c r="L138" s="2">
        <f t="shared" si="22"/>
        <v>0</v>
      </c>
      <c r="M138" s="2"/>
      <c r="N138" s="6">
        <f t="shared" si="23"/>
        <v>0</v>
      </c>
      <c r="O138" s="14"/>
      <c r="P138" s="2">
        <f>SUM(OSRRefP22_15x_0)</f>
        <v>300</v>
      </c>
      <c r="Q138" s="2"/>
      <c r="R138" s="6">
        <f t="shared" si="24"/>
        <v>1.001582155929829E-4</v>
      </c>
      <c r="S138" s="2"/>
      <c r="T138" s="2">
        <f>SUM(OSRRefT22_15x_0)</f>
        <v>0</v>
      </c>
      <c r="U138" s="2"/>
      <c r="V138" s="6">
        <f t="shared" si="25"/>
        <v>0</v>
      </c>
      <c r="W138" s="2"/>
      <c r="X138" s="2">
        <f t="shared" si="26"/>
        <v>300</v>
      </c>
      <c r="Y138" s="2"/>
      <c r="Z138" s="6">
        <f t="shared" si="27"/>
        <v>0</v>
      </c>
    </row>
    <row r="139" spans="1:26" s="69" customFormat="1" ht="15" hidden="1" customHeight="1" outlineLevel="2" x14ac:dyDescent="0.3">
      <c r="A139" s="25"/>
      <c r="B139" s="12" t="str">
        <f>CONCATENATE("          ","6376"," - ","TRAINING")</f>
        <v xml:space="preserve">          6376 - TRAINING</v>
      </c>
      <c r="C139" s="12"/>
      <c r="D139" s="8"/>
      <c r="E139" s="3"/>
      <c r="F139" s="7">
        <f t="shared" si="20"/>
        <v>0</v>
      </c>
      <c r="G139" s="3"/>
      <c r="H139" s="8"/>
      <c r="I139" s="3"/>
      <c r="J139" s="7">
        <f t="shared" si="21"/>
        <v>0</v>
      </c>
      <c r="K139" s="3"/>
      <c r="L139" s="8">
        <f t="shared" si="22"/>
        <v>0</v>
      </c>
      <c r="M139" s="3"/>
      <c r="N139" s="7">
        <f t="shared" si="23"/>
        <v>0</v>
      </c>
      <c r="O139" s="12"/>
      <c r="P139" s="8">
        <v>300</v>
      </c>
      <c r="Q139" s="3"/>
      <c r="R139" s="7">
        <f t="shared" si="24"/>
        <v>1.001582155929829E-4</v>
      </c>
      <c r="S139" s="3"/>
      <c r="T139" s="8"/>
      <c r="U139" s="3"/>
      <c r="V139" s="7">
        <f t="shared" si="25"/>
        <v>0</v>
      </c>
      <c r="W139" s="3"/>
      <c r="X139" s="8">
        <f t="shared" si="26"/>
        <v>300</v>
      </c>
      <c r="Y139" s="3"/>
      <c r="Z139" s="7">
        <f t="shared" si="27"/>
        <v>0</v>
      </c>
    </row>
    <row r="140" spans="1:26" s="68" customFormat="1" ht="15" customHeight="1" outlineLevel="1" collapsed="1" x14ac:dyDescent="0.3">
      <c r="A140" s="26"/>
      <c r="B140" s="14" t="str">
        <f>CONCATENATE("     ","Travel                                            ")</f>
        <v xml:space="preserve">     Travel                                            </v>
      </c>
      <c r="C140" s="14"/>
      <c r="D140" s="2">
        <f>SUM(OSRRefD22_16x_0)</f>
        <v>37.07</v>
      </c>
      <c r="E140" s="2"/>
      <c r="F140" s="6">
        <f t="shared" si="20"/>
        <v>7.7769948101829E-5</v>
      </c>
      <c r="G140" s="2"/>
      <c r="H140" s="2">
        <f>SUM(OSRRefH22_16x_0)</f>
        <v>0</v>
      </c>
      <c r="I140" s="2"/>
      <c r="J140" s="6">
        <f t="shared" si="21"/>
        <v>0</v>
      </c>
      <c r="K140" s="2"/>
      <c r="L140" s="2">
        <f t="shared" si="22"/>
        <v>37.07</v>
      </c>
      <c r="M140" s="2"/>
      <c r="N140" s="6">
        <f t="shared" si="23"/>
        <v>0</v>
      </c>
      <c r="O140" s="14"/>
      <c r="P140" s="2">
        <f>SUM(OSRRefP22_16x_0)</f>
        <v>77.39</v>
      </c>
      <c r="Q140" s="2"/>
      <c r="R140" s="6">
        <f t="shared" si="24"/>
        <v>2.5837481015803154E-5</v>
      </c>
      <c r="S140" s="2"/>
      <c r="T140" s="2">
        <f>SUM(OSRRefT22_16x_0)</f>
        <v>69.92</v>
      </c>
      <c r="U140" s="2"/>
      <c r="V140" s="6">
        <f t="shared" si="25"/>
        <v>5.5072682826912611E-5</v>
      </c>
      <c r="W140" s="2"/>
      <c r="X140" s="2">
        <f t="shared" si="26"/>
        <v>7.4699999999999989</v>
      </c>
      <c r="Y140" s="2"/>
      <c r="Z140" s="6">
        <f t="shared" si="27"/>
        <v>0.10683638443935925</v>
      </c>
    </row>
    <row r="141" spans="1:26" s="69" customFormat="1" ht="15" hidden="1" customHeight="1" outlineLevel="2" x14ac:dyDescent="0.3">
      <c r="A141" s="25"/>
      <c r="B141" s="12" t="str">
        <f>CONCATENATE("          ","6294"," - ","TRAVEL OPERATIONAL")</f>
        <v xml:space="preserve">          6294 - TRAVEL OPERATIONAL</v>
      </c>
      <c r="C141" s="12"/>
      <c r="D141" s="8">
        <v>37.07</v>
      </c>
      <c r="E141" s="3"/>
      <c r="F141" s="7">
        <f t="shared" si="20"/>
        <v>7.7769948101829E-5</v>
      </c>
      <c r="G141" s="3"/>
      <c r="H141" s="8"/>
      <c r="I141" s="3"/>
      <c r="J141" s="7">
        <f t="shared" si="21"/>
        <v>0</v>
      </c>
      <c r="K141" s="3"/>
      <c r="L141" s="8">
        <f t="shared" si="22"/>
        <v>37.07</v>
      </c>
      <c r="M141" s="3"/>
      <c r="N141" s="7">
        <f t="shared" si="23"/>
        <v>0</v>
      </c>
      <c r="O141" s="12"/>
      <c r="P141" s="8">
        <v>77.39</v>
      </c>
      <c r="Q141" s="3"/>
      <c r="R141" s="7">
        <f t="shared" si="24"/>
        <v>2.5837481015803154E-5</v>
      </c>
      <c r="S141" s="3"/>
      <c r="T141" s="8">
        <v>69.92</v>
      </c>
      <c r="U141" s="3"/>
      <c r="V141" s="7">
        <f t="shared" si="25"/>
        <v>5.5072682826912611E-5</v>
      </c>
      <c r="W141" s="3"/>
      <c r="X141" s="8">
        <f t="shared" si="26"/>
        <v>7.4699999999999989</v>
      </c>
      <c r="Y141" s="3"/>
      <c r="Z141" s="7">
        <f t="shared" si="27"/>
        <v>0.10683638443935925</v>
      </c>
    </row>
    <row r="142" spans="1:26" s="64" customFormat="1" ht="15" customHeight="1" x14ac:dyDescent="0.3">
      <c r="A142" s="36"/>
      <c r="B142" s="36"/>
      <c r="C142" s="36"/>
      <c r="D142" s="2"/>
      <c r="E142" s="2"/>
      <c r="F142" s="6"/>
      <c r="G142" s="2"/>
      <c r="H142" s="2"/>
      <c r="I142" s="2"/>
      <c r="J142" s="6"/>
      <c r="K142" s="2"/>
      <c r="L142" s="2"/>
      <c r="M142" s="2"/>
      <c r="N142" s="6"/>
      <c r="O142" s="36"/>
      <c r="P142" s="2"/>
      <c r="Q142" s="2"/>
      <c r="R142" s="6"/>
      <c r="S142" s="2"/>
      <c r="T142" s="2"/>
      <c r="U142" s="2"/>
      <c r="V142" s="6"/>
      <c r="W142" s="2"/>
      <c r="X142" s="2"/>
      <c r="Y142" s="2"/>
      <c r="Z142" s="6"/>
    </row>
    <row r="143" spans="1:26" s="62" customFormat="1" ht="15" customHeight="1" collapsed="1" x14ac:dyDescent="0.3">
      <c r="A143" s="11"/>
      <c r="B143" s="28" t="s">
        <v>290</v>
      </c>
      <c r="C143" s="11"/>
      <c r="D143" s="5">
        <f>SUM(OSRRefD25x_0)</f>
        <v>175055</v>
      </c>
      <c r="E143" s="5"/>
      <c r="F143" s="13">
        <f>IF(D$12=0,0,D143/D$12)</f>
        <v>0.36725163919518955</v>
      </c>
      <c r="G143" s="5"/>
      <c r="H143" s="5">
        <f>SUM(OSRRefH25x_0)</f>
        <v>175014.7</v>
      </c>
      <c r="I143" s="5"/>
      <c r="J143" s="13">
        <f>IF(H$12=0,0,H143/H$12)</f>
        <v>1.2264070489918277</v>
      </c>
      <c r="K143" s="5"/>
      <c r="L143" s="5">
        <f>+D143-H143</f>
        <v>40.299999999988358</v>
      </c>
      <c r="M143" s="5"/>
      <c r="N143" s="13">
        <f>IF(H143=0,0,L143/H143)</f>
        <v>2.3026637191040728E-4</v>
      </c>
      <c r="O143" s="11"/>
      <c r="P143" s="5">
        <f>SUM(OSRRefP25x_0)</f>
        <v>333702.37</v>
      </c>
      <c r="Q143" s="5"/>
      <c r="R143" s="13">
        <f>IF(P$12=0,0,P143/P$12)</f>
        <v>0.1114101130611645</v>
      </c>
      <c r="S143" s="5"/>
      <c r="T143" s="5">
        <f>SUM(OSRRefT25x_0)</f>
        <v>392807.77</v>
      </c>
      <c r="U143" s="5"/>
      <c r="V143" s="13">
        <f>IF(T$12=0,0,T143/T$12)</f>
        <v>0.30939613457032095</v>
      </c>
      <c r="W143" s="5"/>
      <c r="X143" s="5">
        <f>+P143-T143</f>
        <v>-59105.400000000023</v>
      </c>
      <c r="Y143" s="5"/>
      <c r="Z143" s="13">
        <f>IF(T143=0,0,X143/T143)</f>
        <v>-0.15046901949011859</v>
      </c>
    </row>
    <row r="144" spans="1:26" s="69" customFormat="1" ht="15" hidden="1" customHeight="1" outlineLevel="1" x14ac:dyDescent="0.3">
      <c r="A144" s="42"/>
      <c r="B144" s="12" t="str">
        <f>CONCATENATE("          ","9150"," - ","MISC. INCOME")</f>
        <v xml:space="preserve">          9150 - MISC. INCOME</v>
      </c>
      <c r="C144" s="12"/>
      <c r="D144" s="3">
        <f>0</f>
        <v>0</v>
      </c>
      <c r="E144" s="3"/>
      <c r="F144" s="20">
        <f>IF(D$12=0,0,D144/D$12)</f>
        <v>0</v>
      </c>
      <c r="G144" s="3"/>
      <c r="H144" s="3">
        <f>0</f>
        <v>0</v>
      </c>
      <c r="I144" s="3"/>
      <c r="J144" s="20">
        <f>IF(H$12=0,0,H144/H$12)</f>
        <v>0</v>
      </c>
      <c r="K144" s="3"/>
      <c r="L144" s="3">
        <f>+D144-H144</f>
        <v>0</v>
      </c>
      <c r="M144" s="3"/>
      <c r="N144" s="20">
        <f>IF(H144=0,0,L144/H144)</f>
        <v>0</v>
      </c>
      <c r="O144" s="12"/>
      <c r="P144" s="3">
        <f>--78871.67</f>
        <v>78871.67</v>
      </c>
      <c r="Q144" s="3"/>
      <c r="R144" s="20">
        <f>IF(P$12=0,0,P144/P$12)</f>
        <v>2.633215242679534E-2</v>
      </c>
      <c r="S144" s="3"/>
      <c r="T144" s="3">
        <f>--46373.31</f>
        <v>46373.31</v>
      </c>
      <c r="U144" s="3"/>
      <c r="V144" s="20">
        <f>IF(T$12=0,0,T144/T$12)</f>
        <v>3.6526066837301127E-2</v>
      </c>
      <c r="W144" s="3"/>
      <c r="X144" s="3">
        <f>+P144-T144</f>
        <v>32498.36</v>
      </c>
      <c r="Y144" s="3"/>
      <c r="Z144" s="20">
        <f>IF(T144=0,0,X144/T144)</f>
        <v>0.7007987999993962</v>
      </c>
    </row>
    <row r="145" spans="1:26" s="69" customFormat="1" ht="15" hidden="1" customHeight="1" outlineLevel="1" x14ac:dyDescent="0.3">
      <c r="A145" s="42"/>
      <c r="B145" s="12" t="str">
        <f>CONCATENATE("          ","9163"," - ","MISC. INCOME")</f>
        <v xml:space="preserve">          9163 - MISC. INCOME</v>
      </c>
      <c r="C145" s="12"/>
      <c r="D145" s="3">
        <f>--175055</f>
        <v>175055</v>
      </c>
      <c r="E145" s="3"/>
      <c r="F145" s="20">
        <f>IF(D$12=0,0,D145/D$12)</f>
        <v>0.36725163919518955</v>
      </c>
      <c r="G145" s="3"/>
      <c r="H145" s="3">
        <f>--175014.7</f>
        <v>175014.7</v>
      </c>
      <c r="I145" s="3"/>
      <c r="J145" s="20">
        <f>IF(H$12=0,0,H145/H$12)</f>
        <v>1.2264070489918277</v>
      </c>
      <c r="K145" s="3"/>
      <c r="L145" s="3">
        <f>+D145-H145</f>
        <v>40.299999999988358</v>
      </c>
      <c r="M145" s="3"/>
      <c r="N145" s="20">
        <f>IF(H145=0,0,L145/H145)</f>
        <v>2.3026637191040728E-4</v>
      </c>
      <c r="O145" s="12"/>
      <c r="P145" s="3">
        <f>--254830.7</f>
        <v>254830.7</v>
      </c>
      <c r="Q145" s="3"/>
      <c r="R145" s="20">
        <f>IF(P$12=0,0,P145/P$12)</f>
        <v>8.5077960634369162E-2</v>
      </c>
      <c r="S145" s="3"/>
      <c r="T145" s="3">
        <f>--346434.46</f>
        <v>346434.46</v>
      </c>
      <c r="U145" s="3"/>
      <c r="V145" s="20">
        <f>IF(T$12=0,0,T145/T$12)</f>
        <v>0.27287006773301981</v>
      </c>
      <c r="W145" s="3"/>
      <c r="X145" s="3">
        <f>+P145-T145</f>
        <v>-91603.760000000009</v>
      </c>
      <c r="Y145" s="3"/>
      <c r="Z145" s="20">
        <f>IF(T145=0,0,X145/T145)</f>
        <v>-0.26441873016904843</v>
      </c>
    </row>
    <row r="146" spans="1:26" ht="15" customHeight="1" x14ac:dyDescent="0.3">
      <c r="A146" s="10"/>
      <c r="B146" s="11"/>
      <c r="C146" s="11"/>
      <c r="D146" s="4"/>
      <c r="E146" s="4"/>
      <c r="F146" s="9"/>
      <c r="G146" s="4"/>
      <c r="H146" s="4"/>
      <c r="I146" s="4"/>
      <c r="J146" s="9"/>
      <c r="K146" s="4"/>
      <c r="L146" s="4"/>
      <c r="M146" s="4"/>
      <c r="N146" s="9"/>
      <c r="O146" s="11"/>
      <c r="P146" s="4"/>
      <c r="Q146" s="4"/>
      <c r="R146" s="9"/>
      <c r="S146" s="4"/>
      <c r="T146" s="4"/>
      <c r="U146" s="4"/>
      <c r="V146" s="9"/>
      <c r="W146" s="4"/>
      <c r="X146" s="4"/>
      <c r="Y146" s="4"/>
      <c r="Z146" s="9"/>
    </row>
    <row r="147" spans="1:26" s="62" customFormat="1" ht="15" customHeight="1" x14ac:dyDescent="0.3">
      <c r="A147" s="11"/>
      <c r="B147" s="27" t="s">
        <v>291</v>
      </c>
      <c r="C147" s="27"/>
      <c r="D147" s="22">
        <f>+D83-D85+D143</f>
        <v>359392.98999999987</v>
      </c>
      <c r="E147" s="15"/>
      <c r="F147" s="21">
        <f>IF(D$12=0,0,D147/D$12)</f>
        <v>0.75397826221907582</v>
      </c>
      <c r="G147" s="15"/>
      <c r="H147" s="22">
        <f>+H83-H85+H143</f>
        <v>196567.66</v>
      </c>
      <c r="I147" s="15"/>
      <c r="J147" s="21">
        <f>IF(H$12=0,0,H147/H$12)</f>
        <v>1.377438374192733</v>
      </c>
      <c r="K147" s="17"/>
      <c r="L147" s="22">
        <f>+D147-H147</f>
        <v>162825.32999999987</v>
      </c>
      <c r="M147" s="17"/>
      <c r="N147" s="21">
        <f>IF(H147=0,0,L147/H147)</f>
        <v>0.82834241400645392</v>
      </c>
      <c r="O147" s="28"/>
      <c r="P147" s="22">
        <f>+P83-P85+P143</f>
        <v>1160280.92</v>
      </c>
      <c r="Q147" s="15"/>
      <c r="R147" s="21">
        <f>IF(P$12=0,0,P147/P$12)</f>
        <v>0.38737222177928177</v>
      </c>
      <c r="S147" s="15"/>
      <c r="T147" s="22">
        <f>+T83-T85+T143</f>
        <v>506178.23000000027</v>
      </c>
      <c r="U147" s="15"/>
      <c r="V147" s="21">
        <f>IF(T$12=0,0,T147/T$12)</f>
        <v>0.39869269328772938</v>
      </c>
      <c r="W147" s="17"/>
      <c r="X147" s="22">
        <f>+P147-T147</f>
        <v>654102.68999999971</v>
      </c>
      <c r="Y147" s="17"/>
      <c r="Z147" s="21">
        <f>IF(T147=0,0,X147/T147)</f>
        <v>1.2922378941504444</v>
      </c>
    </row>
    <row r="148" spans="1:26" ht="15" customHeight="1" x14ac:dyDescent="0.3">
      <c r="A148" s="10"/>
      <c r="B148" s="11"/>
      <c r="C148" s="10"/>
      <c r="D148" s="4"/>
      <c r="E148" s="4"/>
      <c r="F148" s="9"/>
      <c r="G148" s="4"/>
      <c r="H148" s="4"/>
      <c r="I148" s="4"/>
      <c r="J148" s="9"/>
      <c r="K148" s="4"/>
      <c r="L148" s="4"/>
      <c r="M148" s="4"/>
      <c r="N148" s="9"/>
      <c r="P148" s="4"/>
      <c r="Q148" s="4"/>
      <c r="R148" s="9"/>
      <c r="S148" s="4"/>
      <c r="T148" s="4"/>
      <c r="U148" s="4"/>
      <c r="V148" s="9"/>
      <c r="W148" s="4"/>
      <c r="X148" s="4"/>
      <c r="Y148" s="4"/>
      <c r="Z148" s="9"/>
    </row>
    <row r="149" spans="1:26" s="62" customFormat="1" ht="15" customHeight="1" x14ac:dyDescent="0.3">
      <c r="A149" s="48"/>
      <c r="B149" s="11" t="s">
        <v>292</v>
      </c>
      <c r="C149" s="11"/>
      <c r="D149" s="5">
        <v>43098.75</v>
      </c>
      <c r="E149" s="5"/>
      <c r="F149" s="13">
        <f>IF(D$12=0,0,D149/D$12)</f>
        <v>9.0417792035438427E-2</v>
      </c>
      <c r="G149" s="5"/>
      <c r="H149" s="5">
        <v>38488.269999999997</v>
      </c>
      <c r="I149" s="5"/>
      <c r="J149" s="13">
        <f>IF(H$12=0,0,H149/H$12)</f>
        <v>0.26970469127165136</v>
      </c>
      <c r="K149" s="5"/>
      <c r="L149" s="5">
        <f>+D149-H149</f>
        <v>4610.4800000000032</v>
      </c>
      <c r="M149" s="5"/>
      <c r="N149" s="13">
        <f>IF(H149=0,0,L149/H149)</f>
        <v>0.11978922409347065</v>
      </c>
      <c r="O149" s="11"/>
      <c r="P149" s="5">
        <v>357477.06</v>
      </c>
      <c r="Q149" s="5"/>
      <c r="R149" s="13">
        <f>IF(P$12=0,0,P149/P$12)</f>
        <v>0.11934754815008561</v>
      </c>
      <c r="S149" s="5"/>
      <c r="T149" s="5">
        <v>261652.74</v>
      </c>
      <c r="U149" s="5"/>
      <c r="V149" s="13">
        <f>IF(T$12=0,0,T149/T$12)</f>
        <v>0.20609150973702275</v>
      </c>
      <c r="W149" s="5"/>
      <c r="X149" s="5">
        <f>+P149-T149</f>
        <v>95824.320000000007</v>
      </c>
      <c r="Y149" s="5"/>
      <c r="Z149" s="13">
        <f>IF(T149=0,0,X149/T149)</f>
        <v>0.36622708403512233</v>
      </c>
    </row>
    <row r="150" spans="1:26" ht="15" customHeight="1" x14ac:dyDescent="0.3">
      <c r="A150" s="10"/>
      <c r="B150" s="11"/>
      <c r="C150" s="11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O150" s="11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2" customFormat="1" ht="15" customHeight="1" x14ac:dyDescent="0.3">
      <c r="A151" s="11"/>
      <c r="B151" s="27" t="s">
        <v>293</v>
      </c>
      <c r="C151" s="27"/>
      <c r="D151" s="34">
        <f>+D147-D149</f>
        <v>316294.23999999987</v>
      </c>
      <c r="E151" s="15"/>
      <c r="F151" s="33">
        <f>IF(D$12=0,0,D151/D$12)</f>
        <v>0.6635604701836374</v>
      </c>
      <c r="G151" s="15"/>
      <c r="H151" s="34">
        <f>+H147-H149</f>
        <v>158079.39000000001</v>
      </c>
      <c r="I151" s="15"/>
      <c r="J151" s="33">
        <f>IF(H$12=0,0,H151/H$12)</f>
        <v>1.1077336829210818</v>
      </c>
      <c r="K151" s="17"/>
      <c r="L151" s="34">
        <f>D151-H151</f>
        <v>158214.84999999986</v>
      </c>
      <c r="M151" s="17"/>
      <c r="N151" s="33">
        <f>IF(H151=0,0,L151/H151)</f>
        <v>1.0008569112013896</v>
      </c>
      <c r="O151" s="28"/>
      <c r="P151" s="34">
        <f>+P147-P149</f>
        <v>802803.85999999987</v>
      </c>
      <c r="Q151" s="15"/>
      <c r="R151" s="33">
        <f>IF(P$12=0,0,P151/P$12)</f>
        <v>0.26802467362919619</v>
      </c>
      <c r="S151" s="15"/>
      <c r="T151" s="34">
        <f>+T147-T149</f>
        <v>244525.49000000028</v>
      </c>
      <c r="U151" s="15"/>
      <c r="V151" s="33">
        <f>IF(T$12=0,0,T151/T$12)</f>
        <v>0.19260118355070663</v>
      </c>
      <c r="W151" s="17"/>
      <c r="X151" s="34">
        <f>P151-T151</f>
        <v>558278.36999999965</v>
      </c>
      <c r="Y151" s="17"/>
      <c r="Z151" s="33">
        <f>IF(T151=0,0,X151/T151)</f>
        <v>2.2831090942706997</v>
      </c>
    </row>
    <row r="152" spans="1:26" ht="15" customHeight="1" x14ac:dyDescent="0.3">
      <c r="A152" s="10"/>
      <c r="B152" s="10"/>
      <c r="C152" s="10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ht="15" customHeight="1" x14ac:dyDescent="0.3">
      <c r="A153" s="10"/>
      <c r="B153" s="10"/>
      <c r="C153" s="10"/>
      <c r="D153" s="4"/>
      <c r="E153" s="4"/>
      <c r="F153" s="9"/>
      <c r="G153" s="4"/>
      <c r="H153" s="4"/>
      <c r="I153" s="4"/>
      <c r="J153" s="9"/>
      <c r="K153" s="4"/>
      <c r="L153" s="4"/>
      <c r="M153" s="4"/>
      <c r="N153" s="9"/>
      <c r="P153" s="4"/>
      <c r="Q153" s="4"/>
      <c r="R153" s="9"/>
      <c r="S153" s="4"/>
      <c r="T153" s="4"/>
      <c r="U153" s="4"/>
      <c r="V153" s="9"/>
      <c r="W153" s="4"/>
      <c r="X153" s="4"/>
      <c r="Y153" s="4"/>
      <c r="Z153" s="9"/>
    </row>
    <row r="154" spans="1:26" s="62" customFormat="1" ht="15" customHeight="1" x14ac:dyDescent="0.3">
      <c r="A154" s="11"/>
      <c r="B154" s="27" t="s">
        <v>296</v>
      </c>
      <c r="C154" s="27"/>
      <c r="D154" s="31">
        <f>SUM(D151:D153)</f>
        <v>316294.23999999987</v>
      </c>
      <c r="E154" s="15"/>
      <c r="F154" s="32">
        <f>IF(D$12=0,0,D154/D$12)</f>
        <v>0.6635604701836374</v>
      </c>
      <c r="G154" s="15"/>
      <c r="H154" s="31">
        <f>SUM(H151:H153)</f>
        <v>158079.39000000001</v>
      </c>
      <c r="I154" s="15"/>
      <c r="J154" s="32">
        <f>IF(H$12=0,0,H154/H$12)</f>
        <v>1.1077336829210818</v>
      </c>
      <c r="K154" s="17"/>
      <c r="L154" s="31">
        <f>+D154-H154</f>
        <v>158214.84999999986</v>
      </c>
      <c r="M154" s="17"/>
      <c r="N154" s="32">
        <f>IF(H154=0,0,L154/H154)</f>
        <v>1.0008569112013896</v>
      </c>
      <c r="O154" s="28"/>
      <c r="P154" s="31">
        <f>SUM(P151:P153)</f>
        <v>802803.85999999987</v>
      </c>
      <c r="Q154" s="15"/>
      <c r="R154" s="32">
        <f>IF(P$12=0,0,P154/P$12)</f>
        <v>0.26802467362919619</v>
      </c>
      <c r="S154" s="15"/>
      <c r="T154" s="31">
        <f>SUM(T151:T153)</f>
        <v>244525.49000000028</v>
      </c>
      <c r="U154" s="15"/>
      <c r="V154" s="32">
        <f>IF(T$12=0,0,T154/T$12)</f>
        <v>0.19260118355070663</v>
      </c>
      <c r="W154" s="17"/>
      <c r="X154" s="31">
        <f>+P154-T154</f>
        <v>558278.36999999965</v>
      </c>
      <c r="Y154" s="17"/>
      <c r="Z154" s="32">
        <f>IF(T154=0,0,X154/T154)</f>
        <v>2.2831090942706997</v>
      </c>
    </row>
    <row r="155" spans="1:26" ht="15" customHeight="1" x14ac:dyDescent="0.3">
      <c r="A155" s="10"/>
      <c r="C155" s="10"/>
      <c r="D155" s="19"/>
      <c r="E155" s="19"/>
      <c r="G155" s="19"/>
      <c r="H155" s="19"/>
      <c r="I155" s="19"/>
      <c r="J155" s="40"/>
      <c r="K155" s="19"/>
      <c r="L155" s="19"/>
      <c r="M155" s="19"/>
      <c r="P155" s="19"/>
      <c r="Q155" s="19"/>
      <c r="R155" s="40"/>
      <c r="S155" s="19"/>
      <c r="T155" s="19"/>
      <c r="U155" s="19"/>
      <c r="V155" s="40"/>
      <c r="W155" s="19"/>
      <c r="X155" s="19"/>
    </row>
    <row r="156" spans="1:26" ht="15" customHeight="1" x14ac:dyDescent="0.3">
      <c r="A156" s="10"/>
      <c r="B156" s="56">
        <v>44663.03859679398</v>
      </c>
      <c r="D156" s="19"/>
      <c r="E156" s="19"/>
      <c r="G156" s="19"/>
      <c r="H156" s="19"/>
      <c r="I156" s="19"/>
      <c r="J156" s="40"/>
      <c r="K156" s="19"/>
      <c r="L156" s="19"/>
      <c r="M156" s="19"/>
      <c r="P156" s="19"/>
      <c r="Q156" s="19"/>
      <c r="R156" s="40"/>
      <c r="S156" s="19"/>
      <c r="T156" s="19"/>
      <c r="U156" s="19"/>
      <c r="V156" s="40"/>
      <c r="W156" s="19"/>
      <c r="X156" s="19"/>
    </row>
    <row r="157" spans="1:26" ht="15" customHeight="1" x14ac:dyDescent="0.3">
      <c r="A157" s="10"/>
      <c r="B157" s="57" t="s">
        <v>297</v>
      </c>
      <c r="D157" s="19"/>
      <c r="E157" s="19"/>
      <c r="G157" s="19"/>
      <c r="H157" s="19"/>
      <c r="I157" s="19"/>
      <c r="J157" s="40"/>
      <c r="K157" s="19"/>
      <c r="L157" s="19"/>
      <c r="M157" s="19"/>
      <c r="P157" s="19"/>
      <c r="Q157" s="19"/>
      <c r="R157" s="40"/>
      <c r="S157" s="19"/>
      <c r="T157" s="19"/>
      <c r="U157" s="19"/>
      <c r="V157" s="40"/>
      <c r="W157" s="19"/>
      <c r="X157" s="19"/>
    </row>
    <row r="158" spans="1:26" ht="15" customHeight="1" x14ac:dyDescent="0.3">
      <c r="A158" s="10"/>
      <c r="B158" s="58"/>
      <c r="D158" s="19"/>
      <c r="E158" s="19"/>
      <c r="G158" s="19"/>
      <c r="H158" s="19"/>
      <c r="I158" s="19"/>
      <c r="J158" s="40"/>
      <c r="K158" s="19"/>
      <c r="L158" s="19"/>
      <c r="M158" s="19"/>
      <c r="P158" s="19"/>
      <c r="Q158" s="19"/>
      <c r="R158" s="40"/>
      <c r="S158" s="19"/>
      <c r="T158" s="19"/>
      <c r="U158" s="19"/>
      <c r="V158" s="40"/>
      <c r="W158" s="19"/>
      <c r="X158" s="19"/>
    </row>
    <row r="159" spans="1:26" ht="15" customHeight="1" x14ac:dyDescent="0.3">
      <c r="D159" s="19"/>
      <c r="E159" s="19"/>
      <c r="G159" s="19"/>
      <c r="H159" s="19"/>
      <c r="I159" s="19"/>
      <c r="J159" s="40"/>
      <c r="K159" s="19"/>
      <c r="L159" s="19"/>
      <c r="M159" s="19"/>
      <c r="P159" s="19"/>
      <c r="Q159" s="19"/>
      <c r="R159" s="40"/>
      <c r="S159" s="19"/>
      <c r="T159" s="19"/>
      <c r="U159" s="19"/>
      <c r="V159" s="40"/>
      <c r="W159" s="19"/>
      <c r="X15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0E59-523D-74D2-043E-A52910B15F93}">
  <sheetPr>
    <tabColor rgb="FF92D050"/>
    <outlinePr summaryBelow="0" summaryRight="0"/>
  </sheetPr>
  <dimension ref="A2:Z12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","326"," - ","2nd Street Store")</f>
        <v>Department 326 - 2nd Street Store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32632.690000000002</v>
      </c>
      <c r="E12" s="5"/>
      <c r="F12" s="13"/>
      <c r="G12" s="5"/>
      <c r="H12" s="5">
        <f>SUM(OSRRefH13x_0)</f>
        <v>24047.499999999993</v>
      </c>
      <c r="I12" s="5"/>
      <c r="J12" s="13"/>
      <c r="K12" s="5"/>
      <c r="L12" s="5">
        <f t="shared" ref="L12:L36" si="0">+D12-H12</f>
        <v>8585.1900000000096</v>
      </c>
      <c r="M12" s="5"/>
      <c r="N12" s="13">
        <f t="shared" ref="N12:N36" si="1">IF(H12=0,0,L12/H12)</f>
        <v>0.35700966836469539</v>
      </c>
      <c r="O12" s="11"/>
      <c r="P12" s="5">
        <f>SUM(OSRRefP13x_0)</f>
        <v>290774.32000000007</v>
      </c>
      <c r="Q12" s="5"/>
      <c r="R12" s="13"/>
      <c r="S12" s="5"/>
      <c r="T12" s="5">
        <f>SUM(OSRRefT13x_0)</f>
        <v>208285.91999999998</v>
      </c>
      <c r="U12" s="5"/>
      <c r="V12" s="13"/>
      <c r="W12" s="5"/>
      <c r="X12" s="5">
        <f t="shared" ref="X12:X36" si="2">+P12-T12</f>
        <v>82488.400000000081</v>
      </c>
      <c r="Y12" s="5"/>
      <c r="Z12" s="13">
        <f t="shared" ref="Z12:Z36" si="3">IF(T12=0,0,X12/T12)</f>
        <v>0.39603445110452057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--34131.55</f>
        <v>34131.550000000003</v>
      </c>
      <c r="E13" s="3"/>
      <c r="F13" s="20"/>
      <c r="G13" s="3"/>
      <c r="H13" s="3">
        <f>-458.77</f>
        <v>-458.77</v>
      </c>
      <c r="I13" s="3"/>
      <c r="J13" s="20"/>
      <c r="K13" s="3"/>
      <c r="L13" s="3">
        <f t="shared" si="0"/>
        <v>34590.32</v>
      </c>
      <c r="M13" s="3"/>
      <c r="N13" s="20">
        <f t="shared" si="1"/>
        <v>-75.397955402489274</v>
      </c>
      <c r="O13" s="12"/>
      <c r="P13" s="3">
        <f>--308529.65</f>
        <v>308529.65000000002</v>
      </c>
      <c r="Q13" s="3"/>
      <c r="R13" s="20"/>
      <c r="S13" s="3"/>
      <c r="T13" s="3">
        <f>-5502.51</f>
        <v>-5502.51</v>
      </c>
      <c r="U13" s="3"/>
      <c r="V13" s="20"/>
      <c r="W13" s="3"/>
      <c r="X13" s="3">
        <f t="shared" si="2"/>
        <v>314032.16000000003</v>
      </c>
      <c r="Y13" s="3"/>
      <c r="Z13" s="20">
        <f t="shared" si="3"/>
        <v>-57.070711366267396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--16.37</f>
        <v>16.37</v>
      </c>
      <c r="I14" s="3"/>
      <c r="J14" s="20"/>
      <c r="K14" s="3"/>
      <c r="L14" s="3">
        <f t="shared" si="0"/>
        <v>-16.37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--225.25</f>
        <v>225.25</v>
      </c>
      <c r="U14" s="3"/>
      <c r="V14" s="20"/>
      <c r="W14" s="3"/>
      <c r="X14" s="3">
        <f t="shared" si="2"/>
        <v>-225.25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--59.17</f>
        <v>59.17</v>
      </c>
      <c r="I15" s="3"/>
      <c r="J15" s="20"/>
      <c r="K15" s="3"/>
      <c r="L15" s="3">
        <f t="shared" si="0"/>
        <v>-59.17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--393.05</f>
        <v>393.05</v>
      </c>
      <c r="U15" s="3"/>
      <c r="V15" s="20"/>
      <c r="W15" s="3"/>
      <c r="X15" s="3">
        <f t="shared" si="2"/>
        <v>-393.05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--29.24</f>
        <v>29.24</v>
      </c>
      <c r="U16" s="3"/>
      <c r="V16" s="20"/>
      <c r="W16" s="3"/>
      <c r="X16" s="3">
        <f t="shared" si="2"/>
        <v>-29.24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","4040"," - ","TAXABLE SALES-LOGO CLOTHING")</f>
        <v xml:space="preserve">          4040 - TAXABLE SALES-LOGO CLOTHING</v>
      </c>
      <c r="C17" s="12"/>
      <c r="D17" s="3">
        <f>0</f>
        <v>0</v>
      </c>
      <c r="E17" s="3"/>
      <c r="F17" s="20"/>
      <c r="G17" s="3"/>
      <c r="H17" s="3">
        <f>--19717.6</f>
        <v>19717.599999999999</v>
      </c>
      <c r="I17" s="3"/>
      <c r="J17" s="20"/>
      <c r="K17" s="3"/>
      <c r="L17" s="3">
        <f t="shared" si="0"/>
        <v>-19717.599999999999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--173457.64</f>
        <v>173457.64</v>
      </c>
      <c r="U17" s="3"/>
      <c r="V17" s="20"/>
      <c r="W17" s="3"/>
      <c r="X17" s="3">
        <f t="shared" si="2"/>
        <v>-173457.64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","4041"," - ","TAXABLE SALES-LOGO GIFTS")</f>
        <v xml:space="preserve">          4041 - TAXABLE SALES-LOGO GIFTS</v>
      </c>
      <c r="C18" s="12"/>
      <c r="D18" s="3">
        <f>0</f>
        <v>0</v>
      </c>
      <c r="E18" s="3"/>
      <c r="F18" s="20"/>
      <c r="G18" s="3"/>
      <c r="H18" s="3">
        <f>--2923.25</f>
        <v>2923.25</v>
      </c>
      <c r="I18" s="3"/>
      <c r="J18" s="20"/>
      <c r="K18" s="3"/>
      <c r="L18" s="3">
        <f t="shared" si="0"/>
        <v>-2923.25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--26837.34</f>
        <v>26837.34</v>
      </c>
      <c r="U18" s="3"/>
      <c r="V18" s="20"/>
      <c r="W18" s="3"/>
      <c r="X18" s="3">
        <f t="shared" si="2"/>
        <v>-26837.34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","4042"," - ","TAXABLE SALES-EVERYDAY GIFTS")</f>
        <v xml:space="preserve">          4042 - TAXABLE SALES-EVERYDAY GIFTS</v>
      </c>
      <c r="C19" s="12"/>
      <c r="D19" s="3">
        <f>0</f>
        <v>0</v>
      </c>
      <c r="E19" s="3"/>
      <c r="F19" s="20"/>
      <c r="G19" s="3"/>
      <c r="H19" s="3">
        <f>--1309.35</f>
        <v>1309.3499999999999</v>
      </c>
      <c r="I19" s="3"/>
      <c r="J19" s="20"/>
      <c r="K19" s="3"/>
      <c r="L19" s="3">
        <f t="shared" si="0"/>
        <v>-1309.3499999999999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--8219.03</f>
        <v>8219.0300000000007</v>
      </c>
      <c r="U19" s="3"/>
      <c r="V19" s="20"/>
      <c r="W19" s="3"/>
      <c r="X19" s="3">
        <f t="shared" si="2"/>
        <v>-8219.0300000000007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","4043"," - ","TAXABLE SALES-CARDS")</f>
        <v xml:space="preserve">          4043 - TAXABLE SALES-CARDS</v>
      </c>
      <c r="C20" s="12"/>
      <c r="D20" s="3">
        <f>0</f>
        <v>0</v>
      </c>
      <c r="E20" s="3"/>
      <c r="F20" s="20"/>
      <c r="G20" s="3"/>
      <c r="H20" s="3">
        <f>--1132.96</f>
        <v>1132.96</v>
      </c>
      <c r="I20" s="3"/>
      <c r="J20" s="20"/>
      <c r="K20" s="3"/>
      <c r="L20" s="3">
        <f t="shared" si="0"/>
        <v>-1132.96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--10689.9</f>
        <v>10689.9</v>
      </c>
      <c r="U20" s="3"/>
      <c r="V20" s="20"/>
      <c r="W20" s="3"/>
      <c r="X20" s="3">
        <f t="shared" si="2"/>
        <v>-10689.9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","4044"," - ","TAXABLE SALES-ACCESSORIES")</f>
        <v xml:space="preserve">          4044 - TAXABLE SALES-ACCESSORIES</v>
      </c>
      <c r="C21" s="12"/>
      <c r="D21" s="3">
        <f>0</f>
        <v>0</v>
      </c>
      <c r="E21" s="3"/>
      <c r="F21" s="20"/>
      <c r="G21" s="3"/>
      <c r="H21" s="3">
        <f>--140.64</f>
        <v>140.63999999999999</v>
      </c>
      <c r="I21" s="3"/>
      <c r="J21" s="20"/>
      <c r="K21" s="3"/>
      <c r="L21" s="3">
        <f t="shared" si="0"/>
        <v>-140.63999999999999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--2311.39</f>
        <v>2311.39</v>
      </c>
      <c r="U21" s="3"/>
      <c r="V21" s="20"/>
      <c r="W21" s="3"/>
      <c r="X21" s="3">
        <f t="shared" si="2"/>
        <v>-2311.39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","4045"," - ","TAXABLE SALES-SPECIAL ORDERS")</f>
        <v xml:space="preserve">          4045 - TAXABLE SALES-SPECIAL ORDERS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--326.37</f>
        <v>326.37</v>
      </c>
      <c r="U22" s="3"/>
      <c r="V22" s="20"/>
      <c r="W22" s="3"/>
      <c r="X22" s="3">
        <f t="shared" si="2"/>
        <v>-326.37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","4100"," - ","NON-TAXABLE SALES")</f>
        <v xml:space="preserve">          4100 - NON-TAXABLE SALES</v>
      </c>
      <c r="C23" s="12"/>
      <c r="D23" s="3">
        <f>--42.71</f>
        <v>42.71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42.71</v>
      </c>
      <c r="M23" s="3"/>
      <c r="N23" s="20">
        <f t="shared" si="1"/>
        <v>0</v>
      </c>
      <c r="O23" s="12"/>
      <c r="P23" s="3">
        <f>--229</f>
        <v>229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229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","4131"," - ","NON-TAXABLE SALES-FOOD")</f>
        <v xml:space="preserve">          4131 - NON-TAXABLE SALES-FOOD</v>
      </c>
      <c r="C24" s="12"/>
      <c r="D24" s="3">
        <f>0</f>
        <v>0</v>
      </c>
      <c r="E24" s="3"/>
      <c r="F24" s="20"/>
      <c r="G24" s="3"/>
      <c r="H24" s="3">
        <f>--3</f>
        <v>3</v>
      </c>
      <c r="I24" s="3"/>
      <c r="J24" s="20"/>
      <c r="K24" s="3"/>
      <c r="L24" s="3">
        <f t="shared" si="0"/>
        <v>-3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--45</f>
        <v>45</v>
      </c>
      <c r="U24" s="3"/>
      <c r="V24" s="20"/>
      <c r="W24" s="3"/>
      <c r="X24" s="3">
        <f t="shared" si="2"/>
        <v>-45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","4137"," - ","NON-TAXABLE SALES-WATER")</f>
        <v xml:space="preserve">          4137 - NON-TAXABLE SALES-WATER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--9</f>
        <v>9</v>
      </c>
      <c r="U25" s="3"/>
      <c r="V25" s="20"/>
      <c r="W25" s="3"/>
      <c r="X25" s="3">
        <f t="shared" si="2"/>
        <v>-9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","4140"," - ","NON-TAXABLE SALES-LOGO CLOTHIN")</f>
        <v xml:space="preserve">          4140 - NON-TAXABLE SALES-LOGO CLOTHIN</v>
      </c>
      <c r="C26" s="12"/>
      <c r="D26" s="3">
        <f>0</f>
        <v>0</v>
      </c>
      <c r="E26" s="3"/>
      <c r="F26" s="20"/>
      <c r="G26" s="3"/>
      <c r="H26" s="3">
        <f>--33.71</f>
        <v>33.71</v>
      </c>
      <c r="I26" s="3"/>
      <c r="J26" s="20"/>
      <c r="K26" s="3"/>
      <c r="L26" s="3">
        <f t="shared" si="0"/>
        <v>-33.71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--199.49</f>
        <v>199.49</v>
      </c>
      <c r="U26" s="3"/>
      <c r="V26" s="20"/>
      <c r="W26" s="3"/>
      <c r="X26" s="3">
        <f t="shared" si="2"/>
        <v>-199.49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","4145"," - ","NON-TAXABLE SALES-SPECIAL ORDE")</f>
        <v xml:space="preserve">          4145 - NON-TAXABLE SALES-SPECIAL ORDE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</f>
        <v>7</v>
      </c>
      <c r="U27" s="3"/>
      <c r="V27" s="20"/>
      <c r="W27" s="3"/>
      <c r="X27" s="3">
        <f t="shared" si="2"/>
        <v>-7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-970.72</f>
        <v>-970.72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-970.72</v>
      </c>
      <c r="M28" s="3"/>
      <c r="N28" s="20">
        <f t="shared" si="1"/>
        <v>0</v>
      </c>
      <c r="O28" s="12"/>
      <c r="P28" s="3">
        <f>-11798.91</f>
        <v>-11798.91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-11798.91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","4226"," - ","SALES RETURN TAXABLE-WRITING I")</f>
        <v xml:space="preserve">          4226 - SALES RETURN TAXABLE-WRITING I</v>
      </c>
      <c r="C29" s="12"/>
      <c r="D29" s="3">
        <f>0</f>
        <v>0</v>
      </c>
      <c r="E29" s="3"/>
      <c r="F29" s="20"/>
      <c r="G29" s="3"/>
      <c r="H29" s="3">
        <f>0</f>
        <v>0</v>
      </c>
      <c r="I29" s="3"/>
      <c r="J29" s="20"/>
      <c r="K29" s="3"/>
      <c r="L29" s="3">
        <f t="shared" si="0"/>
        <v>0</v>
      </c>
      <c r="M29" s="3"/>
      <c r="N29" s="20">
        <f t="shared" si="1"/>
        <v>0</v>
      </c>
      <c r="O29" s="12"/>
      <c r="P29" s="3">
        <f>0</f>
        <v>0</v>
      </c>
      <c r="Q29" s="3"/>
      <c r="R29" s="20"/>
      <c r="S29" s="3"/>
      <c r="T29" s="3">
        <f>-27.85</f>
        <v>-27.85</v>
      </c>
      <c r="U29" s="3"/>
      <c r="V29" s="20"/>
      <c r="W29" s="3"/>
      <c r="X29" s="3">
        <f t="shared" si="2"/>
        <v>27.85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","4227"," - ","SALES RETURN TAXABLE-SCHOOL SU")</f>
        <v xml:space="preserve">          4227 - SALES RETURN TAXABLE-SCHOOL SU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-43.21</f>
        <v>-43.21</v>
      </c>
      <c r="U30" s="3"/>
      <c r="V30" s="20"/>
      <c r="W30" s="3"/>
      <c r="X30" s="3">
        <f t="shared" si="2"/>
        <v>43.21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","4240"," - ","SALES RETURN TAXABLE-LOGO CLOT")</f>
        <v xml:space="preserve">          4240 - SALES RETURN TAXABLE-LOGO CLOT</v>
      </c>
      <c r="C31" s="12"/>
      <c r="D31" s="3">
        <f>0</f>
        <v>0</v>
      </c>
      <c r="E31" s="3"/>
      <c r="F31" s="20"/>
      <c r="G31" s="3"/>
      <c r="H31" s="3">
        <f>-615.04</f>
        <v>-615.04</v>
      </c>
      <c r="I31" s="3"/>
      <c r="J31" s="20"/>
      <c r="K31" s="3"/>
      <c r="L31" s="3">
        <f t="shared" si="0"/>
        <v>615.04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-7951.32</f>
        <v>-7951.32</v>
      </c>
      <c r="U31" s="3"/>
      <c r="V31" s="20"/>
      <c r="W31" s="3"/>
      <c r="X31" s="3">
        <f t="shared" si="2"/>
        <v>7951.32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","4241"," - ","SALES RETURN TAXABLE-LOGO GIFT")</f>
        <v xml:space="preserve">          4241 - SALES RETURN TAXABLE-LOGO GIFT</v>
      </c>
      <c r="C32" s="12"/>
      <c r="D32" s="3">
        <f>0</f>
        <v>0</v>
      </c>
      <c r="E32" s="3"/>
      <c r="F32" s="20"/>
      <c r="G32" s="3"/>
      <c r="H32" s="3">
        <f>-171.84</f>
        <v>-171.84</v>
      </c>
      <c r="I32" s="3"/>
      <c r="J32" s="20"/>
      <c r="K32" s="3"/>
      <c r="L32" s="3">
        <f t="shared" si="0"/>
        <v>171.84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-562.95</f>
        <v>-562.95000000000005</v>
      </c>
      <c r="U32" s="3"/>
      <c r="V32" s="20"/>
      <c r="W32" s="3"/>
      <c r="X32" s="3">
        <f t="shared" si="2"/>
        <v>562.95000000000005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","4242"," - ","SALES RETURN TAXABLE-EVERYDAY")</f>
        <v xml:space="preserve">          4242 - SALES RETURN TAXABLE-EVERYDAY</v>
      </c>
      <c r="C33" s="12"/>
      <c r="D33" s="3">
        <f>0</f>
        <v>0</v>
      </c>
      <c r="E33" s="3"/>
      <c r="F33" s="20"/>
      <c r="G33" s="3"/>
      <c r="H33" s="3">
        <f>-29.95</f>
        <v>-29.95</v>
      </c>
      <c r="I33" s="3"/>
      <c r="J33" s="20"/>
      <c r="K33" s="3"/>
      <c r="L33" s="3">
        <f t="shared" si="0"/>
        <v>29.95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-326.06</f>
        <v>-326.06</v>
      </c>
      <c r="U33" s="3"/>
      <c r="V33" s="20"/>
      <c r="W33" s="3"/>
      <c r="X33" s="3">
        <f t="shared" si="2"/>
        <v>326.06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","4244"," - ","SALES RETURN TAXABLE-ACCESSORI")</f>
        <v xml:space="preserve">          4244 - SALES RETURN TAXABLE-ACCESSORI</v>
      </c>
      <c r="C34" s="12"/>
      <c r="D34" s="3">
        <f>0</f>
        <v>0</v>
      </c>
      <c r="E34" s="3"/>
      <c r="F34" s="20"/>
      <c r="G34" s="3"/>
      <c r="H34" s="3">
        <f>-12.95</f>
        <v>-12.95</v>
      </c>
      <c r="I34" s="3"/>
      <c r="J34" s="20"/>
      <c r="K34" s="3"/>
      <c r="L34" s="3">
        <f t="shared" si="0"/>
        <v>12.95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-42.88</f>
        <v>-42.88</v>
      </c>
      <c r="U34" s="3"/>
      <c r="V34" s="20"/>
      <c r="W34" s="3"/>
      <c r="X34" s="3">
        <f t="shared" si="2"/>
        <v>42.88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","4245"," - ","SALES RETURN TAXABLE-SPECIAL O")</f>
        <v xml:space="preserve">          4245 - SALES RETURN TAXABLE-SPECIAL O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-7</f>
        <v>-7</v>
      </c>
      <c r="U35" s="3"/>
      <c r="V35" s="20"/>
      <c r="W35" s="3"/>
      <c r="X35" s="3">
        <f t="shared" si="2"/>
        <v>7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","4500"," - ","SALES DISCOUNT")</f>
        <v xml:space="preserve">          4500 - SALES DISCOUNT</v>
      </c>
      <c r="C36" s="12"/>
      <c r="D36" s="3">
        <f>-570.85</f>
        <v>-570.85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-570.85</v>
      </c>
      <c r="M36" s="3"/>
      <c r="N36" s="20">
        <f t="shared" si="1"/>
        <v>0</v>
      </c>
      <c r="O36" s="12"/>
      <c r="P36" s="3">
        <f>-6185.42</f>
        <v>-6185.42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-6185.42</v>
      </c>
      <c r="Y36" s="3"/>
      <c r="Z36" s="20">
        <f t="shared" si="3"/>
        <v>0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collapsed="1" x14ac:dyDescent="0.3">
      <c r="A38" s="11"/>
      <c r="B38" s="28" t="s">
        <v>287</v>
      </c>
      <c r="C38" s="11"/>
      <c r="D38" s="5">
        <f>SUM(OSRRefD16x_0)</f>
        <v>13553.29</v>
      </c>
      <c r="E38" s="5"/>
      <c r="F38" s="13">
        <f t="shared" ref="F38:F46" si="4">IF(D$12=0,0,D38/D$12)</f>
        <v>0.41532861679499911</v>
      </c>
      <c r="G38" s="5"/>
      <c r="H38" s="5">
        <f>SUM(OSRRefH16x_0)</f>
        <v>10821</v>
      </c>
      <c r="I38" s="5"/>
      <c r="J38" s="13">
        <f t="shared" ref="J38:J46" si="5">IF(H$12=0,0,H38/H$12)</f>
        <v>0.4499844058633955</v>
      </c>
      <c r="K38" s="5"/>
      <c r="L38" s="5">
        <f t="shared" ref="L38:L46" si="6">+D38-H38</f>
        <v>2732.2900000000009</v>
      </c>
      <c r="M38" s="5"/>
      <c r="N38" s="13">
        <f t="shared" ref="N38:N46" si="7">IF(H38=0,0,L38/H38)</f>
        <v>0.25249884483873958</v>
      </c>
      <c r="O38" s="11"/>
      <c r="P38" s="5">
        <f>SUM(OSRRefP16x_0)</f>
        <v>133610.98000000001</v>
      </c>
      <c r="Q38" s="5"/>
      <c r="R38" s="13">
        <f t="shared" ref="R38:R46" si="8">IF(P$12=0,0,P38/P$12)</f>
        <v>0.45950061889922045</v>
      </c>
      <c r="S38" s="5"/>
      <c r="T38" s="5">
        <f>SUM(OSRRefT16x_0)</f>
        <v>93095</v>
      </c>
      <c r="U38" s="5"/>
      <c r="V38" s="13">
        <f t="shared" ref="V38:V46" si="9">IF(T$12=0,0,T38/T$12)</f>
        <v>0.44695772042584542</v>
      </c>
      <c r="W38" s="5"/>
      <c r="X38" s="5">
        <f t="shared" ref="X38:X46" si="10">+P38-T38</f>
        <v>40515.98000000001</v>
      </c>
      <c r="Y38" s="5"/>
      <c r="Z38" s="13">
        <f t="shared" ref="Z38:Z46" si="11">IF(T38=0,0,X38/T38)</f>
        <v>0.43521112841720833</v>
      </c>
    </row>
    <row r="39" spans="1:26" s="69" customFormat="1" ht="15" hidden="1" customHeight="1" outlineLevel="1" x14ac:dyDescent="0.3">
      <c r="A39" s="42"/>
      <c r="B39" s="12" t="str">
        <f>CONCATENATE("          ","5000"," - ","PURCHASES @ COST")</f>
        <v xml:space="preserve">          5000 - PURCHASES @ COST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5388.9</v>
      </c>
      <c r="Q39" s="3"/>
      <c r="R39" s="20">
        <f t="shared" si="8"/>
        <v>1.8532929592957173E-2</v>
      </c>
      <c r="S39" s="3"/>
      <c r="T39" s="3"/>
      <c r="U39" s="3"/>
      <c r="V39" s="20">
        <f t="shared" si="9"/>
        <v>0</v>
      </c>
      <c r="W39" s="3"/>
      <c r="X39" s="3">
        <f t="shared" si="10"/>
        <v>5388.9</v>
      </c>
      <c r="Y39" s="3"/>
      <c r="Z39" s="20">
        <f t="shared" si="11"/>
        <v>0</v>
      </c>
    </row>
    <row r="40" spans="1:26" s="69" customFormat="1" ht="15" hidden="1" customHeight="1" outlineLevel="1" x14ac:dyDescent="0.3">
      <c r="A40" s="42"/>
      <c r="B40" s="12" t="str">
        <f>CONCATENATE("          ","5040"," - ","PURCHASES @ COST-LOGO CLOTHING")</f>
        <v xml:space="preserve">          5040 - PURCHASES @ COST-LOGO CLOTHING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/>
      <c r="Q40" s="3"/>
      <c r="R40" s="20">
        <f t="shared" si="8"/>
        <v>0</v>
      </c>
      <c r="S40" s="3"/>
      <c r="T40" s="3">
        <v>0</v>
      </c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69" customFormat="1" ht="15" hidden="1" customHeight="1" outlineLevel="1" x14ac:dyDescent="0.3">
      <c r="A41" s="42"/>
      <c r="B41" s="12" t="str">
        <f>CONCATENATE("          ","5041"," - ","PURCHASES @ COST-LOGO GIFTS")</f>
        <v xml:space="preserve">          5041 - PURCHASES @ COST-LOGO GIFTS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/>
      <c r="Q41" s="3"/>
      <c r="R41" s="20">
        <f t="shared" si="8"/>
        <v>0</v>
      </c>
      <c r="S41" s="3"/>
      <c r="T41" s="3">
        <v>207.6</v>
      </c>
      <c r="U41" s="3"/>
      <c r="V41" s="20">
        <f t="shared" si="9"/>
        <v>9.9670683452822927E-4</v>
      </c>
      <c r="W41" s="3"/>
      <c r="X41" s="3">
        <f t="shared" si="10"/>
        <v>-207.6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","5042"," - ","PURCHASES @ COST-EVERYDAY GIFT")</f>
        <v xml:space="preserve">          5042 - PURCHASES @ COST-EVERYDAY GIFT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/>
      <c r="Q42" s="3"/>
      <c r="R42" s="20">
        <f t="shared" si="8"/>
        <v>0</v>
      </c>
      <c r="S42" s="3"/>
      <c r="T42" s="3">
        <v>7946.04</v>
      </c>
      <c r="U42" s="3"/>
      <c r="V42" s="20">
        <f t="shared" si="9"/>
        <v>3.8149674255465761E-2</v>
      </c>
      <c r="W42" s="3"/>
      <c r="X42" s="3">
        <f t="shared" si="10"/>
        <v>-7946.04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","5086"," - ","PURCHASES @ COST-COMPUTER SUPP")</f>
        <v xml:space="preserve">          5086 - PURCHASES @ COST-COMPUTER SUPP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/>
      <c r="Q43" s="3"/>
      <c r="R43" s="20">
        <f t="shared" si="8"/>
        <v>0</v>
      </c>
      <c r="S43" s="3"/>
      <c r="T43" s="3">
        <v>13.21</v>
      </c>
      <c r="U43" s="3"/>
      <c r="V43" s="20">
        <f t="shared" si="9"/>
        <v>6.3422433931203812E-5</v>
      </c>
      <c r="W43" s="3"/>
      <c r="X43" s="3">
        <f t="shared" si="10"/>
        <v>-13.21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","5200"," - ","PURCHASES OFFSET")</f>
        <v xml:space="preserve">          5200 - PURCHASES OFFSET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-5481.89</v>
      </c>
      <c r="Q44" s="3"/>
      <c r="R44" s="20">
        <f t="shared" si="8"/>
        <v>-1.88527308738956E-2</v>
      </c>
      <c r="S44" s="3"/>
      <c r="T44" s="3">
        <v>-8166.85</v>
      </c>
      <c r="U44" s="3"/>
      <c r="V44" s="20">
        <f t="shared" si="9"/>
        <v>-3.9209803523925196E-2</v>
      </c>
      <c r="W44" s="3"/>
      <c r="X44" s="3">
        <f t="shared" si="10"/>
        <v>2684.96</v>
      </c>
      <c r="Y44" s="3"/>
      <c r="Z44" s="20">
        <f t="shared" si="11"/>
        <v>-0.32876323184581568</v>
      </c>
    </row>
    <row r="45" spans="1:26" s="69" customFormat="1" ht="15" hidden="1" customHeight="1" outlineLevel="1" x14ac:dyDescent="0.3">
      <c r="A45" s="42"/>
      <c r="B45" s="12" t="str">
        <f>CONCATENATE("          ","5300"," - ","COG$ OFFSET")</f>
        <v xml:space="preserve">          5300 - COG$ OFFSET</v>
      </c>
      <c r="C45" s="12"/>
      <c r="D45" s="3">
        <v>13553.29</v>
      </c>
      <c r="E45" s="3"/>
      <c r="F45" s="20">
        <f t="shared" si="4"/>
        <v>0.41532861679499911</v>
      </c>
      <c r="G45" s="3"/>
      <c r="H45" s="3">
        <v>10821</v>
      </c>
      <c r="I45" s="3"/>
      <c r="J45" s="20">
        <f t="shared" si="5"/>
        <v>0.4499844058633955</v>
      </c>
      <c r="K45" s="3"/>
      <c r="L45" s="3">
        <f t="shared" si="6"/>
        <v>2732.2900000000009</v>
      </c>
      <c r="M45" s="3"/>
      <c r="N45" s="20">
        <f t="shared" si="7"/>
        <v>0.25249884483873958</v>
      </c>
      <c r="O45" s="12"/>
      <c r="P45" s="3">
        <v>133610.98000000001</v>
      </c>
      <c r="Q45" s="3"/>
      <c r="R45" s="20">
        <f t="shared" si="8"/>
        <v>0.45950061889922045</v>
      </c>
      <c r="S45" s="3"/>
      <c r="T45" s="3">
        <v>93095</v>
      </c>
      <c r="U45" s="3"/>
      <c r="V45" s="20">
        <f t="shared" si="9"/>
        <v>0.44695772042584542</v>
      </c>
      <c r="W45" s="3"/>
      <c r="X45" s="3">
        <f t="shared" si="10"/>
        <v>40515.98000000001</v>
      </c>
      <c r="Y45" s="3"/>
      <c r="Z45" s="20">
        <f t="shared" si="11"/>
        <v>0.43521112841720833</v>
      </c>
    </row>
    <row r="46" spans="1:26" s="69" customFormat="1" ht="15" hidden="1" customHeight="1" outlineLevel="1" x14ac:dyDescent="0.3">
      <c r="A46" s="42"/>
      <c r="B46" s="12" t="str">
        <f>CONCATENATE("          ","5500"," - ","FREIGHT-IN")</f>
        <v xml:space="preserve">          5500 - FREIGHT-IN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92.99</v>
      </c>
      <c r="Q46" s="3"/>
      <c r="R46" s="20">
        <f t="shared" si="8"/>
        <v>3.1980128093842664E-4</v>
      </c>
      <c r="S46" s="3"/>
      <c r="T46" s="3"/>
      <c r="U46" s="3"/>
      <c r="V46" s="20">
        <f t="shared" si="9"/>
        <v>0</v>
      </c>
      <c r="W46" s="3"/>
      <c r="X46" s="3">
        <f t="shared" si="10"/>
        <v>92.99</v>
      </c>
      <c r="Y46" s="3"/>
      <c r="Z46" s="20">
        <f t="shared" si="11"/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7" t="s">
        <v>288</v>
      </c>
      <c r="C48" s="27"/>
      <c r="D48" s="22">
        <f>D12-D38</f>
        <v>19079.400000000001</v>
      </c>
      <c r="E48" s="15"/>
      <c r="F48" s="21">
        <f>IF(D$12=0,0,D48/D$12)</f>
        <v>0.58467138320500089</v>
      </c>
      <c r="G48" s="15"/>
      <c r="H48" s="22">
        <f>H12-H38</f>
        <v>13226.499999999993</v>
      </c>
      <c r="I48" s="15"/>
      <c r="J48" s="21">
        <f>IF(H$12=0,0,H48/H$12)</f>
        <v>0.5500155941366045</v>
      </c>
      <c r="K48" s="17"/>
      <c r="L48" s="22">
        <f>+D48-H48</f>
        <v>5852.9000000000087</v>
      </c>
      <c r="M48" s="17"/>
      <c r="N48" s="21">
        <f>IF(H48=0,0,L48/H48)</f>
        <v>0.44251313650625729</v>
      </c>
      <c r="O48" s="28"/>
      <c r="P48" s="22">
        <f>P12-P38</f>
        <v>157163.34000000005</v>
      </c>
      <c r="Q48" s="15"/>
      <c r="R48" s="21">
        <f>IF(P$12=0,0,P48/P$12)</f>
        <v>0.54049938110077955</v>
      </c>
      <c r="S48" s="15"/>
      <c r="T48" s="22">
        <f>T12-T38</f>
        <v>115190.91999999998</v>
      </c>
      <c r="U48" s="15"/>
      <c r="V48" s="21">
        <f>IF(T$12=0,0,T48/T$12)</f>
        <v>0.55304227957415453</v>
      </c>
      <c r="W48" s="17"/>
      <c r="X48" s="22">
        <f>+P48-T48</f>
        <v>41972.420000000071</v>
      </c>
      <c r="Y48" s="17"/>
      <c r="Z48" s="21">
        <f>IF(T48=0,0,X48/T48)</f>
        <v>0.36437264326042434</v>
      </c>
    </row>
    <row r="49" spans="1:26" ht="15" customHeight="1" x14ac:dyDescent="0.3">
      <c r="A49" s="10"/>
      <c r="B49" s="11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3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62" customFormat="1" ht="15" customHeight="1" x14ac:dyDescent="0.3">
      <c r="A50" s="11"/>
      <c r="B50" s="28" t="s">
        <v>289</v>
      </c>
      <c r="C50" s="11"/>
      <c r="D50" s="23" cm="1">
        <f t="array" ref="D50">SUM(OSRRefD22x_0)</f>
        <v>17208.460000000003</v>
      </c>
      <c r="E50" s="23"/>
      <c r="F50" s="35">
        <f t="shared" ref="F50:F81" si="12">IF(D$12=0,0,D50/D$12)</f>
        <v>0.5273380772470796</v>
      </c>
      <c r="G50" s="23"/>
      <c r="H50" s="23" cm="1">
        <f t="array" ref="H50">SUM(OSRRefH22x_0)</f>
        <v>20947.410000000003</v>
      </c>
      <c r="I50" s="23"/>
      <c r="J50" s="35">
        <f t="shared" ref="J50:J81" si="13">IF(H$12=0,0,H50/H$12)</f>
        <v>0.87108472814221893</v>
      </c>
      <c r="K50" s="5"/>
      <c r="L50" s="23">
        <f t="shared" ref="L50:L81" si="14">+D50-H50</f>
        <v>-3738.9500000000007</v>
      </c>
      <c r="M50" s="5"/>
      <c r="N50" s="35">
        <f t="shared" ref="N50:N81" si="15">IF(H50=0,0,L50/H50)</f>
        <v>-0.17849223364606889</v>
      </c>
      <c r="O50" s="11"/>
      <c r="P50" s="23" cm="1">
        <f t="array" ref="P50">SUM(OSRRefP22x_0)</f>
        <v>155477.76000000007</v>
      </c>
      <c r="Q50" s="23"/>
      <c r="R50" s="35">
        <f t="shared" ref="R50:R81" si="16">IF(P$12=0,0,P50/P$12)</f>
        <v>0.53470251430731586</v>
      </c>
      <c r="S50" s="23"/>
      <c r="T50" s="23" cm="1">
        <f t="array" ref="T50">SUM(OSRRefT22x_0)</f>
        <v>192787.84</v>
      </c>
      <c r="U50" s="23"/>
      <c r="V50" s="35">
        <f t="shared" ref="V50:V81" si="17">IF(T$12=0,0,T50/T$12)</f>
        <v>0.92559228199390531</v>
      </c>
      <c r="W50" s="5"/>
      <c r="X50" s="23">
        <f t="shared" ref="X50:X81" si="18">+P50-T50</f>
        <v>-37310.079999999929</v>
      </c>
      <c r="Y50" s="5"/>
      <c r="Z50" s="35">
        <f t="shared" ref="Z50:Z81" si="19">IF(T50=0,0,X50/T50)</f>
        <v>-0.1935292184403328</v>
      </c>
    </row>
    <row r="51" spans="1:26" s="68" customFormat="1" ht="15" customHeight="1" outlineLevel="1" collapsed="1" x14ac:dyDescent="0.3">
      <c r="A51" s="26"/>
      <c r="B51" s="14" t="str">
        <f>CONCATENATE("     ","*Benefits                                         ")</f>
        <v xml:space="preserve">     *Benefits                                         </v>
      </c>
      <c r="C51" s="14"/>
      <c r="D51" s="2">
        <f>SUM(OSRRefD22_0x_0)</f>
        <v>1267.5899999999999</v>
      </c>
      <c r="E51" s="2"/>
      <c r="F51" s="6">
        <f t="shared" si="12"/>
        <v>3.88441774184108E-2</v>
      </c>
      <c r="G51" s="2"/>
      <c r="H51" s="2">
        <f>SUM(OSRRefH22_0x_0)</f>
        <v>3784.05</v>
      </c>
      <c r="I51" s="2"/>
      <c r="J51" s="6">
        <f t="shared" si="13"/>
        <v>0.15735731365006764</v>
      </c>
      <c r="K51" s="2"/>
      <c r="L51" s="2">
        <f t="shared" si="14"/>
        <v>-2516.46</v>
      </c>
      <c r="M51" s="2"/>
      <c r="N51" s="6">
        <f t="shared" si="15"/>
        <v>-0.66501763983034046</v>
      </c>
      <c r="O51" s="14"/>
      <c r="P51" s="2">
        <f>SUM(OSRRefP22_0x_0)</f>
        <v>11592.17</v>
      </c>
      <c r="Q51" s="2"/>
      <c r="R51" s="6">
        <f t="shared" si="16"/>
        <v>3.9866553552597071E-2</v>
      </c>
      <c r="S51" s="2"/>
      <c r="T51" s="2">
        <f>SUM(OSRRefT22_0x_0)</f>
        <v>43278.75</v>
      </c>
      <c r="U51" s="2"/>
      <c r="V51" s="6">
        <f t="shared" si="17"/>
        <v>0.20778528860712239</v>
      </c>
      <c r="W51" s="2"/>
      <c r="X51" s="2">
        <f t="shared" si="18"/>
        <v>-31686.58</v>
      </c>
      <c r="Y51" s="2"/>
      <c r="Z51" s="6">
        <f t="shared" si="19"/>
        <v>-0.73215099789157501</v>
      </c>
    </row>
    <row r="52" spans="1:26" s="69" customFormat="1" ht="15" hidden="1" customHeight="1" outlineLevel="2" x14ac:dyDescent="0.3">
      <c r="A52" s="25"/>
      <c r="B52" s="12" t="str">
        <f>CONCATENATE("          ","6111"," - ","F.I.C.A.")</f>
        <v xml:space="preserve">          6111 - F.I.C.A.</v>
      </c>
      <c r="C52" s="12"/>
      <c r="D52" s="8">
        <v>202.01</v>
      </c>
      <c r="E52" s="3"/>
      <c r="F52" s="7">
        <f t="shared" si="12"/>
        <v>6.1904182585009078E-3</v>
      </c>
      <c r="G52" s="3"/>
      <c r="H52" s="8">
        <v>564.38</v>
      </c>
      <c r="I52" s="3"/>
      <c r="J52" s="7">
        <f t="shared" si="13"/>
        <v>2.3469383511799571E-2</v>
      </c>
      <c r="K52" s="3"/>
      <c r="L52" s="8">
        <f t="shared" si="14"/>
        <v>-362.37</v>
      </c>
      <c r="M52" s="3"/>
      <c r="N52" s="7">
        <f t="shared" si="15"/>
        <v>-0.64206740139622243</v>
      </c>
      <c r="O52" s="12"/>
      <c r="P52" s="8">
        <v>2198.25</v>
      </c>
      <c r="Q52" s="3"/>
      <c r="R52" s="7">
        <f t="shared" si="16"/>
        <v>7.5599867278513437E-3</v>
      </c>
      <c r="S52" s="3"/>
      <c r="T52" s="8">
        <v>6097.25</v>
      </c>
      <c r="U52" s="3"/>
      <c r="V52" s="7">
        <f t="shared" si="17"/>
        <v>2.9273462171614868E-2</v>
      </c>
      <c r="W52" s="3"/>
      <c r="X52" s="8">
        <f t="shared" si="18"/>
        <v>-3899</v>
      </c>
      <c r="Y52" s="3"/>
      <c r="Z52" s="7">
        <f t="shared" si="19"/>
        <v>-0.63946861289925783</v>
      </c>
    </row>
    <row r="53" spans="1:26" s="69" customFormat="1" ht="15" hidden="1" customHeight="1" outlineLevel="2" x14ac:dyDescent="0.3">
      <c r="A53" s="25"/>
      <c r="B53" s="12" t="str">
        <f>CONCATENATE("          ","6112"," - ","COMPENSATION INSURANCE")</f>
        <v xml:space="preserve">          6112 - COMPENSATION INSURANCE</v>
      </c>
      <c r="C53" s="12"/>
      <c r="D53" s="8">
        <v>114.14</v>
      </c>
      <c r="E53" s="3"/>
      <c r="F53" s="7">
        <f t="shared" si="12"/>
        <v>3.4977196179659105E-3</v>
      </c>
      <c r="G53" s="3"/>
      <c r="H53" s="8">
        <v>158.82</v>
      </c>
      <c r="I53" s="3"/>
      <c r="J53" s="7">
        <f t="shared" si="13"/>
        <v>6.6044287347957189E-3</v>
      </c>
      <c r="K53" s="3"/>
      <c r="L53" s="8">
        <f t="shared" si="14"/>
        <v>-44.679999999999993</v>
      </c>
      <c r="M53" s="3"/>
      <c r="N53" s="7">
        <f t="shared" si="15"/>
        <v>-0.28132477018007807</v>
      </c>
      <c r="O53" s="12"/>
      <c r="P53" s="8">
        <v>569.80999999999995</v>
      </c>
      <c r="Q53" s="3"/>
      <c r="R53" s="7">
        <f t="shared" si="16"/>
        <v>1.959629722459672E-3</v>
      </c>
      <c r="S53" s="3"/>
      <c r="T53" s="8">
        <v>2073.85</v>
      </c>
      <c r="U53" s="3"/>
      <c r="V53" s="7">
        <f t="shared" si="17"/>
        <v>9.9567459960807729E-3</v>
      </c>
      <c r="W53" s="3"/>
      <c r="X53" s="8">
        <f t="shared" si="18"/>
        <v>-1504.04</v>
      </c>
      <c r="Y53" s="3"/>
      <c r="Z53" s="7">
        <f t="shared" si="19"/>
        <v>-0.72524049473202012</v>
      </c>
    </row>
    <row r="54" spans="1:26" s="69" customFormat="1" ht="15" hidden="1" customHeight="1" outlineLevel="2" x14ac:dyDescent="0.3">
      <c r="A54" s="25"/>
      <c r="B54" s="12" t="str">
        <f>CONCATENATE("          ","6113"," - ","GROUP INSURANCE")</f>
        <v xml:space="preserve">          6113 - GROUP INSURANCE</v>
      </c>
      <c r="C54" s="12"/>
      <c r="D54" s="8">
        <v>487.33</v>
      </c>
      <c r="E54" s="3"/>
      <c r="F54" s="7">
        <f t="shared" si="12"/>
        <v>1.4933797979878458E-2</v>
      </c>
      <c r="G54" s="3"/>
      <c r="H54" s="8">
        <v>1994.68</v>
      </c>
      <c r="I54" s="3"/>
      <c r="J54" s="7">
        <f t="shared" si="13"/>
        <v>8.2947499740097755E-2</v>
      </c>
      <c r="K54" s="3"/>
      <c r="L54" s="8">
        <f t="shared" si="14"/>
        <v>-1507.3500000000001</v>
      </c>
      <c r="M54" s="3"/>
      <c r="N54" s="7">
        <f t="shared" si="15"/>
        <v>-0.75568512242565233</v>
      </c>
      <c r="O54" s="12"/>
      <c r="P54" s="8">
        <v>4633.4399999999996</v>
      </c>
      <c r="Q54" s="3"/>
      <c r="R54" s="7">
        <f t="shared" si="16"/>
        <v>1.5934832209391802E-2</v>
      </c>
      <c r="S54" s="3"/>
      <c r="T54" s="8">
        <v>22288.9</v>
      </c>
      <c r="U54" s="3"/>
      <c r="V54" s="7">
        <f t="shared" si="17"/>
        <v>0.10701107400826711</v>
      </c>
      <c r="W54" s="3"/>
      <c r="X54" s="8">
        <f t="shared" si="18"/>
        <v>-17655.460000000003</v>
      </c>
      <c r="Y54" s="3"/>
      <c r="Z54" s="7">
        <f t="shared" si="19"/>
        <v>-0.79211894709922881</v>
      </c>
    </row>
    <row r="55" spans="1:26" s="69" customFormat="1" ht="15" hidden="1" customHeight="1" outlineLevel="2" x14ac:dyDescent="0.3">
      <c r="A55" s="25"/>
      <c r="B55" s="12" t="str">
        <f>CONCATENATE("          ","6114"," - ","STATE UNEMPLOYMENT INSURANCE")</f>
        <v xml:space="preserve">          6114 - STATE UNEMPLOYMENT INSURANCE</v>
      </c>
      <c r="C55" s="12"/>
      <c r="D55" s="8">
        <v>20.05</v>
      </c>
      <c r="E55" s="3"/>
      <c r="F55" s="7">
        <f t="shared" si="12"/>
        <v>6.1441456404605322E-4</v>
      </c>
      <c r="G55" s="3"/>
      <c r="H55" s="8">
        <v>22.32</v>
      </c>
      <c r="I55" s="3"/>
      <c r="J55" s="7">
        <f t="shared" si="13"/>
        <v>9.2816301070797408E-4</v>
      </c>
      <c r="K55" s="3"/>
      <c r="L55" s="8">
        <f t="shared" si="14"/>
        <v>-2.2699999999999996</v>
      </c>
      <c r="M55" s="3"/>
      <c r="N55" s="7">
        <f t="shared" si="15"/>
        <v>-0.10170250896057345</v>
      </c>
      <c r="O55" s="12"/>
      <c r="P55" s="8">
        <v>100.1</v>
      </c>
      <c r="Q55" s="3"/>
      <c r="R55" s="7">
        <f t="shared" si="16"/>
        <v>3.4425323391694277E-4</v>
      </c>
      <c r="S55" s="3"/>
      <c r="T55" s="8">
        <v>265.12</v>
      </c>
      <c r="U55" s="3"/>
      <c r="V55" s="7">
        <f t="shared" si="17"/>
        <v>1.2728656838637965E-3</v>
      </c>
      <c r="W55" s="3"/>
      <c r="X55" s="8">
        <f t="shared" si="18"/>
        <v>-165.02</v>
      </c>
      <c r="Y55" s="3"/>
      <c r="Z55" s="7">
        <f t="shared" si="19"/>
        <v>-0.62243512371756193</v>
      </c>
    </row>
    <row r="56" spans="1:26" s="69" customFormat="1" ht="15" hidden="1" customHeight="1" outlineLevel="2" x14ac:dyDescent="0.3">
      <c r="A56" s="25"/>
      <c r="B56" s="12" t="str">
        <f>CONCATENATE("          ","6115"," - ","P.E.R.S.")</f>
        <v xml:space="preserve">          6115 - P.E.R.S.</v>
      </c>
      <c r="C56" s="12"/>
      <c r="D56" s="8">
        <v>94.85</v>
      </c>
      <c r="E56" s="3"/>
      <c r="F56" s="7">
        <f t="shared" si="12"/>
        <v>2.9065945835295829E-3</v>
      </c>
      <c r="G56" s="3"/>
      <c r="H56" s="8">
        <v>362.12</v>
      </c>
      <c r="I56" s="3"/>
      <c r="J56" s="7">
        <f t="shared" si="13"/>
        <v>1.505852999272274E-2</v>
      </c>
      <c r="K56" s="3"/>
      <c r="L56" s="8">
        <f t="shared" si="14"/>
        <v>-267.27</v>
      </c>
      <c r="M56" s="3"/>
      <c r="N56" s="7">
        <f t="shared" si="15"/>
        <v>-0.73807025295482154</v>
      </c>
      <c r="O56" s="12"/>
      <c r="P56" s="8">
        <v>868.35</v>
      </c>
      <c r="Q56" s="3"/>
      <c r="R56" s="7">
        <f t="shared" si="16"/>
        <v>2.9863366200976751E-3</v>
      </c>
      <c r="S56" s="3"/>
      <c r="T56" s="8">
        <v>3494.45</v>
      </c>
      <c r="U56" s="3"/>
      <c r="V56" s="7">
        <f t="shared" si="17"/>
        <v>1.6777178217327413E-2</v>
      </c>
      <c r="W56" s="3"/>
      <c r="X56" s="8">
        <f t="shared" si="18"/>
        <v>-2626.1</v>
      </c>
      <c r="Y56" s="3"/>
      <c r="Z56" s="7">
        <f t="shared" si="19"/>
        <v>-0.75150595944998499</v>
      </c>
    </row>
    <row r="57" spans="1:26" s="69" customFormat="1" ht="15" hidden="1" customHeight="1" outlineLevel="2" x14ac:dyDescent="0.3">
      <c r="A57" s="25"/>
      <c r="B57" s="12" t="str">
        <f>CONCATENATE("          ","6118"," - ","VACATION")</f>
        <v xml:space="preserve">          6118 - VACATION</v>
      </c>
      <c r="C57" s="12"/>
      <c r="D57" s="8">
        <v>96.19</v>
      </c>
      <c r="E57" s="3"/>
      <c r="F57" s="7">
        <f t="shared" si="12"/>
        <v>2.9476577015256785E-3</v>
      </c>
      <c r="G57" s="3"/>
      <c r="H57" s="8">
        <v>342.56</v>
      </c>
      <c r="I57" s="3"/>
      <c r="J57" s="7">
        <f t="shared" si="13"/>
        <v>1.4245139827424893E-2</v>
      </c>
      <c r="K57" s="3"/>
      <c r="L57" s="8">
        <f t="shared" si="14"/>
        <v>-246.37</v>
      </c>
      <c r="M57" s="3"/>
      <c r="N57" s="7">
        <f t="shared" si="15"/>
        <v>-0.71920247547874827</v>
      </c>
      <c r="O57" s="12"/>
      <c r="P57" s="8">
        <v>1067.1400000000001</v>
      </c>
      <c r="Q57" s="3"/>
      <c r="R57" s="7">
        <f t="shared" si="16"/>
        <v>3.6699939664548088E-3</v>
      </c>
      <c r="S57" s="3"/>
      <c r="T57" s="8">
        <v>4269.62</v>
      </c>
      <c r="U57" s="3"/>
      <c r="V57" s="7">
        <f t="shared" si="17"/>
        <v>2.0498841208277545E-2</v>
      </c>
      <c r="W57" s="3"/>
      <c r="X57" s="8">
        <f t="shared" si="18"/>
        <v>-3202.4799999999996</v>
      </c>
      <c r="Y57" s="3"/>
      <c r="Z57" s="7">
        <f t="shared" si="19"/>
        <v>-0.75006206641340434</v>
      </c>
    </row>
    <row r="58" spans="1:26" s="69" customFormat="1" ht="15" hidden="1" customHeight="1" outlineLevel="2" x14ac:dyDescent="0.3">
      <c r="A58" s="25"/>
      <c r="B58" s="12" t="str">
        <f>CONCATENATE("          ","6119"," - ","SICK LEAVE")</f>
        <v xml:space="preserve">          6119 - SICK LEAVE</v>
      </c>
      <c r="C58" s="12"/>
      <c r="D58" s="8">
        <v>60.68</v>
      </c>
      <c r="E58" s="3"/>
      <c r="F58" s="7">
        <f t="shared" si="12"/>
        <v>1.8594850746291524E-3</v>
      </c>
      <c r="G58" s="3"/>
      <c r="H58" s="8">
        <v>216.08</v>
      </c>
      <c r="I58" s="3"/>
      <c r="J58" s="7">
        <f t="shared" si="13"/>
        <v>8.9855494334130405E-3</v>
      </c>
      <c r="K58" s="3"/>
      <c r="L58" s="8">
        <f t="shared" si="14"/>
        <v>-155.4</v>
      </c>
      <c r="M58" s="3"/>
      <c r="N58" s="7">
        <f t="shared" si="15"/>
        <v>-0.71917808219178081</v>
      </c>
      <c r="O58" s="12"/>
      <c r="P58" s="8">
        <v>753.53</v>
      </c>
      <c r="Q58" s="3"/>
      <c r="R58" s="7">
        <f t="shared" si="16"/>
        <v>2.5914599336007383E-3</v>
      </c>
      <c r="S58" s="3"/>
      <c r="T58" s="8">
        <v>3443.75</v>
      </c>
      <c r="U58" s="3"/>
      <c r="V58" s="7">
        <f t="shared" si="17"/>
        <v>1.65337628198776E-2</v>
      </c>
      <c r="W58" s="3"/>
      <c r="X58" s="8">
        <f t="shared" si="18"/>
        <v>-2690.2200000000003</v>
      </c>
      <c r="Y58" s="3"/>
      <c r="Z58" s="7">
        <f t="shared" si="19"/>
        <v>-0.78118911070780406</v>
      </c>
    </row>
    <row r="59" spans="1:26" s="69" customFormat="1" ht="15" hidden="1" customHeight="1" outlineLevel="2" x14ac:dyDescent="0.3">
      <c r="A59" s="25"/>
      <c r="B59" s="12" t="str">
        <f>CONCATENATE("          ","6156"," - ","EMPLOYEE MEALS")</f>
        <v xml:space="preserve">          6156 - EMPLOYEE MEALS</v>
      </c>
      <c r="C59" s="12"/>
      <c r="D59" s="8">
        <v>192.34</v>
      </c>
      <c r="E59" s="3"/>
      <c r="F59" s="7">
        <f t="shared" si="12"/>
        <v>5.8940896383350557E-3</v>
      </c>
      <c r="G59" s="3"/>
      <c r="H59" s="8">
        <v>123.09</v>
      </c>
      <c r="I59" s="3"/>
      <c r="J59" s="7">
        <f t="shared" si="13"/>
        <v>5.118619399105938E-3</v>
      </c>
      <c r="K59" s="3"/>
      <c r="L59" s="8">
        <f t="shared" si="14"/>
        <v>69.25</v>
      </c>
      <c r="M59" s="3"/>
      <c r="N59" s="7">
        <f t="shared" si="15"/>
        <v>0.56259647412462421</v>
      </c>
      <c r="O59" s="12"/>
      <c r="P59" s="8">
        <v>1401.55</v>
      </c>
      <c r="Q59" s="3"/>
      <c r="R59" s="7">
        <f t="shared" si="16"/>
        <v>4.8200611388240873E-3</v>
      </c>
      <c r="S59" s="3"/>
      <c r="T59" s="8">
        <v>1345.81</v>
      </c>
      <c r="U59" s="3"/>
      <c r="V59" s="7">
        <f t="shared" si="17"/>
        <v>6.4613585018132771E-3</v>
      </c>
      <c r="W59" s="3"/>
      <c r="X59" s="8">
        <f t="shared" si="18"/>
        <v>55.740000000000009</v>
      </c>
      <c r="Y59" s="3"/>
      <c r="Z59" s="7">
        <f t="shared" si="19"/>
        <v>4.1417436339453571E-2</v>
      </c>
    </row>
    <row r="60" spans="1:26" s="68" customFormat="1" ht="15" customHeight="1" outlineLevel="1" collapsed="1" x14ac:dyDescent="0.3">
      <c r="A60" s="26"/>
      <c r="B60" s="14" t="str">
        <f>CONCATENATE("     ","*Payroll                                          ")</f>
        <v xml:space="preserve">     *Payroll                                          </v>
      </c>
      <c r="C60" s="14"/>
      <c r="D60" s="2">
        <f>SUM(OSRRefD22_1x_0)</f>
        <v>6890.59</v>
      </c>
      <c r="E60" s="2"/>
      <c r="F60" s="6">
        <f t="shared" si="12"/>
        <v>0.21115605241247348</v>
      </c>
      <c r="G60" s="2"/>
      <c r="H60" s="2">
        <f>SUM(OSRRefH22_1x_0)</f>
        <v>8658.17</v>
      </c>
      <c r="I60" s="2"/>
      <c r="J60" s="6">
        <f t="shared" si="13"/>
        <v>0.36004449526977866</v>
      </c>
      <c r="K60" s="2"/>
      <c r="L60" s="2">
        <f t="shared" si="14"/>
        <v>-1767.58</v>
      </c>
      <c r="M60" s="2"/>
      <c r="N60" s="6">
        <f t="shared" si="15"/>
        <v>-0.20415168563333821</v>
      </c>
      <c r="O60" s="14"/>
      <c r="P60" s="2">
        <f>SUM(OSRRefP22_1x_0)</f>
        <v>62593.84</v>
      </c>
      <c r="Q60" s="2"/>
      <c r="R60" s="6">
        <f t="shared" si="16"/>
        <v>0.21526605238041649</v>
      </c>
      <c r="S60" s="2"/>
      <c r="T60" s="2">
        <f>SUM(OSRRefT22_1x_0)</f>
        <v>74450.049999999988</v>
      </c>
      <c r="U60" s="2"/>
      <c r="V60" s="6">
        <f t="shared" si="17"/>
        <v>0.35744158798636028</v>
      </c>
      <c r="W60" s="2"/>
      <c r="X60" s="2">
        <f t="shared" si="18"/>
        <v>-11856.209999999992</v>
      </c>
      <c r="Y60" s="2"/>
      <c r="Z60" s="6">
        <f t="shared" si="19"/>
        <v>-0.15925053106075809</v>
      </c>
    </row>
    <row r="61" spans="1:26" s="69" customFormat="1" ht="15" hidden="1" customHeight="1" outlineLevel="2" x14ac:dyDescent="0.3">
      <c r="A61" s="25"/>
      <c r="B61" s="12" t="str">
        <f>CONCATENATE("          ","6002"," - ","STAFF SALARIES")</f>
        <v xml:space="preserve">          6002 - STAFF SALARIES</v>
      </c>
      <c r="C61" s="12"/>
      <c r="D61" s="8">
        <v>1052.3499999999999</v>
      </c>
      <c r="E61" s="3"/>
      <c r="F61" s="7">
        <f t="shared" si="12"/>
        <v>3.2248337479993214E-2</v>
      </c>
      <c r="G61" s="3"/>
      <c r="H61" s="8">
        <v>4759.62</v>
      </c>
      <c r="I61" s="3"/>
      <c r="J61" s="7">
        <f t="shared" si="13"/>
        <v>0.19792577190976199</v>
      </c>
      <c r="K61" s="3"/>
      <c r="L61" s="8">
        <f t="shared" si="14"/>
        <v>-3707.27</v>
      </c>
      <c r="M61" s="3"/>
      <c r="N61" s="7">
        <f t="shared" si="15"/>
        <v>-0.77890041641979824</v>
      </c>
      <c r="O61" s="12"/>
      <c r="P61" s="8">
        <v>10916.44</v>
      </c>
      <c r="Q61" s="3"/>
      <c r="R61" s="7">
        <f t="shared" si="16"/>
        <v>3.7542655073529184E-2</v>
      </c>
      <c r="S61" s="3"/>
      <c r="T61" s="8">
        <v>42854.879999999997</v>
      </c>
      <c r="U61" s="3"/>
      <c r="V61" s="7">
        <f t="shared" si="17"/>
        <v>0.20575024946477419</v>
      </c>
      <c r="W61" s="3"/>
      <c r="X61" s="8">
        <f t="shared" si="18"/>
        <v>-31938.439999999995</v>
      </c>
      <c r="Y61" s="3"/>
      <c r="Z61" s="7">
        <f t="shared" si="19"/>
        <v>-0.74526961690243909</v>
      </c>
    </row>
    <row r="62" spans="1:26" s="69" customFormat="1" ht="15" hidden="1" customHeight="1" outlineLevel="2" x14ac:dyDescent="0.3">
      <c r="A62" s="25"/>
      <c r="B62" s="12" t="str">
        <f>CONCATENATE("          ","6004"," - ","STAFF HOURLY")</f>
        <v xml:space="preserve">          6004 - STAFF HOURLY</v>
      </c>
      <c r="C62" s="12"/>
      <c r="D62" s="8"/>
      <c r="E62" s="3"/>
      <c r="F62" s="7">
        <f t="shared" si="12"/>
        <v>0</v>
      </c>
      <c r="G62" s="3"/>
      <c r="H62" s="8"/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>
        <v>4272.3900000000003</v>
      </c>
      <c r="Q62" s="3"/>
      <c r="R62" s="7">
        <f t="shared" si="16"/>
        <v>1.4693147592951122E-2</v>
      </c>
      <c r="S62" s="3"/>
      <c r="T62" s="8">
        <v>3456.21</v>
      </c>
      <c r="U62" s="3"/>
      <c r="V62" s="7">
        <f t="shared" si="17"/>
        <v>1.6593584434319901E-2</v>
      </c>
      <c r="W62" s="3"/>
      <c r="X62" s="8">
        <f t="shared" si="18"/>
        <v>816.18000000000029</v>
      </c>
      <c r="Y62" s="3"/>
      <c r="Z62" s="7">
        <f t="shared" si="19"/>
        <v>0.23614884512225828</v>
      </c>
    </row>
    <row r="63" spans="1:26" s="69" customFormat="1" ht="15" hidden="1" customHeight="1" outlineLevel="2" x14ac:dyDescent="0.3">
      <c r="A63" s="25"/>
      <c r="B63" s="12" t="str">
        <f>CONCATENATE("          ","6005"," - ","TEMPORARY WAGES-HOURLY")</f>
        <v xml:space="preserve">          6005 - TEMPORARY WAGES-HOURLY</v>
      </c>
      <c r="C63" s="12"/>
      <c r="D63" s="8">
        <v>1385.59</v>
      </c>
      <c r="E63" s="3"/>
      <c r="F63" s="7">
        <f t="shared" si="12"/>
        <v>4.2460183331499791E-2</v>
      </c>
      <c r="G63" s="3"/>
      <c r="H63" s="8">
        <v>2356.65</v>
      </c>
      <c r="I63" s="3"/>
      <c r="J63" s="7">
        <f t="shared" si="13"/>
        <v>9.7999792078178632E-2</v>
      </c>
      <c r="K63" s="3"/>
      <c r="L63" s="8">
        <f t="shared" si="14"/>
        <v>-971.06000000000017</v>
      </c>
      <c r="M63" s="3"/>
      <c r="N63" s="7">
        <f t="shared" si="15"/>
        <v>-0.41205100460399302</v>
      </c>
      <c r="O63" s="12"/>
      <c r="P63" s="8">
        <v>6519.67</v>
      </c>
      <c r="Q63" s="3"/>
      <c r="R63" s="7">
        <f t="shared" si="16"/>
        <v>2.2421753062650096E-2</v>
      </c>
      <c r="S63" s="3"/>
      <c r="T63" s="8">
        <v>13965.45</v>
      </c>
      <c r="U63" s="3"/>
      <c r="V63" s="7">
        <f t="shared" si="17"/>
        <v>6.7049419375059066E-2</v>
      </c>
      <c r="W63" s="3"/>
      <c r="X63" s="8">
        <f t="shared" si="18"/>
        <v>-7445.7800000000007</v>
      </c>
      <c r="Y63" s="3"/>
      <c r="Z63" s="7">
        <f t="shared" si="19"/>
        <v>-0.53315718433706039</v>
      </c>
    </row>
    <row r="64" spans="1:26" s="69" customFormat="1" ht="15" hidden="1" customHeight="1" outlineLevel="2" x14ac:dyDescent="0.3">
      <c r="A64" s="25"/>
      <c r="B64" s="12" t="str">
        <f>CONCATENATE("          ","6006"," - ","TEMPORARY PART TIME")</f>
        <v xml:space="preserve">          6006 - TEMPORARY PART TIME</v>
      </c>
      <c r="C64" s="12"/>
      <c r="D64" s="8"/>
      <c r="E64" s="3"/>
      <c r="F64" s="7">
        <f t="shared" si="12"/>
        <v>0</v>
      </c>
      <c r="G64" s="3"/>
      <c r="H64" s="8">
        <v>203.51</v>
      </c>
      <c r="I64" s="3"/>
      <c r="J64" s="7">
        <f t="shared" si="13"/>
        <v>8.4628339744256178E-3</v>
      </c>
      <c r="K64" s="3"/>
      <c r="L64" s="8">
        <f t="shared" si="14"/>
        <v>-203.51</v>
      </c>
      <c r="M64" s="3"/>
      <c r="N64" s="7">
        <f t="shared" si="15"/>
        <v>-1</v>
      </c>
      <c r="O64" s="12"/>
      <c r="P64" s="8"/>
      <c r="Q64" s="3"/>
      <c r="R64" s="7">
        <f t="shared" si="16"/>
        <v>0</v>
      </c>
      <c r="S64" s="3"/>
      <c r="T64" s="8">
        <v>507.15</v>
      </c>
      <c r="U64" s="3"/>
      <c r="V64" s="7">
        <f t="shared" si="17"/>
        <v>2.4348741383959129E-3</v>
      </c>
      <c r="W64" s="3"/>
      <c r="X64" s="8">
        <f t="shared" si="18"/>
        <v>-507.15</v>
      </c>
      <c r="Y64" s="3"/>
      <c r="Z64" s="7">
        <f t="shared" si="19"/>
        <v>-1</v>
      </c>
    </row>
    <row r="65" spans="1:26" s="69" customFormat="1" ht="15" hidden="1" customHeight="1" outlineLevel="2" x14ac:dyDescent="0.3">
      <c r="A65" s="25"/>
      <c r="B65" s="12" t="str">
        <f>CONCATENATE("          ","6007"," - ","STUDENT HOURLY")</f>
        <v xml:space="preserve">          6007 - STUDENT HOURLY</v>
      </c>
      <c r="C65" s="12"/>
      <c r="D65" s="8">
        <v>4366.1000000000004</v>
      </c>
      <c r="E65" s="3"/>
      <c r="F65" s="7">
        <f t="shared" si="12"/>
        <v>0.13379528319608344</v>
      </c>
      <c r="G65" s="3"/>
      <c r="H65" s="8">
        <v>1338.39</v>
      </c>
      <c r="I65" s="3"/>
      <c r="J65" s="7">
        <f t="shared" si="13"/>
        <v>5.5656097307412437E-2</v>
      </c>
      <c r="K65" s="3"/>
      <c r="L65" s="8">
        <f t="shared" si="14"/>
        <v>3027.71</v>
      </c>
      <c r="M65" s="3"/>
      <c r="N65" s="7">
        <f t="shared" si="15"/>
        <v>2.2622030947631107</v>
      </c>
      <c r="O65" s="12"/>
      <c r="P65" s="8">
        <v>39800.92</v>
      </c>
      <c r="Q65" s="3"/>
      <c r="R65" s="7">
        <f t="shared" si="16"/>
        <v>0.13687907515354172</v>
      </c>
      <c r="S65" s="3"/>
      <c r="T65" s="8">
        <v>11747.33</v>
      </c>
      <c r="U65" s="3"/>
      <c r="V65" s="7">
        <f t="shared" si="17"/>
        <v>5.6400019742092987E-2</v>
      </c>
      <c r="W65" s="3"/>
      <c r="X65" s="8">
        <f t="shared" si="18"/>
        <v>28053.589999999997</v>
      </c>
      <c r="Y65" s="3"/>
      <c r="Z65" s="7">
        <f t="shared" si="19"/>
        <v>2.3880822280467133</v>
      </c>
    </row>
    <row r="66" spans="1:26" s="69" customFormat="1" ht="15" hidden="1" customHeight="1" outlineLevel="2" x14ac:dyDescent="0.3">
      <c r="A66" s="25"/>
      <c r="B66" s="12" t="str">
        <f>CONCATENATE("          ","6008"," - ","STUDENT HOURLY-FICA EXEMPT")</f>
        <v xml:space="preserve">          6008 - STUDENT HOURLY-FICA EXEMPT</v>
      </c>
      <c r="C66" s="12"/>
      <c r="D66" s="8">
        <v>86.55</v>
      </c>
      <c r="E66" s="3"/>
      <c r="F66" s="7">
        <f t="shared" si="12"/>
        <v>2.6522484048970524E-3</v>
      </c>
      <c r="G66" s="3"/>
      <c r="H66" s="8"/>
      <c r="I66" s="3"/>
      <c r="J66" s="7">
        <f t="shared" si="13"/>
        <v>0</v>
      </c>
      <c r="K66" s="3"/>
      <c r="L66" s="8">
        <f t="shared" si="14"/>
        <v>86.55</v>
      </c>
      <c r="M66" s="3"/>
      <c r="N66" s="7">
        <f t="shared" si="15"/>
        <v>0</v>
      </c>
      <c r="O66" s="12"/>
      <c r="P66" s="8">
        <v>1084.42</v>
      </c>
      <c r="Q66" s="3"/>
      <c r="R66" s="7">
        <f t="shared" si="16"/>
        <v>3.7294214977443671E-3</v>
      </c>
      <c r="S66" s="3"/>
      <c r="T66" s="8">
        <v>1919.03</v>
      </c>
      <c r="U66" s="3"/>
      <c r="V66" s="7">
        <f t="shared" si="17"/>
        <v>9.2134408317182462E-3</v>
      </c>
      <c r="W66" s="3"/>
      <c r="X66" s="8">
        <f t="shared" si="18"/>
        <v>-834.6099999999999</v>
      </c>
      <c r="Y66" s="3"/>
      <c r="Z66" s="7">
        <f t="shared" si="19"/>
        <v>-0.43491242971709659</v>
      </c>
    </row>
    <row r="67" spans="1:26" s="68" customFormat="1" ht="15" customHeight="1" outlineLevel="1" collapsed="1" x14ac:dyDescent="0.3">
      <c r="A67" s="26"/>
      <c r="B67" s="14" t="str">
        <f>CONCATENATE("     ","Advertising/Promo                                 ")</f>
        <v xml:space="preserve">     Advertising/Promo                                 </v>
      </c>
      <c r="C67" s="14"/>
      <c r="D67" s="2">
        <f>SUM(OSRRefD22_2x_0)</f>
        <v>295</v>
      </c>
      <c r="E67" s="2"/>
      <c r="F67" s="6">
        <f t="shared" si="12"/>
        <v>9.0400147827224778E-3</v>
      </c>
      <c r="G67" s="2"/>
      <c r="H67" s="2">
        <f>SUM(OSRRefH22_2x_0)</f>
        <v>0</v>
      </c>
      <c r="I67" s="2"/>
      <c r="J67" s="6">
        <f t="shared" si="13"/>
        <v>0</v>
      </c>
      <c r="K67" s="2"/>
      <c r="L67" s="2">
        <f t="shared" si="14"/>
        <v>295</v>
      </c>
      <c r="M67" s="2"/>
      <c r="N67" s="6">
        <f t="shared" si="15"/>
        <v>0</v>
      </c>
      <c r="O67" s="14"/>
      <c r="P67" s="2">
        <f>SUM(OSRRefP22_2x_0)</f>
        <v>1714.35</v>
      </c>
      <c r="Q67" s="2"/>
      <c r="R67" s="6">
        <f t="shared" si="16"/>
        <v>5.8958095061489597E-3</v>
      </c>
      <c r="S67" s="2"/>
      <c r="T67" s="2">
        <f>SUM(OSRRefT22_2x_0)</f>
        <v>1024.2</v>
      </c>
      <c r="U67" s="2"/>
      <c r="V67" s="6">
        <f t="shared" si="17"/>
        <v>4.9172790940453402E-3</v>
      </c>
      <c r="W67" s="2"/>
      <c r="X67" s="2">
        <f t="shared" si="18"/>
        <v>690.14999999999986</v>
      </c>
      <c r="Y67" s="2"/>
      <c r="Z67" s="6">
        <f t="shared" si="19"/>
        <v>0.6738429994141768</v>
      </c>
    </row>
    <row r="68" spans="1:26" s="69" customFormat="1" ht="15" hidden="1" customHeight="1" outlineLevel="2" x14ac:dyDescent="0.3">
      <c r="A68" s="25"/>
      <c r="B68" s="12" t="str">
        <f>CONCATENATE("          ","6362"," - ","ADVERTISING EXPENSE")</f>
        <v xml:space="preserve">          6362 - ADVERTISING EXPENSE</v>
      </c>
      <c r="C68" s="12"/>
      <c r="D68" s="8">
        <v>295</v>
      </c>
      <c r="E68" s="3"/>
      <c r="F68" s="7">
        <f t="shared" si="12"/>
        <v>9.0400147827224778E-3</v>
      </c>
      <c r="G68" s="3"/>
      <c r="H68" s="8"/>
      <c r="I68" s="3"/>
      <c r="J68" s="7">
        <f t="shared" si="13"/>
        <v>0</v>
      </c>
      <c r="K68" s="3"/>
      <c r="L68" s="8">
        <f t="shared" si="14"/>
        <v>295</v>
      </c>
      <c r="M68" s="3"/>
      <c r="N68" s="7">
        <f t="shared" si="15"/>
        <v>0</v>
      </c>
      <c r="O68" s="12"/>
      <c r="P68" s="8">
        <v>1714.35</v>
      </c>
      <c r="Q68" s="3"/>
      <c r="R68" s="7">
        <f t="shared" si="16"/>
        <v>5.8958095061489597E-3</v>
      </c>
      <c r="S68" s="3"/>
      <c r="T68" s="8">
        <v>1024.2</v>
      </c>
      <c r="U68" s="3"/>
      <c r="V68" s="7">
        <f t="shared" si="17"/>
        <v>4.9172790940453402E-3</v>
      </c>
      <c r="W68" s="3"/>
      <c r="X68" s="8">
        <f t="shared" si="18"/>
        <v>690.14999999999986</v>
      </c>
      <c r="Y68" s="3"/>
      <c r="Z68" s="7">
        <f t="shared" si="19"/>
        <v>0.6738429994141768</v>
      </c>
    </row>
    <row r="69" spans="1:26" s="68" customFormat="1" ht="15" customHeight="1" outlineLevel="1" collapsed="1" x14ac:dyDescent="0.3">
      <c r="A69" s="26"/>
      <c r="B69" s="14" t="str">
        <f>CONCATENATE("     ","Bad Debts/Over/Short                              ")</f>
        <v xml:space="preserve">     Bad Debts/Over/Short                              </v>
      </c>
      <c r="C69" s="14"/>
      <c r="D69" s="2">
        <f>SUM(OSRRefD22_3x_0)</f>
        <v>-15.08</v>
      </c>
      <c r="E69" s="2"/>
      <c r="F69" s="6">
        <f t="shared" si="12"/>
        <v>-4.6211329804561005E-4</v>
      </c>
      <c r="G69" s="2"/>
      <c r="H69" s="2">
        <f>SUM(OSRRefH22_3x_0)</f>
        <v>-20.41</v>
      </c>
      <c r="I69" s="2"/>
      <c r="J69" s="6">
        <f t="shared" si="13"/>
        <v>-8.4873687493502471E-4</v>
      </c>
      <c r="K69" s="2"/>
      <c r="L69" s="2">
        <f t="shared" si="14"/>
        <v>5.33</v>
      </c>
      <c r="M69" s="2"/>
      <c r="N69" s="6">
        <f t="shared" si="15"/>
        <v>-0.26114649681528662</v>
      </c>
      <c r="O69" s="14"/>
      <c r="P69" s="2">
        <f>SUM(OSRRefP22_3x_0)</f>
        <v>-48.48</v>
      </c>
      <c r="Q69" s="2"/>
      <c r="R69" s="6">
        <f t="shared" si="16"/>
        <v>-1.6672724056237149E-4</v>
      </c>
      <c r="S69" s="2"/>
      <c r="T69" s="2">
        <f>SUM(OSRRefT22_3x_0)</f>
        <v>-23.36</v>
      </c>
      <c r="U69" s="2"/>
      <c r="V69" s="6">
        <f t="shared" si="17"/>
        <v>-1.1215352434768515E-4</v>
      </c>
      <c r="W69" s="2"/>
      <c r="X69" s="2">
        <f t="shared" si="18"/>
        <v>-25.119999999999997</v>
      </c>
      <c r="Y69" s="2"/>
      <c r="Z69" s="6">
        <f t="shared" si="19"/>
        <v>1.0753424657534245</v>
      </c>
    </row>
    <row r="70" spans="1:26" s="69" customFormat="1" ht="15" hidden="1" customHeight="1" outlineLevel="2" x14ac:dyDescent="0.3">
      <c r="A70" s="25"/>
      <c r="B70" s="12" t="str">
        <f>CONCATENATE("          ","6272"," - ","CASH (OVER/SHORT)")</f>
        <v xml:space="preserve">          6272 - CASH (OVER/SHORT)</v>
      </c>
      <c r="C70" s="12"/>
      <c r="D70" s="8">
        <v>-15.08</v>
      </c>
      <c r="E70" s="3"/>
      <c r="F70" s="7">
        <f t="shared" si="12"/>
        <v>-4.6211329804561005E-4</v>
      </c>
      <c r="G70" s="3"/>
      <c r="H70" s="8">
        <v>-20.41</v>
      </c>
      <c r="I70" s="3"/>
      <c r="J70" s="7">
        <f t="shared" si="13"/>
        <v>-8.4873687493502471E-4</v>
      </c>
      <c r="K70" s="3"/>
      <c r="L70" s="8">
        <f t="shared" si="14"/>
        <v>5.33</v>
      </c>
      <c r="M70" s="3"/>
      <c r="N70" s="7">
        <f t="shared" si="15"/>
        <v>-0.26114649681528662</v>
      </c>
      <c r="O70" s="12"/>
      <c r="P70" s="8">
        <v>-48.48</v>
      </c>
      <c r="Q70" s="3"/>
      <c r="R70" s="7">
        <f t="shared" si="16"/>
        <v>-1.6672724056237149E-4</v>
      </c>
      <c r="S70" s="3"/>
      <c r="T70" s="8">
        <v>-23.36</v>
      </c>
      <c r="U70" s="3"/>
      <c r="V70" s="7">
        <f t="shared" si="17"/>
        <v>-1.1215352434768515E-4</v>
      </c>
      <c r="W70" s="3"/>
      <c r="X70" s="8">
        <f t="shared" si="18"/>
        <v>-25.119999999999997</v>
      </c>
      <c r="Y70" s="3"/>
      <c r="Z70" s="7">
        <f t="shared" si="19"/>
        <v>1.0753424657534245</v>
      </c>
    </row>
    <row r="71" spans="1:26" s="68" customFormat="1" ht="15" customHeight="1" outlineLevel="1" collapsed="1" x14ac:dyDescent="0.3">
      <c r="A71" s="26"/>
      <c r="B71" s="14" t="str">
        <f>CONCATENATE("     ","Bank/card Fees                                    ")</f>
        <v xml:space="preserve">     Bank/card Fees                                    </v>
      </c>
      <c r="C71" s="14"/>
      <c r="D71" s="2">
        <f>SUM(OSRRefD22_4x_0)</f>
        <v>508.74</v>
      </c>
      <c r="E71" s="2"/>
      <c r="F71" s="6">
        <f t="shared" si="12"/>
        <v>1.5589888544278757E-2</v>
      </c>
      <c r="G71" s="2"/>
      <c r="H71" s="2">
        <f>SUM(OSRRefH22_4x_0)</f>
        <v>470.17</v>
      </c>
      <c r="I71" s="2"/>
      <c r="J71" s="6">
        <f t="shared" si="13"/>
        <v>1.9551720553072052E-2</v>
      </c>
      <c r="K71" s="2"/>
      <c r="L71" s="2">
        <f t="shared" si="14"/>
        <v>38.569999999999993</v>
      </c>
      <c r="M71" s="2"/>
      <c r="N71" s="6">
        <f t="shared" si="15"/>
        <v>8.2034157857796094E-2</v>
      </c>
      <c r="O71" s="14"/>
      <c r="P71" s="2">
        <f>SUM(OSRRefP22_4x_0)</f>
        <v>4774.95</v>
      </c>
      <c r="Q71" s="2"/>
      <c r="R71" s="6">
        <f t="shared" si="16"/>
        <v>1.6421498294622437E-2</v>
      </c>
      <c r="S71" s="2"/>
      <c r="T71" s="2">
        <f>SUM(OSRRefT22_4x_0)</f>
        <v>3337.9</v>
      </c>
      <c r="U71" s="2"/>
      <c r="V71" s="6">
        <f t="shared" si="17"/>
        <v>1.6025567162677154E-2</v>
      </c>
      <c r="W71" s="2"/>
      <c r="X71" s="2">
        <f t="shared" si="18"/>
        <v>1437.0499999999997</v>
      </c>
      <c r="Y71" s="2"/>
      <c r="Z71" s="6">
        <f t="shared" si="19"/>
        <v>0.43052518050271121</v>
      </c>
    </row>
    <row r="72" spans="1:26" s="69" customFormat="1" ht="15" hidden="1" customHeight="1" outlineLevel="2" x14ac:dyDescent="0.3">
      <c r="A72" s="25"/>
      <c r="B72" s="12" t="str">
        <f>CONCATENATE("          ","6381"," - ","BANK/CREDIT CARD FEES")</f>
        <v xml:space="preserve">          6381 - BANK/CREDIT CARD FEES</v>
      </c>
      <c r="C72" s="12"/>
      <c r="D72" s="8">
        <v>508.74</v>
      </c>
      <c r="E72" s="3"/>
      <c r="F72" s="7">
        <f t="shared" si="12"/>
        <v>1.5589888544278757E-2</v>
      </c>
      <c r="G72" s="3"/>
      <c r="H72" s="8">
        <v>470.17</v>
      </c>
      <c r="I72" s="3"/>
      <c r="J72" s="7">
        <f t="shared" si="13"/>
        <v>1.9551720553072052E-2</v>
      </c>
      <c r="K72" s="3"/>
      <c r="L72" s="8">
        <f t="shared" si="14"/>
        <v>38.569999999999993</v>
      </c>
      <c r="M72" s="3"/>
      <c r="N72" s="7">
        <f t="shared" si="15"/>
        <v>8.2034157857796094E-2</v>
      </c>
      <c r="O72" s="12"/>
      <c r="P72" s="8">
        <v>4774.95</v>
      </c>
      <c r="Q72" s="3"/>
      <c r="R72" s="7">
        <f t="shared" si="16"/>
        <v>1.6421498294622437E-2</v>
      </c>
      <c r="S72" s="3"/>
      <c r="T72" s="8">
        <v>3337.9</v>
      </c>
      <c r="U72" s="3"/>
      <c r="V72" s="7">
        <f t="shared" si="17"/>
        <v>1.6025567162677154E-2</v>
      </c>
      <c r="W72" s="3"/>
      <c r="X72" s="8">
        <f t="shared" si="18"/>
        <v>1437.0499999999997</v>
      </c>
      <c r="Y72" s="3"/>
      <c r="Z72" s="7">
        <f t="shared" si="19"/>
        <v>0.43052518050271121</v>
      </c>
    </row>
    <row r="73" spans="1:26" s="68" customFormat="1" ht="15" customHeight="1" outlineLevel="1" collapsed="1" x14ac:dyDescent="0.3">
      <c r="A73" s="26"/>
      <c r="B73" s="14" t="str">
        <f>CONCATENATE("     ","Discounts and Markdowns                           ")</f>
        <v xml:space="preserve">     Discounts and Markdowns                           </v>
      </c>
      <c r="C73" s="14"/>
      <c r="D73" s="2">
        <f>SUM(OSRRefD22_5x_0)</f>
        <v>0</v>
      </c>
      <c r="E73" s="2"/>
      <c r="F73" s="6">
        <f t="shared" si="12"/>
        <v>0</v>
      </c>
      <c r="G73" s="2"/>
      <c r="H73" s="2">
        <f>SUM(OSRRefH22_5x_0)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SUM(OSRRefP22_5x_0)</f>
        <v>0</v>
      </c>
      <c r="Q73" s="2"/>
      <c r="R73" s="6">
        <f t="shared" si="16"/>
        <v>0</v>
      </c>
      <c r="S73" s="2"/>
      <c r="T73" s="2">
        <f>SUM(OSRRefT22_5x_0)</f>
        <v>0</v>
      </c>
      <c r="U73" s="2"/>
      <c r="V73" s="6">
        <f t="shared" si="17"/>
        <v>0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5"/>
      <c r="B74" s="12" t="str">
        <f>CONCATENATE("          ","6382"," - ","DISCOUNTS/MARK DOWNS")</f>
        <v xml:space="preserve">          6382 - DISCOUNTS/MARK DOWNS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6"/>
      <c r="B75" s="14" t="str">
        <f>CONCATENATE("     ","General                                           ")</f>
        <v xml:space="preserve">     General                                           </v>
      </c>
      <c r="C75" s="14"/>
      <c r="D75" s="2">
        <f>SUM(OSRRefD22_6x_0)</f>
        <v>119.1</v>
      </c>
      <c r="E75" s="2"/>
      <c r="F75" s="6">
        <f t="shared" si="12"/>
        <v>3.6497144427872783E-3</v>
      </c>
      <c r="G75" s="2"/>
      <c r="H75" s="2">
        <f>SUM(OSRRefH22_6x_0)</f>
        <v>0</v>
      </c>
      <c r="I75" s="2"/>
      <c r="J75" s="6">
        <f t="shared" si="13"/>
        <v>0</v>
      </c>
      <c r="K75" s="2"/>
      <c r="L75" s="2">
        <f t="shared" si="14"/>
        <v>119.1</v>
      </c>
      <c r="M75" s="2"/>
      <c r="N75" s="6">
        <f t="shared" si="15"/>
        <v>0</v>
      </c>
      <c r="O75" s="14"/>
      <c r="P75" s="2">
        <f>SUM(OSRRefP22_6x_0)</f>
        <v>1414.19</v>
      </c>
      <c r="Q75" s="2"/>
      <c r="R75" s="6">
        <f t="shared" si="16"/>
        <v>4.8635312774525609E-3</v>
      </c>
      <c r="S75" s="2"/>
      <c r="T75" s="2">
        <f>SUM(OSRRefT22_6x_0)</f>
        <v>1285.46</v>
      </c>
      <c r="U75" s="2"/>
      <c r="V75" s="6">
        <f t="shared" si="17"/>
        <v>6.1716125602729174E-3</v>
      </c>
      <c r="W75" s="2"/>
      <c r="X75" s="2">
        <f t="shared" si="18"/>
        <v>128.73000000000002</v>
      </c>
      <c r="Y75" s="2"/>
      <c r="Z75" s="6">
        <f t="shared" si="19"/>
        <v>0.1001431394209077</v>
      </c>
    </row>
    <row r="76" spans="1:26" s="69" customFormat="1" ht="15" hidden="1" customHeight="1" outlineLevel="2" x14ac:dyDescent="0.3">
      <c r="A76" s="25"/>
      <c r="B76" s="12" t="str">
        <f>CONCATENATE("          ","6279"," - ","GENERAL EXPENSE")</f>
        <v xml:space="preserve">          6279 - GENERAL EXPENSE</v>
      </c>
      <c r="C76" s="12"/>
      <c r="D76" s="8">
        <v>119.1</v>
      </c>
      <c r="E76" s="3"/>
      <c r="F76" s="7">
        <f t="shared" si="12"/>
        <v>3.6497144427872783E-3</v>
      </c>
      <c r="G76" s="3"/>
      <c r="H76" s="8"/>
      <c r="I76" s="3"/>
      <c r="J76" s="7">
        <f t="shared" si="13"/>
        <v>0</v>
      </c>
      <c r="K76" s="3"/>
      <c r="L76" s="8">
        <f t="shared" si="14"/>
        <v>119.1</v>
      </c>
      <c r="M76" s="3"/>
      <c r="N76" s="7">
        <f t="shared" si="15"/>
        <v>0</v>
      </c>
      <c r="O76" s="12"/>
      <c r="P76" s="8">
        <v>1414.19</v>
      </c>
      <c r="Q76" s="3"/>
      <c r="R76" s="7">
        <f t="shared" si="16"/>
        <v>4.8635312774525609E-3</v>
      </c>
      <c r="S76" s="3"/>
      <c r="T76" s="8">
        <v>1285.46</v>
      </c>
      <c r="U76" s="3"/>
      <c r="V76" s="7">
        <f t="shared" si="17"/>
        <v>6.1716125602729174E-3</v>
      </c>
      <c r="W76" s="3"/>
      <c r="X76" s="8">
        <f t="shared" si="18"/>
        <v>128.73000000000002</v>
      </c>
      <c r="Y76" s="3"/>
      <c r="Z76" s="7">
        <f t="shared" si="19"/>
        <v>0.1001431394209077</v>
      </c>
    </row>
    <row r="77" spans="1:26" s="68" customFormat="1" ht="15" customHeight="1" outlineLevel="1" collapsed="1" x14ac:dyDescent="0.3">
      <c r="A77" s="26"/>
      <c r="B77" s="14" t="str">
        <f>CONCATENATE("     ","Insurance                                         ")</f>
        <v xml:space="preserve">     Insurance                                         </v>
      </c>
      <c r="C77" s="14"/>
      <c r="D77" s="2">
        <f>SUM(OSRRefD22_7x_0)</f>
        <v>219.08</v>
      </c>
      <c r="E77" s="2"/>
      <c r="F77" s="6">
        <f t="shared" si="12"/>
        <v>6.7135133511825101E-3</v>
      </c>
      <c r="G77" s="2"/>
      <c r="H77" s="2">
        <f>SUM(OSRRefH22_7x_0)</f>
        <v>161.18</v>
      </c>
      <c r="I77" s="2"/>
      <c r="J77" s="6">
        <f t="shared" si="13"/>
        <v>6.7025678344942328E-3</v>
      </c>
      <c r="K77" s="2"/>
      <c r="L77" s="2">
        <f t="shared" si="14"/>
        <v>57.900000000000006</v>
      </c>
      <c r="M77" s="2"/>
      <c r="N77" s="6">
        <f t="shared" si="15"/>
        <v>0.35922571038590395</v>
      </c>
      <c r="O77" s="14"/>
      <c r="P77" s="2">
        <f>SUM(OSRRefP22_7x_0)</f>
        <v>1971.72</v>
      </c>
      <c r="Q77" s="2"/>
      <c r="R77" s="6">
        <f t="shared" si="16"/>
        <v>6.7809289348522922E-3</v>
      </c>
      <c r="S77" s="2"/>
      <c r="T77" s="2">
        <f>SUM(OSRRefT22_7x_0)</f>
        <v>1450.62</v>
      </c>
      <c r="U77" s="2"/>
      <c r="V77" s="6">
        <f t="shared" si="17"/>
        <v>6.9645610226557802E-3</v>
      </c>
      <c r="W77" s="2"/>
      <c r="X77" s="2">
        <f t="shared" si="18"/>
        <v>521.10000000000014</v>
      </c>
      <c r="Y77" s="2"/>
      <c r="Z77" s="6">
        <f t="shared" si="19"/>
        <v>0.35922571038590406</v>
      </c>
    </row>
    <row r="78" spans="1:26" s="69" customFormat="1" ht="15" hidden="1" customHeight="1" outlineLevel="2" x14ac:dyDescent="0.3">
      <c r="A78" s="25"/>
      <c r="B78" s="12" t="str">
        <f>CONCATENATE("          ","6314"," - ","LIABILITY INSURANCE")</f>
        <v xml:space="preserve">          6314 - LIABILITY INSURANCE</v>
      </c>
      <c r="C78" s="12"/>
      <c r="D78" s="8">
        <v>219.08</v>
      </c>
      <c r="E78" s="3"/>
      <c r="F78" s="7">
        <f t="shared" si="12"/>
        <v>6.7135133511825101E-3</v>
      </c>
      <c r="G78" s="3"/>
      <c r="H78" s="8">
        <v>161.18</v>
      </c>
      <c r="I78" s="3"/>
      <c r="J78" s="7">
        <f t="shared" si="13"/>
        <v>6.7025678344942328E-3</v>
      </c>
      <c r="K78" s="3"/>
      <c r="L78" s="8">
        <f t="shared" si="14"/>
        <v>57.900000000000006</v>
      </c>
      <c r="M78" s="3"/>
      <c r="N78" s="7">
        <f t="shared" si="15"/>
        <v>0.35922571038590395</v>
      </c>
      <c r="O78" s="12"/>
      <c r="P78" s="8">
        <v>1971.72</v>
      </c>
      <c r="Q78" s="3"/>
      <c r="R78" s="7">
        <f t="shared" si="16"/>
        <v>6.7809289348522922E-3</v>
      </c>
      <c r="S78" s="3"/>
      <c r="T78" s="8">
        <v>1450.62</v>
      </c>
      <c r="U78" s="3"/>
      <c r="V78" s="7">
        <f t="shared" si="17"/>
        <v>6.9645610226557802E-3</v>
      </c>
      <c r="W78" s="3"/>
      <c r="X78" s="8">
        <f t="shared" si="18"/>
        <v>521.10000000000014</v>
      </c>
      <c r="Y78" s="3"/>
      <c r="Z78" s="7">
        <f t="shared" si="19"/>
        <v>0.35922571038590406</v>
      </c>
    </row>
    <row r="79" spans="1:26" s="68" customFormat="1" ht="15" customHeight="1" outlineLevel="1" collapsed="1" x14ac:dyDescent="0.3">
      <c r="A79" s="26"/>
      <c r="B79" s="14" t="str">
        <f>CONCATENATE("     ","Inventory Adjustment                              ")</f>
        <v xml:space="preserve">     Inventory Adjustment                              </v>
      </c>
      <c r="C79" s="14"/>
      <c r="D79" s="2">
        <f>SUM(OSRRefD22_8x_0)</f>
        <v>100</v>
      </c>
      <c r="E79" s="2"/>
      <c r="F79" s="6">
        <f t="shared" si="12"/>
        <v>3.0644117907533824E-3</v>
      </c>
      <c r="G79" s="2"/>
      <c r="H79" s="2">
        <f>SUM(OSRRefH22_8x_0)</f>
        <v>100</v>
      </c>
      <c r="I79" s="2"/>
      <c r="J79" s="6">
        <f t="shared" si="13"/>
        <v>4.1584364279031094E-3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SUM(OSRRefP22_8x_0)</f>
        <v>900</v>
      </c>
      <c r="Q79" s="2"/>
      <c r="R79" s="6">
        <f t="shared" si="16"/>
        <v>3.0951839213311542E-3</v>
      </c>
      <c r="S79" s="2"/>
      <c r="T79" s="2">
        <f>SUM(OSRRefT22_8x_0)</f>
        <v>900</v>
      </c>
      <c r="U79" s="2"/>
      <c r="V79" s="6">
        <f t="shared" si="17"/>
        <v>4.3209833866830749E-3</v>
      </c>
      <c r="W79" s="2"/>
      <c r="X79" s="2">
        <f t="shared" si="18"/>
        <v>0</v>
      </c>
      <c r="Y79" s="2"/>
      <c r="Z79" s="6">
        <f t="shared" si="19"/>
        <v>0</v>
      </c>
    </row>
    <row r="80" spans="1:26" s="69" customFormat="1" ht="15" hidden="1" customHeight="1" outlineLevel="2" x14ac:dyDescent="0.3">
      <c r="A80" s="25"/>
      <c r="B80" s="12" t="str">
        <f>CONCATENATE("          ","6408"," - ","INVENTORY ADJUSTMENT")</f>
        <v xml:space="preserve">          6408 - INVENTORY ADJUSTMENT</v>
      </c>
      <c r="C80" s="12"/>
      <c r="D80" s="8">
        <v>100</v>
      </c>
      <c r="E80" s="3"/>
      <c r="F80" s="7">
        <f t="shared" si="12"/>
        <v>3.0644117907533824E-3</v>
      </c>
      <c r="G80" s="3"/>
      <c r="H80" s="8">
        <v>100</v>
      </c>
      <c r="I80" s="3"/>
      <c r="J80" s="7">
        <f t="shared" si="13"/>
        <v>4.1584364279031094E-3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900</v>
      </c>
      <c r="Q80" s="3"/>
      <c r="R80" s="7">
        <f t="shared" si="16"/>
        <v>3.0951839213311542E-3</v>
      </c>
      <c r="S80" s="3"/>
      <c r="T80" s="8">
        <v>900</v>
      </c>
      <c r="U80" s="3"/>
      <c r="V80" s="7">
        <f t="shared" si="17"/>
        <v>4.3209833866830749E-3</v>
      </c>
      <c r="W80" s="3"/>
      <c r="X80" s="8">
        <f t="shared" si="18"/>
        <v>0</v>
      </c>
      <c r="Y80" s="3"/>
      <c r="Z80" s="7">
        <f t="shared" si="19"/>
        <v>0</v>
      </c>
    </row>
    <row r="81" spans="1:26" s="68" customFormat="1" ht="15" customHeight="1" outlineLevel="1" collapsed="1" x14ac:dyDescent="0.3">
      <c r="A81" s="26"/>
      <c r="B81" s="14" t="str">
        <f>CONCATENATE("     ","Professional Services                             ")</f>
        <v xml:space="preserve">     Professional Services                             </v>
      </c>
      <c r="C81" s="14"/>
      <c r="D81" s="2">
        <f>SUM(OSRRefD22_9x_0)</f>
        <v>0</v>
      </c>
      <c r="E81" s="2"/>
      <c r="F81" s="6">
        <f t="shared" si="12"/>
        <v>0</v>
      </c>
      <c r="G81" s="2"/>
      <c r="H81" s="2">
        <f>SUM(OSRRefH22_9x_0)</f>
        <v>0</v>
      </c>
      <c r="I81" s="2"/>
      <c r="J81" s="6">
        <f t="shared" si="13"/>
        <v>0</v>
      </c>
      <c r="K81" s="2"/>
      <c r="L81" s="2">
        <f t="shared" si="14"/>
        <v>0</v>
      </c>
      <c r="M81" s="2"/>
      <c r="N81" s="6">
        <f t="shared" si="15"/>
        <v>0</v>
      </c>
      <c r="O81" s="14"/>
      <c r="P81" s="2">
        <f>SUM(OSRRefP22_9x_0)</f>
        <v>161.46</v>
      </c>
      <c r="Q81" s="2"/>
      <c r="R81" s="6">
        <f t="shared" si="16"/>
        <v>5.5527599548680902E-4</v>
      </c>
      <c r="S81" s="2"/>
      <c r="T81" s="2">
        <f>SUM(OSRRefT22_9x_0)</f>
        <v>0</v>
      </c>
      <c r="U81" s="2"/>
      <c r="V81" s="6">
        <f t="shared" si="17"/>
        <v>0</v>
      </c>
      <c r="W81" s="2"/>
      <c r="X81" s="2">
        <f t="shared" si="18"/>
        <v>161.46</v>
      </c>
      <c r="Y81" s="2"/>
      <c r="Z81" s="6">
        <f t="shared" si="19"/>
        <v>0</v>
      </c>
    </row>
    <row r="82" spans="1:26" s="69" customFormat="1" ht="15" hidden="1" customHeight="1" outlineLevel="2" x14ac:dyDescent="0.3">
      <c r="A82" s="25"/>
      <c r="B82" s="12" t="str">
        <f>CONCATENATE("          ","6336"," - ","PROFESSIONAL SERVICES")</f>
        <v xml:space="preserve">          6336 - PROFESSIONAL SERVICES</v>
      </c>
      <c r="C82" s="12"/>
      <c r="D82" s="8"/>
      <c r="E82" s="3"/>
      <c r="F82" s="7">
        <f t="shared" ref="F82:F106" si="20">IF(D$12=0,0,D82/D$12)</f>
        <v>0</v>
      </c>
      <c r="G82" s="3"/>
      <c r="H82" s="8"/>
      <c r="I82" s="3"/>
      <c r="J82" s="7">
        <f t="shared" ref="J82:J106" si="21">IF(H$12=0,0,H82/H$12)</f>
        <v>0</v>
      </c>
      <c r="K82" s="3"/>
      <c r="L82" s="8">
        <f t="shared" ref="L82:L106" si="22">+D82-H82</f>
        <v>0</v>
      </c>
      <c r="M82" s="3"/>
      <c r="N82" s="7">
        <f t="shared" ref="N82:N106" si="23">IF(H82=0,0,L82/H82)</f>
        <v>0</v>
      </c>
      <c r="O82" s="12"/>
      <c r="P82" s="8">
        <v>161.46</v>
      </c>
      <c r="Q82" s="3"/>
      <c r="R82" s="7">
        <f t="shared" ref="R82:R106" si="24">IF(P$12=0,0,P82/P$12)</f>
        <v>5.5527599548680902E-4</v>
      </c>
      <c r="S82" s="3"/>
      <c r="T82" s="8"/>
      <c r="U82" s="3"/>
      <c r="V82" s="7">
        <f t="shared" ref="V82:V106" si="25">IF(T$12=0,0,T82/T$12)</f>
        <v>0</v>
      </c>
      <c r="W82" s="3"/>
      <c r="X82" s="8">
        <f t="shared" ref="X82:X106" si="26">+P82-T82</f>
        <v>161.46</v>
      </c>
      <c r="Y82" s="3"/>
      <c r="Z82" s="7">
        <f t="shared" ref="Z82:Z106" si="27">IF(T82=0,0,X82/T82)</f>
        <v>0</v>
      </c>
    </row>
    <row r="83" spans="1:26" s="68" customFormat="1" ht="15" customHeight="1" outlineLevel="1" collapsed="1" x14ac:dyDescent="0.3">
      <c r="A83" s="26"/>
      <c r="B83" s="14" t="str">
        <f>CONCATENATE("     ","Rent                                              ")</f>
        <v xml:space="preserve">     Rent                                              </v>
      </c>
      <c r="C83" s="14"/>
      <c r="D83" s="2">
        <f>SUM(OSRRefD22_10x_0)</f>
        <v>6900</v>
      </c>
      <c r="E83" s="2"/>
      <c r="F83" s="6">
        <f t="shared" si="20"/>
        <v>0.21144441356198337</v>
      </c>
      <c r="G83" s="2"/>
      <c r="H83" s="2">
        <f>SUM(OSRRefH22_10x_0)</f>
        <v>6900</v>
      </c>
      <c r="I83" s="2"/>
      <c r="J83" s="6">
        <f t="shared" si="21"/>
        <v>0.28693211352531456</v>
      </c>
      <c r="K83" s="2"/>
      <c r="L83" s="2">
        <f t="shared" si="22"/>
        <v>0</v>
      </c>
      <c r="M83" s="2"/>
      <c r="N83" s="6">
        <f t="shared" si="23"/>
        <v>0</v>
      </c>
      <c r="O83" s="14"/>
      <c r="P83" s="2">
        <f>SUM(OSRRefP22_10x_0)</f>
        <v>62100</v>
      </c>
      <c r="Q83" s="2"/>
      <c r="R83" s="6">
        <f t="shared" si="24"/>
        <v>0.21356769057184963</v>
      </c>
      <c r="S83" s="2"/>
      <c r="T83" s="2">
        <f>SUM(OSRRefT22_10x_0)</f>
        <v>62100</v>
      </c>
      <c r="U83" s="2"/>
      <c r="V83" s="6">
        <f t="shared" si="25"/>
        <v>0.29814785368113217</v>
      </c>
      <c r="W83" s="2"/>
      <c r="X83" s="2">
        <f t="shared" si="26"/>
        <v>0</v>
      </c>
      <c r="Y83" s="2"/>
      <c r="Z83" s="6">
        <f t="shared" si="27"/>
        <v>0</v>
      </c>
    </row>
    <row r="84" spans="1:26" s="69" customFormat="1" ht="15" hidden="1" customHeight="1" outlineLevel="2" x14ac:dyDescent="0.3">
      <c r="A84" s="25"/>
      <c r="B84" s="12" t="str">
        <f>CONCATENATE("          ","6273"," - ","RENT")</f>
        <v xml:space="preserve">          6273 - RENT</v>
      </c>
      <c r="C84" s="12"/>
      <c r="D84" s="8">
        <v>6900</v>
      </c>
      <c r="E84" s="3"/>
      <c r="F84" s="7">
        <f t="shared" si="20"/>
        <v>0.21144441356198337</v>
      </c>
      <c r="G84" s="3"/>
      <c r="H84" s="8">
        <v>6900</v>
      </c>
      <c r="I84" s="3"/>
      <c r="J84" s="7">
        <f t="shared" si="21"/>
        <v>0.28693211352531456</v>
      </c>
      <c r="K84" s="3"/>
      <c r="L84" s="8">
        <f t="shared" si="22"/>
        <v>0</v>
      </c>
      <c r="M84" s="3"/>
      <c r="N84" s="7">
        <f t="shared" si="23"/>
        <v>0</v>
      </c>
      <c r="O84" s="12"/>
      <c r="P84" s="8">
        <v>62100</v>
      </c>
      <c r="Q84" s="3"/>
      <c r="R84" s="7">
        <f t="shared" si="24"/>
        <v>0.21356769057184963</v>
      </c>
      <c r="S84" s="3"/>
      <c r="T84" s="8">
        <v>62100</v>
      </c>
      <c r="U84" s="3"/>
      <c r="V84" s="7">
        <f t="shared" si="25"/>
        <v>0.29814785368113217</v>
      </c>
      <c r="W84" s="3"/>
      <c r="X84" s="8">
        <f t="shared" si="26"/>
        <v>0</v>
      </c>
      <c r="Y84" s="3"/>
      <c r="Z84" s="7">
        <f t="shared" si="27"/>
        <v>0</v>
      </c>
    </row>
    <row r="85" spans="1:26" s="68" customFormat="1" ht="15" customHeight="1" outlineLevel="1" collapsed="1" x14ac:dyDescent="0.3">
      <c r="A85" s="26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SUM(OSRRefD22_11x_0)</f>
        <v>232.93</v>
      </c>
      <c r="E85" s="2"/>
      <c r="F85" s="6">
        <f t="shared" si="20"/>
        <v>7.1379343842018538E-3</v>
      </c>
      <c r="G85" s="2"/>
      <c r="H85" s="2">
        <f>SUM(OSRRefH22_11x_0)</f>
        <v>213.79</v>
      </c>
      <c r="I85" s="2"/>
      <c r="J85" s="6">
        <f t="shared" si="21"/>
        <v>8.8903212392140579E-3</v>
      </c>
      <c r="K85" s="2"/>
      <c r="L85" s="2">
        <f t="shared" si="22"/>
        <v>19.140000000000015</v>
      </c>
      <c r="M85" s="2"/>
      <c r="N85" s="6">
        <f t="shared" si="23"/>
        <v>8.9527106038636117E-2</v>
      </c>
      <c r="O85" s="14"/>
      <c r="P85" s="2">
        <f>SUM(OSRRefP22_11x_0)</f>
        <v>1519.57</v>
      </c>
      <c r="Q85" s="2"/>
      <c r="R85" s="6">
        <f t="shared" si="24"/>
        <v>5.2259429237079798E-3</v>
      </c>
      <c r="S85" s="2"/>
      <c r="T85" s="2">
        <f>SUM(OSRRefT22_11x_0)</f>
        <v>309.70999999999998</v>
      </c>
      <c r="U85" s="2"/>
      <c r="V85" s="6">
        <f t="shared" si="25"/>
        <v>1.4869464052106834E-3</v>
      </c>
      <c r="W85" s="2"/>
      <c r="X85" s="2">
        <f t="shared" si="26"/>
        <v>1209.8599999999999</v>
      </c>
      <c r="Y85" s="2"/>
      <c r="Z85" s="6">
        <f t="shared" si="27"/>
        <v>3.9064285944916213</v>
      </c>
    </row>
    <row r="86" spans="1:26" s="69" customFormat="1" ht="15" hidden="1" customHeight="1" outlineLevel="2" x14ac:dyDescent="0.3">
      <c r="A86" s="25"/>
      <c r="B86" s="12" t="str">
        <f>CONCATENATE("          ","6372"," - ","COMPUTER HARDWARE MAINTENANCE")</f>
        <v xml:space="preserve">          6372 - COMPUTER HARDWARE MAINTENANCE</v>
      </c>
      <c r="C86" s="12"/>
      <c r="D86" s="8"/>
      <c r="E86" s="3"/>
      <c r="F86" s="7">
        <f t="shared" si="20"/>
        <v>0</v>
      </c>
      <c r="G86" s="3"/>
      <c r="H86" s="8"/>
      <c r="I86" s="3"/>
      <c r="J86" s="7">
        <f t="shared" si="21"/>
        <v>0</v>
      </c>
      <c r="K86" s="3"/>
      <c r="L86" s="8">
        <f t="shared" si="22"/>
        <v>0</v>
      </c>
      <c r="M86" s="3"/>
      <c r="N86" s="7">
        <f t="shared" si="23"/>
        <v>0</v>
      </c>
      <c r="O86" s="12"/>
      <c r="P86" s="8"/>
      <c r="Q86" s="3"/>
      <c r="R86" s="7">
        <f t="shared" si="24"/>
        <v>0</v>
      </c>
      <c r="S86" s="3"/>
      <c r="T86" s="8">
        <v>-0.52</v>
      </c>
      <c r="U86" s="3"/>
      <c r="V86" s="7">
        <f t="shared" si="25"/>
        <v>-2.4965681789724437E-6</v>
      </c>
      <c r="W86" s="3"/>
      <c r="X86" s="8">
        <f t="shared" si="26"/>
        <v>0.52</v>
      </c>
      <c r="Y86" s="3"/>
      <c r="Z86" s="7">
        <f t="shared" si="27"/>
        <v>-1</v>
      </c>
    </row>
    <row r="87" spans="1:26" s="69" customFormat="1" ht="15" hidden="1" customHeight="1" outlineLevel="2" x14ac:dyDescent="0.3">
      <c r="A87" s="25"/>
      <c r="B87" s="12" t="str">
        <f>CONCATENATE("          ","6373"," - ","MAINTENANCE CONTRACTS")</f>
        <v xml:space="preserve">          6373 - MAINTENANCE CONTRACTS</v>
      </c>
      <c r="C87" s="12"/>
      <c r="D87" s="8">
        <v>232.93</v>
      </c>
      <c r="E87" s="3"/>
      <c r="F87" s="7">
        <f t="shared" si="20"/>
        <v>7.1379343842018538E-3</v>
      </c>
      <c r="G87" s="3"/>
      <c r="H87" s="8">
        <v>48.23</v>
      </c>
      <c r="I87" s="3"/>
      <c r="J87" s="7">
        <f t="shared" si="21"/>
        <v>2.0056138891776697E-3</v>
      </c>
      <c r="K87" s="3"/>
      <c r="L87" s="8">
        <f t="shared" si="22"/>
        <v>184.70000000000002</v>
      </c>
      <c r="M87" s="3"/>
      <c r="N87" s="7">
        <f t="shared" si="23"/>
        <v>3.8295666597553395</v>
      </c>
      <c r="O87" s="12"/>
      <c r="P87" s="8">
        <v>696.76</v>
      </c>
      <c r="Q87" s="3"/>
      <c r="R87" s="7">
        <f t="shared" si="24"/>
        <v>2.3962226100296608E-3</v>
      </c>
      <c r="S87" s="3"/>
      <c r="T87" s="8">
        <v>144.66999999999999</v>
      </c>
      <c r="U87" s="3"/>
      <c r="V87" s="7">
        <f t="shared" si="25"/>
        <v>6.9457407394604492E-4</v>
      </c>
      <c r="W87" s="3"/>
      <c r="X87" s="8">
        <f t="shared" si="26"/>
        <v>552.09</v>
      </c>
      <c r="Y87" s="3"/>
      <c r="Z87" s="7">
        <f t="shared" si="27"/>
        <v>3.8162023916499623</v>
      </c>
    </row>
    <row r="88" spans="1:26" s="69" customFormat="1" ht="15" hidden="1" customHeight="1" outlineLevel="2" x14ac:dyDescent="0.3">
      <c r="A88" s="25"/>
      <c r="B88" s="12" t="str">
        <f>CONCATENATE("          ","6375"," - ","OUTSIDE REPAIRS &amp; MAINTENANCE")</f>
        <v xml:space="preserve">          6375 - OUTSIDE REPAIRS &amp; MAINTENANCE</v>
      </c>
      <c r="C88" s="12"/>
      <c r="D88" s="8"/>
      <c r="E88" s="3"/>
      <c r="F88" s="7">
        <f t="shared" si="20"/>
        <v>0</v>
      </c>
      <c r="G88" s="3"/>
      <c r="H88" s="8">
        <v>165.56</v>
      </c>
      <c r="I88" s="3"/>
      <c r="J88" s="7">
        <f t="shared" si="21"/>
        <v>6.8847073500363882E-3</v>
      </c>
      <c r="K88" s="3"/>
      <c r="L88" s="8">
        <f t="shared" si="22"/>
        <v>-165.56</v>
      </c>
      <c r="M88" s="3"/>
      <c r="N88" s="7">
        <f t="shared" si="23"/>
        <v>-1</v>
      </c>
      <c r="O88" s="12"/>
      <c r="P88" s="8">
        <v>822.81</v>
      </c>
      <c r="Q88" s="3"/>
      <c r="R88" s="7">
        <f t="shared" si="24"/>
        <v>2.8297203136783185E-3</v>
      </c>
      <c r="S88" s="3"/>
      <c r="T88" s="8">
        <v>165.56</v>
      </c>
      <c r="U88" s="3"/>
      <c r="V88" s="7">
        <f t="shared" si="25"/>
        <v>7.9486889944361107E-4</v>
      </c>
      <c r="W88" s="3"/>
      <c r="X88" s="8">
        <f t="shared" si="26"/>
        <v>657.25</v>
      </c>
      <c r="Y88" s="3"/>
      <c r="Z88" s="7">
        <f t="shared" si="27"/>
        <v>3.9698598695337037</v>
      </c>
    </row>
    <row r="89" spans="1:26" s="68" customFormat="1" ht="15" customHeight="1" outlineLevel="1" collapsed="1" x14ac:dyDescent="0.3">
      <c r="A89" s="26"/>
      <c r="B89" s="14" t="str">
        <f>CONCATENATE("     ","Services                                          ")</f>
        <v xml:space="preserve">     Services                                          </v>
      </c>
      <c r="C89" s="14"/>
      <c r="D89" s="2">
        <f>SUM(OSRRefD22_12x_0)</f>
        <v>223.45</v>
      </c>
      <c r="E89" s="2"/>
      <c r="F89" s="6">
        <f t="shared" si="20"/>
        <v>6.8474281464384326E-3</v>
      </c>
      <c r="G89" s="2"/>
      <c r="H89" s="2">
        <f>SUM(OSRRefH22_12x_0)</f>
        <v>250.83999999999997</v>
      </c>
      <c r="I89" s="2"/>
      <c r="J89" s="6">
        <f t="shared" si="21"/>
        <v>1.0431021935752158E-2</v>
      </c>
      <c r="K89" s="2"/>
      <c r="L89" s="2">
        <f t="shared" si="22"/>
        <v>-27.389999999999986</v>
      </c>
      <c r="M89" s="2"/>
      <c r="N89" s="6">
        <f t="shared" si="23"/>
        <v>-0.10919311114654756</v>
      </c>
      <c r="O89" s="14"/>
      <c r="P89" s="2">
        <f>SUM(OSRRefP22_12x_0)</f>
        <v>1578.81</v>
      </c>
      <c r="Q89" s="2"/>
      <c r="R89" s="6">
        <f t="shared" si="24"/>
        <v>5.4296748075964877E-3</v>
      </c>
      <c r="S89" s="2"/>
      <c r="T89" s="2">
        <f>SUM(OSRRefT22_12x_0)</f>
        <v>607.34</v>
      </c>
      <c r="U89" s="2"/>
      <c r="V89" s="6">
        <f t="shared" si="25"/>
        <v>2.9158956111867769E-3</v>
      </c>
      <c r="W89" s="2"/>
      <c r="X89" s="2">
        <f t="shared" si="26"/>
        <v>971.46999999999991</v>
      </c>
      <c r="Y89" s="2"/>
      <c r="Z89" s="6">
        <f t="shared" si="27"/>
        <v>1.5995488523726411</v>
      </c>
    </row>
    <row r="90" spans="1:26" s="69" customFormat="1" ht="15" hidden="1" customHeight="1" outlineLevel="2" x14ac:dyDescent="0.3">
      <c r="A90" s="25"/>
      <c r="B90" s="12" t="str">
        <f>CONCATENATE("          ","6283"," - ","PLANT SERVICE")</f>
        <v xml:space="preserve">          6283 - PLANT SERVICE</v>
      </c>
      <c r="C90" s="12"/>
      <c r="D90" s="8"/>
      <c r="E90" s="3"/>
      <c r="F90" s="7">
        <f t="shared" si="20"/>
        <v>0</v>
      </c>
      <c r="G90" s="3"/>
      <c r="H90" s="8"/>
      <c r="I90" s="3"/>
      <c r="J90" s="7">
        <f t="shared" si="21"/>
        <v>0</v>
      </c>
      <c r="K90" s="3"/>
      <c r="L90" s="8">
        <f t="shared" si="22"/>
        <v>0</v>
      </c>
      <c r="M90" s="3"/>
      <c r="N90" s="7">
        <f t="shared" si="23"/>
        <v>0</v>
      </c>
      <c r="O90" s="12"/>
      <c r="P90" s="8"/>
      <c r="Q90" s="3"/>
      <c r="R90" s="7">
        <f t="shared" si="24"/>
        <v>0</v>
      </c>
      <c r="S90" s="3"/>
      <c r="T90" s="8">
        <v>41.31</v>
      </c>
      <c r="U90" s="3"/>
      <c r="V90" s="7">
        <f t="shared" si="25"/>
        <v>1.9833313744875317E-4</v>
      </c>
      <c r="W90" s="3"/>
      <c r="X90" s="8">
        <f t="shared" si="26"/>
        <v>-41.31</v>
      </c>
      <c r="Y90" s="3"/>
      <c r="Z90" s="7">
        <f t="shared" si="27"/>
        <v>-1</v>
      </c>
    </row>
    <row r="91" spans="1:26" s="69" customFormat="1" ht="15" hidden="1" customHeight="1" outlineLevel="2" x14ac:dyDescent="0.3">
      <c r="A91" s="25"/>
      <c r="B91" s="12" t="str">
        <f>CONCATENATE("          ","6284"," - ","TRASH REMOVAL EXPENSE")</f>
        <v xml:space="preserve">          6284 - TRASH REMOVAL EXPENSE</v>
      </c>
      <c r="C91" s="12"/>
      <c r="D91" s="8">
        <v>149.69999999999999</v>
      </c>
      <c r="E91" s="3"/>
      <c r="F91" s="7">
        <f t="shared" si="20"/>
        <v>4.5874244507578127E-3</v>
      </c>
      <c r="G91" s="3"/>
      <c r="H91" s="8">
        <v>142.57</v>
      </c>
      <c r="I91" s="3"/>
      <c r="J91" s="7">
        <f t="shared" si="21"/>
        <v>5.9286828152614636E-3</v>
      </c>
      <c r="K91" s="3"/>
      <c r="L91" s="8">
        <f t="shared" si="22"/>
        <v>7.1299999999999955</v>
      </c>
      <c r="M91" s="3"/>
      <c r="N91" s="7">
        <f t="shared" si="23"/>
        <v>5.0010521147506461E-2</v>
      </c>
      <c r="O91" s="12"/>
      <c r="P91" s="8">
        <v>1340.17</v>
      </c>
      <c r="Q91" s="3"/>
      <c r="R91" s="7">
        <f t="shared" si="24"/>
        <v>4.6089695953893031E-3</v>
      </c>
      <c r="S91" s="3"/>
      <c r="T91" s="8">
        <v>1298.1500000000001</v>
      </c>
      <c r="U91" s="3"/>
      <c r="V91" s="7">
        <f t="shared" si="25"/>
        <v>6.2325384260251493E-3</v>
      </c>
      <c r="W91" s="3"/>
      <c r="X91" s="8">
        <f t="shared" si="26"/>
        <v>42.019999999999982</v>
      </c>
      <c r="Y91" s="3"/>
      <c r="Z91" s="7">
        <f t="shared" si="27"/>
        <v>3.2369140700227228E-2</v>
      </c>
    </row>
    <row r="92" spans="1:26" s="69" customFormat="1" ht="15" hidden="1" customHeight="1" outlineLevel="2" x14ac:dyDescent="0.3">
      <c r="A92" s="25"/>
      <c r="B92" s="12" t="str">
        <f>CONCATENATE("          ","6285"," - ","JANITORIAL SERVICES")</f>
        <v xml:space="preserve">          6285 - JANITORIAL SERVICES</v>
      </c>
      <c r="C92" s="12"/>
      <c r="D92" s="8">
        <v>73.75</v>
      </c>
      <c r="E92" s="3"/>
      <c r="F92" s="7">
        <f t="shared" si="20"/>
        <v>2.2600036956806195E-3</v>
      </c>
      <c r="G92" s="3"/>
      <c r="H92" s="8">
        <v>108.27</v>
      </c>
      <c r="I92" s="3"/>
      <c r="J92" s="7">
        <f t="shared" si="21"/>
        <v>4.5023391204906966E-3</v>
      </c>
      <c r="K92" s="3"/>
      <c r="L92" s="8">
        <f t="shared" si="22"/>
        <v>-34.519999999999996</v>
      </c>
      <c r="M92" s="3"/>
      <c r="N92" s="7">
        <f t="shared" si="23"/>
        <v>-0.31883254825898216</v>
      </c>
      <c r="O92" s="12"/>
      <c r="P92" s="8">
        <v>238.64</v>
      </c>
      <c r="Q92" s="3"/>
      <c r="R92" s="7">
        <f t="shared" si="24"/>
        <v>8.2070521220718501E-4</v>
      </c>
      <c r="S92" s="3"/>
      <c r="T92" s="8">
        <v>-732.12</v>
      </c>
      <c r="U92" s="3"/>
      <c r="V92" s="7">
        <f t="shared" si="25"/>
        <v>-3.5149759522871255E-3</v>
      </c>
      <c r="W92" s="3"/>
      <c r="X92" s="8">
        <f t="shared" si="26"/>
        <v>970.76</v>
      </c>
      <c r="Y92" s="3"/>
      <c r="Z92" s="7">
        <f t="shared" si="27"/>
        <v>-1.3259574933071081</v>
      </c>
    </row>
    <row r="93" spans="1:26" s="68" customFormat="1" ht="15" customHeight="1" outlineLevel="1" collapsed="1" x14ac:dyDescent="0.3">
      <c r="A93" s="26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2">
        <f>SUM(OSRRefD22_13x_0)</f>
        <v>0</v>
      </c>
      <c r="E93" s="2"/>
      <c r="F93" s="6">
        <f t="shared" si="20"/>
        <v>0</v>
      </c>
      <c r="G93" s="2"/>
      <c r="H93" s="2">
        <f>SUM(OSRRefH22_13x_0)</f>
        <v>75</v>
      </c>
      <c r="I93" s="2"/>
      <c r="J93" s="6">
        <f t="shared" si="21"/>
        <v>3.1188273209273322E-3</v>
      </c>
      <c r="K93" s="2"/>
      <c r="L93" s="2">
        <f t="shared" si="22"/>
        <v>-75</v>
      </c>
      <c r="M93" s="2"/>
      <c r="N93" s="6">
        <f t="shared" si="23"/>
        <v>-1</v>
      </c>
      <c r="O93" s="14"/>
      <c r="P93" s="2">
        <f>SUM(OSRRefP22_13x_0)</f>
        <v>0</v>
      </c>
      <c r="Q93" s="2"/>
      <c r="R93" s="6">
        <f t="shared" si="24"/>
        <v>0</v>
      </c>
      <c r="S93" s="2"/>
      <c r="T93" s="2">
        <f>SUM(OSRRefT22_13x_0)</f>
        <v>239.27</v>
      </c>
      <c r="U93" s="2"/>
      <c r="V93" s="6">
        <f t="shared" si="25"/>
        <v>1.148757438812955E-3</v>
      </c>
      <c r="W93" s="2"/>
      <c r="X93" s="2">
        <f t="shared" si="26"/>
        <v>-239.27</v>
      </c>
      <c r="Y93" s="2"/>
      <c r="Z93" s="6">
        <f t="shared" si="27"/>
        <v>-1</v>
      </c>
    </row>
    <row r="94" spans="1:26" s="69" customFormat="1" ht="15" hidden="1" customHeight="1" outlineLevel="2" x14ac:dyDescent="0.3">
      <c r="A94" s="25"/>
      <c r="B94" s="12" t="str">
        <f>CONCATENATE("          ","6258"," - ","MEMBERSHIP DUES")</f>
        <v xml:space="preserve">          6258 - MEMBERSHIP DUES</v>
      </c>
      <c r="C94" s="12"/>
      <c r="D94" s="8"/>
      <c r="E94" s="3"/>
      <c r="F94" s="7">
        <f t="shared" si="20"/>
        <v>0</v>
      </c>
      <c r="G94" s="3"/>
      <c r="H94" s="8"/>
      <c r="I94" s="3"/>
      <c r="J94" s="7">
        <f t="shared" si="21"/>
        <v>0</v>
      </c>
      <c r="K94" s="3"/>
      <c r="L94" s="8">
        <f t="shared" si="22"/>
        <v>0</v>
      </c>
      <c r="M94" s="3"/>
      <c r="N94" s="7">
        <f t="shared" si="23"/>
        <v>0</v>
      </c>
      <c r="O94" s="12"/>
      <c r="P94" s="8"/>
      <c r="Q94" s="3"/>
      <c r="R94" s="7">
        <f t="shared" si="24"/>
        <v>0</v>
      </c>
      <c r="S94" s="3"/>
      <c r="T94" s="8">
        <v>-60.73</v>
      </c>
      <c r="U94" s="3"/>
      <c r="V94" s="7">
        <f t="shared" si="25"/>
        <v>-2.9157035674807016E-4</v>
      </c>
      <c r="W94" s="3"/>
      <c r="X94" s="8">
        <f t="shared" si="26"/>
        <v>60.73</v>
      </c>
      <c r="Y94" s="3"/>
      <c r="Z94" s="7">
        <f t="shared" si="27"/>
        <v>-1</v>
      </c>
    </row>
    <row r="95" spans="1:26" s="69" customFormat="1" ht="15" hidden="1" customHeight="1" outlineLevel="2" x14ac:dyDescent="0.3">
      <c r="A95" s="25"/>
      <c r="B95" s="12" t="str">
        <f>CONCATENATE("          ","6275"," - ","SUBSCRIPTIONS")</f>
        <v xml:space="preserve">          6275 - SUBSCRIPTIONS</v>
      </c>
      <c r="C95" s="12"/>
      <c r="D95" s="8"/>
      <c r="E95" s="3"/>
      <c r="F95" s="7">
        <f t="shared" si="20"/>
        <v>0</v>
      </c>
      <c r="G95" s="3"/>
      <c r="H95" s="8">
        <v>75</v>
      </c>
      <c r="I95" s="3"/>
      <c r="J95" s="7">
        <f t="shared" si="21"/>
        <v>3.1188273209273322E-3</v>
      </c>
      <c r="K95" s="3"/>
      <c r="L95" s="8">
        <f t="shared" si="22"/>
        <v>-75</v>
      </c>
      <c r="M95" s="3"/>
      <c r="N95" s="7">
        <f t="shared" si="23"/>
        <v>-1</v>
      </c>
      <c r="O95" s="12"/>
      <c r="P95" s="8"/>
      <c r="Q95" s="3"/>
      <c r="R95" s="7">
        <f t="shared" si="24"/>
        <v>0</v>
      </c>
      <c r="S95" s="3"/>
      <c r="T95" s="8">
        <v>300</v>
      </c>
      <c r="U95" s="3"/>
      <c r="V95" s="7">
        <f t="shared" si="25"/>
        <v>1.440327795561025E-3</v>
      </c>
      <c r="W95" s="3"/>
      <c r="X95" s="8">
        <f t="shared" si="26"/>
        <v>-300</v>
      </c>
      <c r="Y95" s="3"/>
      <c r="Z95" s="7">
        <f t="shared" si="27"/>
        <v>-1</v>
      </c>
    </row>
    <row r="96" spans="1:26" s="68" customFormat="1" ht="15" customHeight="1" outlineLevel="1" collapsed="1" x14ac:dyDescent="0.3">
      <c r="A96" s="26"/>
      <c r="B96" s="14" t="str">
        <f>CONCATENATE("     ","Supplies                                          ")</f>
        <v xml:space="preserve">     Supplies                                          </v>
      </c>
      <c r="C96" s="14"/>
      <c r="D96" s="2">
        <f>SUM(OSRRefD22_14x_0)</f>
        <v>9.3000000000000007</v>
      </c>
      <c r="E96" s="2"/>
      <c r="F96" s="6">
        <f t="shared" si="20"/>
        <v>2.8499029654006458E-4</v>
      </c>
      <c r="G96" s="2"/>
      <c r="H96" s="2">
        <f>SUM(OSRRefH22_14x_0)</f>
        <v>0</v>
      </c>
      <c r="I96" s="2"/>
      <c r="J96" s="6">
        <f t="shared" si="21"/>
        <v>0</v>
      </c>
      <c r="K96" s="2"/>
      <c r="L96" s="2">
        <f t="shared" si="22"/>
        <v>9.3000000000000007</v>
      </c>
      <c r="M96" s="2"/>
      <c r="N96" s="6">
        <f t="shared" si="23"/>
        <v>0</v>
      </c>
      <c r="O96" s="14"/>
      <c r="P96" s="2">
        <f>SUM(OSRRefP22_14x_0)</f>
        <v>1045.93</v>
      </c>
      <c r="Q96" s="2"/>
      <c r="R96" s="6">
        <f t="shared" si="24"/>
        <v>3.5970507987087711E-3</v>
      </c>
      <c r="S96" s="2"/>
      <c r="T96" s="2">
        <f>SUM(OSRRefT22_14x_0)</f>
        <v>559.15</v>
      </c>
      <c r="U96" s="2"/>
      <c r="V96" s="6">
        <f t="shared" si="25"/>
        <v>2.6845309562931572E-3</v>
      </c>
      <c r="W96" s="2"/>
      <c r="X96" s="2">
        <f t="shared" si="26"/>
        <v>486.78000000000009</v>
      </c>
      <c r="Y96" s="2"/>
      <c r="Z96" s="6">
        <f t="shared" si="27"/>
        <v>0.87057140302244496</v>
      </c>
    </row>
    <row r="97" spans="1:26" s="69" customFormat="1" ht="15" hidden="1" customHeight="1" outlineLevel="2" x14ac:dyDescent="0.3">
      <c r="A97" s="25"/>
      <c r="B97" s="12" t="str">
        <f>CONCATENATE("          ","6235"," - ","COVID-19 EXPENSES")</f>
        <v xml:space="preserve">          6235 - COVID-19 EXPENSES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/>
      <c r="Q97" s="3"/>
      <c r="R97" s="7">
        <f t="shared" si="24"/>
        <v>0</v>
      </c>
      <c r="S97" s="3"/>
      <c r="T97" s="8">
        <v>265.7</v>
      </c>
      <c r="U97" s="3"/>
      <c r="V97" s="7">
        <f t="shared" si="25"/>
        <v>1.2756503176018811E-3</v>
      </c>
      <c r="W97" s="3"/>
      <c r="X97" s="8">
        <f t="shared" si="26"/>
        <v>-265.7</v>
      </c>
      <c r="Y97" s="3"/>
      <c r="Z97" s="7">
        <f t="shared" si="27"/>
        <v>-1</v>
      </c>
    </row>
    <row r="98" spans="1:26" s="69" customFormat="1" ht="15" hidden="1" customHeight="1" outlineLevel="2" x14ac:dyDescent="0.3">
      <c r="A98" s="25"/>
      <c r="B98" s="12" t="str">
        <f>CONCATENATE("          ","6237"," - ","JANITORIAL SUPPLIES")</f>
        <v xml:space="preserve">          6237 - JANITORIAL SUPPLIES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77.17</v>
      </c>
      <c r="Q98" s="3"/>
      <c r="R98" s="7">
        <f t="shared" si="24"/>
        <v>2.6539482578791685E-4</v>
      </c>
      <c r="S98" s="3"/>
      <c r="T98" s="8">
        <v>191.74</v>
      </c>
      <c r="U98" s="3"/>
      <c r="V98" s="7">
        <f t="shared" si="25"/>
        <v>9.205615050695699E-4</v>
      </c>
      <c r="W98" s="3"/>
      <c r="X98" s="8">
        <f t="shared" si="26"/>
        <v>-114.57000000000001</v>
      </c>
      <c r="Y98" s="3"/>
      <c r="Z98" s="7">
        <f t="shared" si="27"/>
        <v>-0.59752790236778974</v>
      </c>
    </row>
    <row r="99" spans="1:26" s="69" customFormat="1" ht="15" hidden="1" customHeight="1" outlineLevel="2" x14ac:dyDescent="0.3">
      <c r="A99" s="25"/>
      <c r="B99" s="12" t="str">
        <f>CONCATENATE("          ","6241"," - ","OFFICE EXPENSE")</f>
        <v xml:space="preserve">          6241 - OFFICE EXPENSE</v>
      </c>
      <c r="C99" s="12"/>
      <c r="D99" s="8">
        <v>4.8499999999999996</v>
      </c>
      <c r="E99" s="3"/>
      <c r="F99" s="7">
        <f t="shared" si="20"/>
        <v>1.4862397185153904E-4</v>
      </c>
      <c r="G99" s="3"/>
      <c r="H99" s="8"/>
      <c r="I99" s="3"/>
      <c r="J99" s="7">
        <f t="shared" si="21"/>
        <v>0</v>
      </c>
      <c r="K99" s="3"/>
      <c r="L99" s="8">
        <f t="shared" si="22"/>
        <v>4.8499999999999996</v>
      </c>
      <c r="M99" s="3"/>
      <c r="N99" s="7">
        <f t="shared" si="23"/>
        <v>0</v>
      </c>
      <c r="O99" s="12"/>
      <c r="P99" s="8">
        <v>364.81</v>
      </c>
      <c r="Q99" s="3"/>
      <c r="R99" s="7">
        <f t="shared" si="24"/>
        <v>1.2546156070453536E-3</v>
      </c>
      <c r="S99" s="3"/>
      <c r="T99" s="8">
        <v>101.71</v>
      </c>
      <c r="U99" s="3"/>
      <c r="V99" s="7">
        <f t="shared" si="25"/>
        <v>4.8831913362170612E-4</v>
      </c>
      <c r="W99" s="3"/>
      <c r="X99" s="8">
        <f t="shared" si="26"/>
        <v>263.10000000000002</v>
      </c>
      <c r="Y99" s="3"/>
      <c r="Z99" s="7">
        <f t="shared" si="27"/>
        <v>2.5867662963327112</v>
      </c>
    </row>
    <row r="100" spans="1:26" s="69" customFormat="1" ht="15" hidden="1" customHeight="1" outlineLevel="2" x14ac:dyDescent="0.3">
      <c r="A100" s="25"/>
      <c r="B100" s="12" t="str">
        <f>CONCATENATE("          ","6247"," - ","STORE SUPPLIES")</f>
        <v xml:space="preserve">          6247 - STORE SUPPLIES</v>
      </c>
      <c r="C100" s="12"/>
      <c r="D100" s="8">
        <v>4.45</v>
      </c>
      <c r="E100" s="3"/>
      <c r="F100" s="7">
        <f t="shared" si="20"/>
        <v>1.3636632468852551E-4</v>
      </c>
      <c r="G100" s="3"/>
      <c r="H100" s="8"/>
      <c r="I100" s="3"/>
      <c r="J100" s="7">
        <f t="shared" si="21"/>
        <v>0</v>
      </c>
      <c r="K100" s="3"/>
      <c r="L100" s="8">
        <f t="shared" si="22"/>
        <v>4.45</v>
      </c>
      <c r="M100" s="3"/>
      <c r="N100" s="7">
        <f t="shared" si="23"/>
        <v>0</v>
      </c>
      <c r="O100" s="12"/>
      <c r="P100" s="8">
        <v>603.95000000000005</v>
      </c>
      <c r="Q100" s="3"/>
      <c r="R100" s="7">
        <f t="shared" si="24"/>
        <v>2.0770403658755005E-3</v>
      </c>
      <c r="S100" s="3"/>
      <c r="T100" s="8"/>
      <c r="U100" s="3"/>
      <c r="V100" s="7">
        <f t="shared" si="25"/>
        <v>0</v>
      </c>
      <c r="W100" s="3"/>
      <c r="X100" s="8">
        <f t="shared" si="26"/>
        <v>603.95000000000005</v>
      </c>
      <c r="Y100" s="3"/>
      <c r="Z100" s="7">
        <f t="shared" si="27"/>
        <v>0</v>
      </c>
    </row>
    <row r="101" spans="1:26" s="68" customFormat="1" ht="15" customHeight="1" outlineLevel="1" collapsed="1" x14ac:dyDescent="0.3">
      <c r="A101" s="26"/>
      <c r="B101" s="14" t="str">
        <f>CONCATENATE("     ","Telephone/Data Lines                              ")</f>
        <v xml:space="preserve">     Telephone/Data Lines                              </v>
      </c>
      <c r="C101" s="14"/>
      <c r="D101" s="2">
        <f>SUM(OSRRefD22_15x_0)</f>
        <v>310.19</v>
      </c>
      <c r="E101" s="2"/>
      <c r="F101" s="6">
        <f t="shared" si="20"/>
        <v>9.5054989337379162E-3</v>
      </c>
      <c r="G101" s="2"/>
      <c r="H101" s="2">
        <f>SUM(OSRRefH22_15x_0)</f>
        <v>231.15</v>
      </c>
      <c r="I101" s="2"/>
      <c r="J101" s="6">
        <f t="shared" si="21"/>
        <v>9.612225803098038E-3</v>
      </c>
      <c r="K101" s="2"/>
      <c r="L101" s="2">
        <f t="shared" si="22"/>
        <v>79.039999999999992</v>
      </c>
      <c r="M101" s="2"/>
      <c r="N101" s="6">
        <f t="shared" si="23"/>
        <v>0.34194246160501834</v>
      </c>
      <c r="O101" s="14"/>
      <c r="P101" s="2">
        <f>SUM(OSRRefP22_15x_0)</f>
        <v>2800.26</v>
      </c>
      <c r="Q101" s="2"/>
      <c r="R101" s="6">
        <f t="shared" si="24"/>
        <v>9.6303552528297538E-3</v>
      </c>
      <c r="S101" s="2"/>
      <c r="T101" s="2">
        <f>SUM(OSRRefT22_15x_0)</f>
        <v>2558.79</v>
      </c>
      <c r="U101" s="2"/>
      <c r="V101" s="6">
        <f t="shared" si="25"/>
        <v>1.2284987866678651E-2</v>
      </c>
      <c r="W101" s="2"/>
      <c r="X101" s="2">
        <f t="shared" si="26"/>
        <v>241.47000000000025</v>
      </c>
      <c r="Y101" s="2"/>
      <c r="Z101" s="6">
        <f t="shared" si="27"/>
        <v>9.4368822763884599E-2</v>
      </c>
    </row>
    <row r="102" spans="1:26" s="69" customFormat="1" ht="15" hidden="1" customHeight="1" outlineLevel="2" x14ac:dyDescent="0.3">
      <c r="A102" s="25"/>
      <c r="B102" s="12" t="str">
        <f>CONCATENATE("          ","6309"," - ","TELEPHONE")</f>
        <v xml:space="preserve">          6309 - TELEPHONE</v>
      </c>
      <c r="C102" s="12"/>
      <c r="D102" s="8">
        <v>310.19</v>
      </c>
      <c r="E102" s="3"/>
      <c r="F102" s="7">
        <f t="shared" si="20"/>
        <v>9.5054989337379162E-3</v>
      </c>
      <c r="G102" s="3"/>
      <c r="H102" s="8">
        <v>231.15</v>
      </c>
      <c r="I102" s="3"/>
      <c r="J102" s="7">
        <f t="shared" si="21"/>
        <v>9.612225803098038E-3</v>
      </c>
      <c r="K102" s="3"/>
      <c r="L102" s="8">
        <f t="shared" si="22"/>
        <v>79.039999999999992</v>
      </c>
      <c r="M102" s="3"/>
      <c r="N102" s="7">
        <f t="shared" si="23"/>
        <v>0.34194246160501834</v>
      </c>
      <c r="O102" s="12"/>
      <c r="P102" s="8">
        <v>2800.26</v>
      </c>
      <c r="Q102" s="3"/>
      <c r="R102" s="7">
        <f t="shared" si="24"/>
        <v>9.6303552528297538E-3</v>
      </c>
      <c r="S102" s="3"/>
      <c r="T102" s="8">
        <v>2558.79</v>
      </c>
      <c r="U102" s="3"/>
      <c r="V102" s="7">
        <f t="shared" si="25"/>
        <v>1.2284987866678651E-2</v>
      </c>
      <c r="W102" s="3"/>
      <c r="X102" s="8">
        <f t="shared" si="26"/>
        <v>241.47000000000025</v>
      </c>
      <c r="Y102" s="3"/>
      <c r="Z102" s="7">
        <f t="shared" si="27"/>
        <v>9.4368822763884599E-2</v>
      </c>
    </row>
    <row r="103" spans="1:26" s="68" customFormat="1" ht="15" customHeight="1" outlineLevel="1" collapsed="1" x14ac:dyDescent="0.3">
      <c r="A103" s="26"/>
      <c r="B103" s="14" t="str">
        <f>CONCATENATE("     ","Travel                                            ")</f>
        <v xml:space="preserve">     Travel                                            </v>
      </c>
      <c r="C103" s="14"/>
      <c r="D103" s="2">
        <f>SUM(OSRRefD22_16x_0)</f>
        <v>9.74</v>
      </c>
      <c r="E103" s="2"/>
      <c r="F103" s="6">
        <f t="shared" si="20"/>
        <v>2.9847370841937947E-4</v>
      </c>
      <c r="G103" s="2"/>
      <c r="H103" s="2">
        <f>SUM(OSRRefH22_16x_0)</f>
        <v>93.02</v>
      </c>
      <c r="I103" s="2"/>
      <c r="J103" s="6">
        <f t="shared" si="21"/>
        <v>3.8681775652354726E-3</v>
      </c>
      <c r="K103" s="2"/>
      <c r="L103" s="2">
        <f t="shared" si="22"/>
        <v>-83.28</v>
      </c>
      <c r="M103" s="2"/>
      <c r="N103" s="6">
        <f t="shared" si="23"/>
        <v>-0.89529133519673199</v>
      </c>
      <c r="O103" s="14"/>
      <c r="P103" s="2">
        <f>SUM(OSRRefP22_16x_0)</f>
        <v>326.08999999999997</v>
      </c>
      <c r="Q103" s="2"/>
      <c r="R103" s="6">
        <f t="shared" si="24"/>
        <v>1.1214539165631955E-3</v>
      </c>
      <c r="S103" s="2"/>
      <c r="T103" s="2">
        <f>SUM(OSRRefT22_16x_0)</f>
        <v>474.36</v>
      </c>
      <c r="U103" s="2"/>
      <c r="V103" s="6">
        <f t="shared" si="25"/>
        <v>2.2774463103410929E-3</v>
      </c>
      <c r="W103" s="2"/>
      <c r="X103" s="2">
        <f t="shared" si="26"/>
        <v>-148.27000000000004</v>
      </c>
      <c r="Y103" s="2"/>
      <c r="Z103" s="6">
        <f t="shared" si="27"/>
        <v>-0.31256851336537655</v>
      </c>
    </row>
    <row r="104" spans="1:26" s="69" customFormat="1" ht="15" hidden="1" customHeight="1" outlineLevel="2" x14ac:dyDescent="0.3">
      <c r="A104" s="25"/>
      <c r="B104" s="12" t="str">
        <f>CONCATENATE("          ","6294"," - ","TRAVEL OPERATIONAL")</f>
        <v xml:space="preserve">          6294 - TRAVEL OPERATIONAL</v>
      </c>
      <c r="C104" s="12"/>
      <c r="D104" s="8">
        <v>9.74</v>
      </c>
      <c r="E104" s="3"/>
      <c r="F104" s="7">
        <f t="shared" si="20"/>
        <v>2.9847370841937947E-4</v>
      </c>
      <c r="G104" s="3"/>
      <c r="H104" s="8">
        <v>93.02</v>
      </c>
      <c r="I104" s="3"/>
      <c r="J104" s="7">
        <f t="shared" si="21"/>
        <v>3.8681775652354726E-3</v>
      </c>
      <c r="K104" s="3"/>
      <c r="L104" s="8">
        <f t="shared" si="22"/>
        <v>-83.28</v>
      </c>
      <c r="M104" s="3"/>
      <c r="N104" s="7">
        <f t="shared" si="23"/>
        <v>-0.89529133519673199</v>
      </c>
      <c r="O104" s="12"/>
      <c r="P104" s="8">
        <v>326.08999999999997</v>
      </c>
      <c r="Q104" s="3"/>
      <c r="R104" s="7">
        <f t="shared" si="24"/>
        <v>1.1214539165631955E-3</v>
      </c>
      <c r="S104" s="3"/>
      <c r="T104" s="8">
        <v>474.36</v>
      </c>
      <c r="U104" s="3"/>
      <c r="V104" s="7">
        <f t="shared" si="25"/>
        <v>2.2774463103410929E-3</v>
      </c>
      <c r="W104" s="3"/>
      <c r="X104" s="8">
        <f t="shared" si="26"/>
        <v>-148.27000000000004</v>
      </c>
      <c r="Y104" s="3"/>
      <c r="Z104" s="7">
        <f t="shared" si="27"/>
        <v>-0.31256851336537655</v>
      </c>
    </row>
    <row r="105" spans="1:26" s="68" customFormat="1" ht="15" customHeight="1" outlineLevel="1" collapsed="1" x14ac:dyDescent="0.3">
      <c r="A105" s="26"/>
      <c r="B105" s="14" t="str">
        <f>CONCATENATE("     ","Utilities                                         ")</f>
        <v xml:space="preserve">     Utilities                                         </v>
      </c>
      <c r="C105" s="14"/>
      <c r="D105" s="2">
        <f>SUM(OSRRefD22_17x_0)</f>
        <v>137.83000000000001</v>
      </c>
      <c r="E105" s="2"/>
      <c r="F105" s="6">
        <f t="shared" si="20"/>
        <v>4.2236787711953869E-3</v>
      </c>
      <c r="G105" s="2"/>
      <c r="H105" s="2">
        <f>SUM(OSRRefH22_17x_0)</f>
        <v>30.45</v>
      </c>
      <c r="I105" s="2"/>
      <c r="J105" s="6">
        <f t="shared" si="21"/>
        <v>1.2662438922964969E-3</v>
      </c>
      <c r="K105" s="2"/>
      <c r="L105" s="2">
        <f t="shared" si="22"/>
        <v>107.38000000000001</v>
      </c>
      <c r="M105" s="2"/>
      <c r="N105" s="6">
        <f t="shared" si="23"/>
        <v>3.5264367816091959</v>
      </c>
      <c r="O105" s="14"/>
      <c r="P105" s="2">
        <f>SUM(OSRRefP22_17x_0)</f>
        <v>1032.9000000000001</v>
      </c>
      <c r="Q105" s="2"/>
      <c r="R105" s="6">
        <f t="shared" si="24"/>
        <v>3.5522394137143878E-3</v>
      </c>
      <c r="S105" s="2"/>
      <c r="T105" s="2">
        <f>SUM(OSRRefT22_17x_0)</f>
        <v>235.6</v>
      </c>
      <c r="U105" s="2"/>
      <c r="V105" s="6">
        <f t="shared" si="25"/>
        <v>1.1311374287805917E-3</v>
      </c>
      <c r="W105" s="2"/>
      <c r="X105" s="2">
        <f t="shared" si="26"/>
        <v>797.30000000000007</v>
      </c>
      <c r="Y105" s="2"/>
      <c r="Z105" s="6">
        <f t="shared" si="27"/>
        <v>3.3841256366723265</v>
      </c>
    </row>
    <row r="106" spans="1:26" s="69" customFormat="1" ht="15" hidden="1" customHeight="1" outlineLevel="2" x14ac:dyDescent="0.3">
      <c r="A106" s="25"/>
      <c r="B106" s="12" t="str">
        <f>CONCATENATE("          ","6274"," - ","UTILITIES")</f>
        <v xml:space="preserve">          6274 - UTILITIES</v>
      </c>
      <c r="C106" s="12"/>
      <c r="D106" s="8">
        <v>137.83000000000001</v>
      </c>
      <c r="E106" s="3"/>
      <c r="F106" s="7">
        <f t="shared" si="20"/>
        <v>4.2236787711953869E-3</v>
      </c>
      <c r="G106" s="3"/>
      <c r="H106" s="8">
        <v>30.45</v>
      </c>
      <c r="I106" s="3"/>
      <c r="J106" s="7">
        <f t="shared" si="21"/>
        <v>1.2662438922964969E-3</v>
      </c>
      <c r="K106" s="3"/>
      <c r="L106" s="8">
        <f t="shared" si="22"/>
        <v>107.38000000000001</v>
      </c>
      <c r="M106" s="3"/>
      <c r="N106" s="7">
        <f t="shared" si="23"/>
        <v>3.5264367816091959</v>
      </c>
      <c r="O106" s="12"/>
      <c r="P106" s="8">
        <v>1032.9000000000001</v>
      </c>
      <c r="Q106" s="3"/>
      <c r="R106" s="7">
        <f t="shared" si="24"/>
        <v>3.5522394137143878E-3</v>
      </c>
      <c r="S106" s="3"/>
      <c r="T106" s="8">
        <v>235.6</v>
      </c>
      <c r="U106" s="3"/>
      <c r="V106" s="7">
        <f t="shared" si="25"/>
        <v>1.1311374287805917E-3</v>
      </c>
      <c r="W106" s="3"/>
      <c r="X106" s="8">
        <f t="shared" si="26"/>
        <v>797.30000000000007</v>
      </c>
      <c r="Y106" s="3"/>
      <c r="Z106" s="7">
        <f t="shared" si="27"/>
        <v>3.3841256366723265</v>
      </c>
    </row>
    <row r="107" spans="1:26" s="64" customFormat="1" ht="15" customHeight="1" x14ac:dyDescent="0.3">
      <c r="A107" s="36"/>
      <c r="B107" s="36"/>
      <c r="C107" s="36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O107" s="3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62" customFormat="1" ht="15" customHeight="1" x14ac:dyDescent="0.3">
      <c r="A108" s="11"/>
      <c r="B108" s="28" t="s">
        <v>290</v>
      </c>
      <c r="C108" s="11"/>
      <c r="D108" s="5">
        <f>SUM(0)</f>
        <v>0</v>
      </c>
      <c r="E108" s="5"/>
      <c r="F108" s="13">
        <f>IF(D$12=0,0,D108/D$12)</f>
        <v>0</v>
      </c>
      <c r="G108" s="5"/>
      <c r="H108" s="5">
        <f>SUM(0)</f>
        <v>0</v>
      </c>
      <c r="I108" s="5"/>
      <c r="J108" s="13">
        <f>IF(H$12=0,0,H108/H$12)</f>
        <v>0</v>
      </c>
      <c r="K108" s="5"/>
      <c r="L108" s="5">
        <f>+D108-H108</f>
        <v>0</v>
      </c>
      <c r="M108" s="5"/>
      <c r="N108" s="13">
        <f>IF(H108=0,0,L108/H108)</f>
        <v>0</v>
      </c>
      <c r="O108" s="11"/>
      <c r="P108" s="5">
        <f>SUM(0)</f>
        <v>0</v>
      </c>
      <c r="Q108" s="5"/>
      <c r="R108" s="13">
        <f>IF(P$12=0,0,P108/P$12)</f>
        <v>0</v>
      </c>
      <c r="S108" s="5"/>
      <c r="T108" s="5">
        <f>SUM(0)</f>
        <v>0</v>
      </c>
      <c r="U108" s="5"/>
      <c r="V108" s="13">
        <f>IF(T$12=0,0,T108/T$12)</f>
        <v>0</v>
      </c>
      <c r="W108" s="5"/>
      <c r="X108" s="5">
        <f>+P108-T108</f>
        <v>0</v>
      </c>
      <c r="Y108" s="5"/>
      <c r="Z108" s="13">
        <f>IF(T108=0,0,X108/T108)</f>
        <v>0</v>
      </c>
    </row>
    <row r="109" spans="1:26" ht="15" customHeight="1" x14ac:dyDescent="0.3">
      <c r="A109" s="10"/>
      <c r="B109" s="11"/>
      <c r="C109" s="11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O109" s="11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7" t="s">
        <v>291</v>
      </c>
      <c r="C110" s="27"/>
      <c r="D110" s="22">
        <f>+D48-D50+D108</f>
        <v>1870.9399999999987</v>
      </c>
      <c r="E110" s="15"/>
      <c r="F110" s="21">
        <f>IF(D$12=0,0,D110/D$12)</f>
        <v>5.7333305957921292E-2</v>
      </c>
      <c r="G110" s="15"/>
      <c r="H110" s="22">
        <f>+H48-H50+H108</f>
        <v>-7720.9100000000108</v>
      </c>
      <c r="I110" s="15"/>
      <c r="J110" s="21">
        <f>IF(H$12=0,0,H110/H$12)</f>
        <v>-0.32106913400561443</v>
      </c>
      <c r="K110" s="17"/>
      <c r="L110" s="22">
        <f>+D110-H110</f>
        <v>9591.8500000000095</v>
      </c>
      <c r="M110" s="17"/>
      <c r="N110" s="21">
        <f>IF(H110=0,0,L110/H110)</f>
        <v>-1.2423211771669396</v>
      </c>
      <c r="O110" s="28"/>
      <c r="P110" s="22">
        <f>+P48-P50+P108</f>
        <v>1685.5799999999872</v>
      </c>
      <c r="Q110" s="15"/>
      <c r="R110" s="21">
        <f>IF(P$12=0,0,P110/P$12)</f>
        <v>5.796866793463697E-3</v>
      </c>
      <c r="S110" s="15"/>
      <c r="T110" s="22">
        <f>+T48-T50+T108</f>
        <v>-77596.920000000013</v>
      </c>
      <c r="U110" s="15"/>
      <c r="V110" s="21">
        <f>IF(T$12=0,0,T110/T$12)</f>
        <v>-0.37255000241975078</v>
      </c>
      <c r="W110" s="17"/>
      <c r="X110" s="22">
        <f>+P110-T110</f>
        <v>79282.5</v>
      </c>
      <c r="Y110" s="17"/>
      <c r="Z110" s="21">
        <f>IF(T110=0,0,X110/T110)</f>
        <v>-1.0217222539245112</v>
      </c>
    </row>
    <row r="111" spans="1:26" ht="15" customHeight="1" x14ac:dyDescent="0.3">
      <c r="A111" s="10"/>
      <c r="B111" s="11"/>
      <c r="C111" s="10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2" customFormat="1" ht="15" customHeight="1" x14ac:dyDescent="0.3">
      <c r="A112" s="48"/>
      <c r="B112" s="11" t="s">
        <v>292</v>
      </c>
      <c r="C112" s="11"/>
      <c r="D112" s="5">
        <v>2481.2600000000002</v>
      </c>
      <c r="E112" s="5"/>
      <c r="F112" s="13">
        <f>IF(D$12=0,0,D112/D$12)</f>
        <v>7.6036023999247387E-2</v>
      </c>
      <c r="G112" s="5"/>
      <c r="H112" s="5">
        <v>6440.16</v>
      </c>
      <c r="I112" s="5"/>
      <c r="J112" s="13">
        <f>IF(H$12=0,0,H112/H$12)</f>
        <v>0.26780995945524488</v>
      </c>
      <c r="K112" s="5"/>
      <c r="L112" s="5">
        <f>+D112-H112</f>
        <v>-3958.8999999999996</v>
      </c>
      <c r="M112" s="5"/>
      <c r="N112" s="13">
        <f>IF(H112=0,0,L112/H112)</f>
        <v>-0.61472075227944645</v>
      </c>
      <c r="O112" s="11"/>
      <c r="P112" s="5">
        <v>34703.199999999997</v>
      </c>
      <c r="Q112" s="5"/>
      <c r="R112" s="13">
        <f>IF(P$12=0,0,P112/P$12)</f>
        <v>0.11934754073193254</v>
      </c>
      <c r="S112" s="5"/>
      <c r="T112" s="5">
        <v>42925.96</v>
      </c>
      <c r="U112" s="5"/>
      <c r="V112" s="13">
        <f>IF(T$12=0,0,T112/T$12)</f>
        <v>0.20609151113046914</v>
      </c>
      <c r="W112" s="5"/>
      <c r="X112" s="5">
        <f>+P112-T112</f>
        <v>-8222.760000000002</v>
      </c>
      <c r="Y112" s="5"/>
      <c r="Z112" s="13">
        <f>IF(T112=0,0,X112/T112)</f>
        <v>-0.19155681084360146</v>
      </c>
    </row>
    <row r="113" spans="1:26" ht="15" customHeight="1" x14ac:dyDescent="0.3">
      <c r="A113" s="10"/>
      <c r="B113" s="11"/>
      <c r="C113" s="11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O113" s="11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2" customFormat="1" ht="15" customHeight="1" x14ac:dyDescent="0.3">
      <c r="A114" s="11"/>
      <c r="B114" s="27" t="s">
        <v>293</v>
      </c>
      <c r="C114" s="27"/>
      <c r="D114" s="34">
        <f>+D110-D112</f>
        <v>-610.32000000000153</v>
      </c>
      <c r="E114" s="15"/>
      <c r="F114" s="33">
        <f>IF(D$12=0,0,D114/D$12)</f>
        <v>-1.8702718041326089E-2</v>
      </c>
      <c r="G114" s="15"/>
      <c r="H114" s="34">
        <f>+H110-H112</f>
        <v>-14161.070000000011</v>
      </c>
      <c r="I114" s="15"/>
      <c r="J114" s="33">
        <f>IF(H$12=0,0,H114/H$12)</f>
        <v>-0.58887909346085932</v>
      </c>
      <c r="K114" s="17"/>
      <c r="L114" s="34">
        <f>D114-H114</f>
        <v>13550.750000000009</v>
      </c>
      <c r="M114" s="17"/>
      <c r="N114" s="33">
        <f>IF(H114=0,0,L114/H114)</f>
        <v>-0.95690156181700947</v>
      </c>
      <c r="O114" s="28"/>
      <c r="P114" s="34">
        <f>+P110-P112</f>
        <v>-33017.62000000001</v>
      </c>
      <c r="Q114" s="15"/>
      <c r="R114" s="33">
        <f>IF(P$12=0,0,P114/P$12)</f>
        <v>-0.11355067393846885</v>
      </c>
      <c r="S114" s="15"/>
      <c r="T114" s="34">
        <f>+T110-T112</f>
        <v>-120522.88</v>
      </c>
      <c r="U114" s="15"/>
      <c r="V114" s="33">
        <f>IF(T$12=0,0,T114/T$12)</f>
        <v>-0.57864151355021987</v>
      </c>
      <c r="W114" s="17"/>
      <c r="X114" s="34">
        <f>P114-T114</f>
        <v>87505.26</v>
      </c>
      <c r="Y114" s="17"/>
      <c r="Z114" s="33">
        <f>IF(T114=0,0,X114/T114)</f>
        <v>-0.72604687176409988</v>
      </c>
    </row>
    <row r="115" spans="1:26" ht="15" customHeight="1" x14ac:dyDescent="0.3">
      <c r="A115" s="10"/>
      <c r="B115" s="10"/>
      <c r="C115" s="10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ht="15" customHeight="1" x14ac:dyDescent="0.3">
      <c r="A116" s="10"/>
      <c r="B116" s="10"/>
      <c r="C116" s="10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11"/>
      <c r="B117" s="27" t="s">
        <v>296</v>
      </c>
      <c r="C117" s="27"/>
      <c r="D117" s="31">
        <f>SUM(D114:D116)</f>
        <v>-610.32000000000153</v>
      </c>
      <c r="E117" s="15"/>
      <c r="F117" s="32">
        <f>IF(D$12=0,0,D117/D$12)</f>
        <v>-1.8702718041326089E-2</v>
      </c>
      <c r="G117" s="15"/>
      <c r="H117" s="31">
        <f>SUM(H114:H116)</f>
        <v>-14161.070000000011</v>
      </c>
      <c r="I117" s="15"/>
      <c r="J117" s="32">
        <f>IF(H$12=0,0,H117/H$12)</f>
        <v>-0.58887909346085932</v>
      </c>
      <c r="K117" s="17"/>
      <c r="L117" s="31">
        <f>+D117-H117</f>
        <v>13550.750000000009</v>
      </c>
      <c r="M117" s="17"/>
      <c r="N117" s="32">
        <f>IF(H117=0,0,L117/H117)</f>
        <v>-0.95690156181700947</v>
      </c>
      <c r="O117" s="28"/>
      <c r="P117" s="31">
        <f>SUM(P114:P116)</f>
        <v>-33017.62000000001</v>
      </c>
      <c r="Q117" s="15"/>
      <c r="R117" s="32">
        <f>IF(P$12=0,0,P117/P$12)</f>
        <v>-0.11355067393846885</v>
      </c>
      <c r="S117" s="15"/>
      <c r="T117" s="31">
        <f>SUM(T114:T116)</f>
        <v>-120522.88</v>
      </c>
      <c r="U117" s="15"/>
      <c r="V117" s="32">
        <f>IF(T$12=0,0,T117/T$12)</f>
        <v>-0.57864151355021987</v>
      </c>
      <c r="W117" s="17"/>
      <c r="X117" s="31">
        <f>+P117-T117</f>
        <v>87505.26</v>
      </c>
      <c r="Y117" s="17"/>
      <c r="Z117" s="32">
        <f>IF(T117=0,0,X117/T117)</f>
        <v>-0.72604687176409988</v>
      </c>
    </row>
    <row r="118" spans="1:26" ht="15" customHeight="1" x14ac:dyDescent="0.3">
      <c r="A118" s="10"/>
      <c r="C118" s="10"/>
      <c r="D118" s="19"/>
      <c r="E118" s="19"/>
      <c r="G118" s="19"/>
      <c r="H118" s="19"/>
      <c r="I118" s="19"/>
      <c r="J118" s="40"/>
      <c r="K118" s="19"/>
      <c r="L118" s="19"/>
      <c r="M118" s="19"/>
      <c r="P118" s="19"/>
      <c r="Q118" s="19"/>
      <c r="R118" s="40"/>
      <c r="S118" s="19"/>
      <c r="T118" s="19"/>
      <c r="U118" s="19"/>
      <c r="V118" s="40"/>
      <c r="W118" s="19"/>
      <c r="X118" s="19"/>
    </row>
    <row r="119" spans="1:26" ht="15" customHeight="1" x14ac:dyDescent="0.3">
      <c r="A119" s="10"/>
      <c r="B119" s="56">
        <v>44663.03859679398</v>
      </c>
      <c r="D119" s="19"/>
      <c r="E119" s="19"/>
      <c r="G119" s="19"/>
      <c r="H119" s="19"/>
      <c r="I119" s="19"/>
      <c r="J119" s="40"/>
      <c r="K119" s="19"/>
      <c r="L119" s="19"/>
      <c r="M119" s="19"/>
      <c r="P119" s="19"/>
      <c r="Q119" s="19"/>
      <c r="R119" s="40"/>
      <c r="S119" s="19"/>
      <c r="T119" s="19"/>
      <c r="U119" s="19"/>
      <c r="V119" s="40"/>
      <c r="W119" s="19"/>
      <c r="X119" s="19"/>
    </row>
    <row r="120" spans="1:26" ht="15" customHeight="1" x14ac:dyDescent="0.3">
      <c r="A120" s="10"/>
      <c r="B120" s="57" t="s">
        <v>297</v>
      </c>
      <c r="D120" s="19"/>
      <c r="E120" s="19"/>
      <c r="G120" s="19"/>
      <c r="H120" s="19"/>
      <c r="I120" s="19"/>
      <c r="J120" s="40"/>
      <c r="K120" s="19"/>
      <c r="L120" s="19"/>
      <c r="M120" s="19"/>
      <c r="P120" s="19"/>
      <c r="Q120" s="19"/>
      <c r="R120" s="40"/>
      <c r="S120" s="19"/>
      <c r="T120" s="19"/>
      <c r="U120" s="19"/>
      <c r="V120" s="40"/>
      <c r="W120" s="19"/>
      <c r="X120" s="19"/>
    </row>
    <row r="121" spans="1:26" ht="15" customHeight="1" x14ac:dyDescent="0.3">
      <c r="A121" s="10"/>
      <c r="B121" s="58"/>
      <c r="D121" s="19"/>
      <c r="E121" s="19"/>
      <c r="G121" s="19"/>
      <c r="H121" s="19"/>
      <c r="I121" s="19"/>
      <c r="J121" s="40"/>
      <c r="K121" s="19"/>
      <c r="L121" s="19"/>
      <c r="M121" s="19"/>
      <c r="P121" s="19"/>
      <c r="Q121" s="19"/>
      <c r="R121" s="40"/>
      <c r="S121" s="19"/>
      <c r="T121" s="19"/>
      <c r="U121" s="19"/>
      <c r="V121" s="40"/>
      <c r="W121" s="19"/>
      <c r="X121" s="19"/>
    </row>
    <row r="122" spans="1:26" ht="15" customHeight="1" x14ac:dyDescent="0.3">
      <c r="D122" s="19"/>
      <c r="E122" s="19"/>
      <c r="G122" s="19"/>
      <c r="H122" s="19"/>
      <c r="I122" s="19"/>
      <c r="J122" s="40"/>
      <c r="K122" s="19"/>
      <c r="L122" s="19"/>
      <c r="M122" s="19"/>
      <c r="P122" s="19"/>
      <c r="Q122" s="19"/>
      <c r="R122" s="40"/>
      <c r="S122" s="19"/>
      <c r="T122" s="19"/>
      <c r="U122" s="19"/>
      <c r="V122" s="40"/>
      <c r="W122" s="19"/>
      <c r="X12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8B14A-822D-4654-A03E-AB0B3B9DF92E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298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>
        <f>SUM(0)</f>
        <v>0</v>
      </c>
      <c r="E18" s="23"/>
      <c r="F18" s="35">
        <f>IF(D$12=0,0,D18/D$12)</f>
        <v>0</v>
      </c>
      <c r="G18" s="23"/>
      <c r="H18" s="23">
        <f>SUM(0)</f>
        <v>0</v>
      </c>
      <c r="I18" s="23"/>
      <c r="J18" s="35">
        <f>IF(H$12=0,0,H18/H$12)</f>
        <v>0</v>
      </c>
      <c r="K18" s="5"/>
      <c r="L18" s="23">
        <f>+D18-H18</f>
        <v>0</v>
      </c>
      <c r="M18" s="5"/>
      <c r="N18" s="35">
        <f>IF(H18=0,0,L18/H18)</f>
        <v>0</v>
      </c>
      <c r="O18" s="11"/>
      <c r="P18" s="23">
        <f>SUM(0)</f>
        <v>0</v>
      </c>
      <c r="Q18" s="23"/>
      <c r="R18" s="35">
        <f>IF(P$12=0,0,P18/P$12)</f>
        <v>0</v>
      </c>
      <c r="S18" s="23"/>
      <c r="T18" s="23">
        <f>SUM(0)</f>
        <v>0</v>
      </c>
      <c r="U18" s="23"/>
      <c r="V18" s="35">
        <f>IF(T$12=0,0,T18/T$12)</f>
        <v>0</v>
      </c>
      <c r="W18" s="5"/>
      <c r="X18" s="23">
        <f>+P18-T18</f>
        <v>0</v>
      </c>
      <c r="Y18" s="5"/>
      <c r="Z18" s="35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7" t="s">
        <v>291</v>
      </c>
      <c r="C22" s="27"/>
      <c r="D22" s="22">
        <f>+D16-D18+D20</f>
        <v>0</v>
      </c>
      <c r="E22" s="15"/>
      <c r="F22" s="21">
        <f>IF(D$12=0,0,D22/D$12)</f>
        <v>0</v>
      </c>
      <c r="G22" s="15"/>
      <c r="H22" s="22">
        <f>+H16-H18+H20</f>
        <v>0</v>
      </c>
      <c r="I22" s="15"/>
      <c r="J22" s="21">
        <f>IF(H$12=0,0,H22/H$12)</f>
        <v>0</v>
      </c>
      <c r="K22" s="17"/>
      <c r="L22" s="22">
        <f>+D22-H22</f>
        <v>0</v>
      </c>
      <c r="M22" s="17"/>
      <c r="N22" s="21">
        <f>IF(H22=0,0,L22/H22)</f>
        <v>0</v>
      </c>
      <c r="O22" s="28"/>
      <c r="P22" s="22">
        <f>+P16-P18+P20</f>
        <v>0</v>
      </c>
      <c r="Q22" s="15"/>
      <c r="R22" s="21">
        <f>IF(P$12=0,0,P22/P$12)</f>
        <v>0</v>
      </c>
      <c r="S22" s="15"/>
      <c r="T22" s="22">
        <f>+T16-T18+T20</f>
        <v>0</v>
      </c>
      <c r="U22" s="15"/>
      <c r="V22" s="21">
        <f>IF(T$12=0,0,T22/T$12)</f>
        <v>0</v>
      </c>
      <c r="W22" s="17"/>
      <c r="X22" s="22">
        <f>+P22-T22</f>
        <v>0</v>
      </c>
      <c r="Y22" s="17"/>
      <c r="Z22" s="21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7" t="s">
        <v>293</v>
      </c>
      <c r="C26" s="27"/>
      <c r="D26" s="34">
        <f>+D22-D24</f>
        <v>0</v>
      </c>
      <c r="E26" s="15"/>
      <c r="F26" s="33">
        <f>IF(D$12=0,0,D26/D$12)</f>
        <v>0</v>
      </c>
      <c r="G26" s="15"/>
      <c r="H26" s="34">
        <f>+H22-H24</f>
        <v>0</v>
      </c>
      <c r="I26" s="15"/>
      <c r="J26" s="33">
        <f>IF(H$12=0,0,H26/H$12)</f>
        <v>0</v>
      </c>
      <c r="K26" s="17"/>
      <c r="L26" s="34">
        <f>D26-H26</f>
        <v>0</v>
      </c>
      <c r="M26" s="17"/>
      <c r="N26" s="33">
        <f>IF(H26=0,0,L26/H26)</f>
        <v>0</v>
      </c>
      <c r="O26" s="28"/>
      <c r="P26" s="34">
        <f>+P22-P24</f>
        <v>0</v>
      </c>
      <c r="Q26" s="15"/>
      <c r="R26" s="33">
        <f>IF(P$12=0,0,P26/P$12)</f>
        <v>0</v>
      </c>
      <c r="S26" s="15"/>
      <c r="T26" s="34">
        <f>+T22-T24</f>
        <v>0</v>
      </c>
      <c r="U26" s="15"/>
      <c r="V26" s="33">
        <f>IF(T$12=0,0,T26/T$12)</f>
        <v>0</v>
      </c>
      <c r="W26" s="17"/>
      <c r="X26" s="34">
        <f>P26-T26</f>
        <v>0</v>
      </c>
      <c r="Y26" s="17"/>
      <c r="Z26" s="33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294</v>
      </c>
      <c r="C28" s="11"/>
      <c r="D28" s="5">
        <f>-38582.65</f>
        <v>-38582.65</v>
      </c>
      <c r="E28" s="5"/>
      <c r="F28" s="13">
        <f>IF(D$12=0,0,D28/D$12)</f>
        <v>0</v>
      </c>
      <c r="G28" s="5"/>
      <c r="H28" s="5">
        <f>--105259.22</f>
        <v>105259.22</v>
      </c>
      <c r="I28" s="5"/>
      <c r="J28" s="13">
        <f>IF(H$12=0,0,H28/H$12)</f>
        <v>0</v>
      </c>
      <c r="K28" s="5"/>
      <c r="L28" s="5">
        <f>+D28-H28</f>
        <v>-143841.87</v>
      </c>
      <c r="M28" s="5"/>
      <c r="N28" s="13">
        <f>IF(H28=0,0,L28/H28)</f>
        <v>-1.3665488875938849</v>
      </c>
      <c r="O28" s="11"/>
      <c r="P28" s="5">
        <f>-954916.37</f>
        <v>-954916.37</v>
      </c>
      <c r="Q28" s="5"/>
      <c r="R28" s="13">
        <f>IF(P$12=0,0,P28/P$12)</f>
        <v>0</v>
      </c>
      <c r="S28" s="5"/>
      <c r="T28" s="5">
        <f>--2296813.19</f>
        <v>2296813.19</v>
      </c>
      <c r="U28" s="5"/>
      <c r="V28" s="13">
        <f>IF(T$12=0,0,T28/T$12)</f>
        <v>0</v>
      </c>
      <c r="W28" s="5"/>
      <c r="X28" s="5">
        <f>+P28-T28</f>
        <v>-3251729.56</v>
      </c>
      <c r="Y28" s="5"/>
      <c r="Z28" s="13">
        <f>IF(T28=0,0,X28/T28)</f>
        <v>-1.4157570908063273</v>
      </c>
    </row>
    <row r="29" spans="1:26" s="62" customFormat="1" ht="15" customHeight="1" x14ac:dyDescent="0.3">
      <c r="A29" s="48"/>
      <c r="B29" s="11" t="s">
        <v>295</v>
      </c>
      <c r="C29" s="11"/>
      <c r="D29" s="5">
        <f>--14325.83</f>
        <v>14325.83</v>
      </c>
      <c r="E29" s="5"/>
      <c r="F29" s="13">
        <f>IF(D$12=0,0,D29/D$12)</f>
        <v>0</v>
      </c>
      <c r="G29" s="5"/>
      <c r="H29" s="5">
        <f>--15480.93</f>
        <v>15480.93</v>
      </c>
      <c r="I29" s="5"/>
      <c r="J29" s="13">
        <f>IF(H$12=0,0,H29/H$12)</f>
        <v>0</v>
      </c>
      <c r="K29" s="5"/>
      <c r="L29" s="5">
        <f>+D29-H29</f>
        <v>-1155.1000000000004</v>
      </c>
      <c r="M29" s="5"/>
      <c r="N29" s="13">
        <f>IF(H29=0,0,L29/H29)</f>
        <v>-7.4614380402210995E-2</v>
      </c>
      <c r="O29" s="11"/>
      <c r="P29" s="5">
        <f>--2333265.47</f>
        <v>2333265.4700000002</v>
      </c>
      <c r="Q29" s="5"/>
      <c r="R29" s="13">
        <f>IF(P$12=0,0,P29/P$12)</f>
        <v>0</v>
      </c>
      <c r="S29" s="5"/>
      <c r="T29" s="5">
        <f>--82536.19</f>
        <v>82536.19</v>
      </c>
      <c r="U29" s="5"/>
      <c r="V29" s="13">
        <f>IF(T$12=0,0,T29/T$12)</f>
        <v>0</v>
      </c>
      <c r="W29" s="5"/>
      <c r="X29" s="5">
        <f>+P29-T29</f>
        <v>2250729.2800000003</v>
      </c>
      <c r="Y29" s="5"/>
      <c r="Z29" s="13">
        <f>IF(T29=0,0,X29/T29)</f>
        <v>27.269604763680032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296</v>
      </c>
      <c r="C31" s="27"/>
      <c r="D31" s="31">
        <f>SUM(D26:D30)</f>
        <v>-24256.82</v>
      </c>
      <c r="E31" s="15"/>
      <c r="F31" s="32">
        <f>IF(D$12=0,0,D31/D$12)</f>
        <v>0</v>
      </c>
      <c r="G31" s="15"/>
      <c r="H31" s="31">
        <f>SUM(H26:H30)</f>
        <v>120740.15</v>
      </c>
      <c r="I31" s="15"/>
      <c r="J31" s="32">
        <f>IF(H$12=0,0,H31/H$12)</f>
        <v>0</v>
      </c>
      <c r="K31" s="17"/>
      <c r="L31" s="31">
        <f>+D31-H31</f>
        <v>-144996.97</v>
      </c>
      <c r="M31" s="17"/>
      <c r="N31" s="32">
        <f>IF(H31=0,0,L31/H31)</f>
        <v>-1.2009010258807862</v>
      </c>
      <c r="O31" s="28"/>
      <c r="P31" s="31">
        <f>SUM(P26:P30)</f>
        <v>1378349.1</v>
      </c>
      <c r="Q31" s="15"/>
      <c r="R31" s="32">
        <f>IF(P$12=0,0,P31/P$12)</f>
        <v>0</v>
      </c>
      <c r="S31" s="15"/>
      <c r="T31" s="31">
        <f>SUM(T26:T30)</f>
        <v>2379349.38</v>
      </c>
      <c r="U31" s="15"/>
      <c r="V31" s="32">
        <f>IF(T$12=0,0,T31/T$12)</f>
        <v>0</v>
      </c>
      <c r="W31" s="17"/>
      <c r="X31" s="31">
        <f>+P31-T31</f>
        <v>-1001000.2799999998</v>
      </c>
      <c r="Y31" s="17"/>
      <c r="Z31" s="32">
        <f>IF(T31=0,0,X31/T31)</f>
        <v>-0.42070336051278012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6">
        <v>44663.038576620369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7" t="s">
        <v>297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8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12564-C483-3982-4CC8-9B8B9AE10DEA}">
  <sheetPr>
    <tabColor rgb="FFFFFF0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307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18218.639999999996</v>
      </c>
      <c r="E12" s="5"/>
      <c r="F12" s="13"/>
      <c r="G12" s="5"/>
      <c r="H12" s="5">
        <f>SUM(OSRRefH13x_0)</f>
        <v>2147</v>
      </c>
      <c r="I12" s="5"/>
      <c r="J12" s="13"/>
      <c r="K12" s="5"/>
      <c r="L12" s="5">
        <f t="shared" ref="L12:L25" si="0">+D12-H12</f>
        <v>16071.639999999996</v>
      </c>
      <c r="M12" s="5"/>
      <c r="N12" s="13">
        <f t="shared" ref="N12:N25" si="1">IF(H12=0,0,L12/H12)</f>
        <v>7.485626455519327</v>
      </c>
      <c r="O12" s="11"/>
      <c r="P12" s="5">
        <f>SUM(OSRRefP13x_0)</f>
        <v>164634.62</v>
      </c>
      <c r="Q12" s="5"/>
      <c r="R12" s="13"/>
      <c r="S12" s="5"/>
      <c r="T12" s="5">
        <f>SUM(OSRRefT13x_0)</f>
        <v>110995.03</v>
      </c>
      <c r="U12" s="5"/>
      <c r="V12" s="13"/>
      <c r="W12" s="5"/>
      <c r="X12" s="5">
        <f t="shared" ref="X12:X25" si="2">+P12-T12</f>
        <v>53639.59</v>
      </c>
      <c r="Y12" s="5"/>
      <c r="Z12" s="13">
        <f t="shared" ref="Z12:Z25" si="3">IF(T12=0,0,X12/T12)</f>
        <v>0.48326118746037544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--10589.72</f>
        <v>10589.72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10589.72</v>
      </c>
      <c r="M13" s="3"/>
      <c r="N13" s="20">
        <f t="shared" si="1"/>
        <v>0</v>
      </c>
      <c r="O13" s="12"/>
      <c r="P13" s="3">
        <f>--128105.83</f>
        <v>128105.83</v>
      </c>
      <c r="Q13" s="3"/>
      <c r="R13" s="20"/>
      <c r="S13" s="3"/>
      <c r="T13" s="3">
        <f>-9.28</f>
        <v>-9.2799999999999994</v>
      </c>
      <c r="U13" s="3"/>
      <c r="V13" s="20"/>
      <c r="W13" s="3"/>
      <c r="X13" s="3">
        <f t="shared" si="2"/>
        <v>128115.11</v>
      </c>
      <c r="Y13" s="3"/>
      <c r="Z13" s="20">
        <f t="shared" si="3"/>
        <v>-13805.507543103449</v>
      </c>
    </row>
    <row r="14" spans="1:26" s="69" customFormat="1" ht="15" hidden="1" customHeight="1" outlineLevel="1" x14ac:dyDescent="0.3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--591.75</f>
        <v>591.75</v>
      </c>
      <c r="I14" s="3"/>
      <c r="J14" s="20"/>
      <c r="K14" s="3"/>
      <c r="L14" s="3">
        <f t="shared" si="0"/>
        <v>-591.75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--92657.97</f>
        <v>92657.97</v>
      </c>
      <c r="U14" s="3"/>
      <c r="V14" s="20"/>
      <c r="W14" s="3"/>
      <c r="X14" s="3">
        <f t="shared" si="2"/>
        <v>-92657.97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--671.32</f>
        <v>671.32</v>
      </c>
      <c r="I15" s="3"/>
      <c r="J15" s="20"/>
      <c r="K15" s="3"/>
      <c r="L15" s="3">
        <f t="shared" si="0"/>
        <v>-671.32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--15819.95</f>
        <v>15819.95</v>
      </c>
      <c r="U15" s="3"/>
      <c r="V15" s="20"/>
      <c r="W15" s="3"/>
      <c r="X15" s="3">
        <f t="shared" si="2"/>
        <v>-15819.95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--14.9</f>
        <v>14.9</v>
      </c>
      <c r="I16" s="3"/>
      <c r="J16" s="20"/>
      <c r="K16" s="3"/>
      <c r="L16" s="3">
        <f t="shared" si="0"/>
        <v>-14.9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--52.68</f>
        <v>52.68</v>
      </c>
      <c r="U16" s="3"/>
      <c r="V16" s="20"/>
      <c r="W16" s="3"/>
      <c r="X16" s="3">
        <f t="shared" si="2"/>
        <v>-52.68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--775.28</f>
        <v>775.28</v>
      </c>
      <c r="I17" s="3"/>
      <c r="J17" s="20"/>
      <c r="K17" s="3"/>
      <c r="L17" s="3">
        <f t="shared" si="0"/>
        <v>-775.28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--915.13</f>
        <v>915.13</v>
      </c>
      <c r="U17" s="3"/>
      <c r="V17" s="20"/>
      <c r="W17" s="3"/>
      <c r="X17" s="3">
        <f t="shared" si="2"/>
        <v>-915.13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--7630.91</f>
        <v>7630.91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7630.91</v>
      </c>
      <c r="M18" s="3"/>
      <c r="N18" s="20">
        <f t="shared" si="1"/>
        <v>0</v>
      </c>
      <c r="O18" s="12"/>
      <c r="P18" s="3">
        <f>--37217.53</f>
        <v>37217.53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37217.53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--1278.64</f>
        <v>1278.6400000000001</v>
      </c>
      <c r="U19" s="3"/>
      <c r="V19" s="20"/>
      <c r="W19" s="3"/>
      <c r="X19" s="3">
        <f t="shared" si="2"/>
        <v>-1278.6400000000001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--1110.59</f>
        <v>1110.5899999999999</v>
      </c>
      <c r="U20" s="3"/>
      <c r="V20" s="20"/>
      <c r="W20" s="3"/>
      <c r="X20" s="3">
        <f t="shared" si="2"/>
        <v>-1110.5899999999999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--90.7</f>
        <v>90.7</v>
      </c>
      <c r="I21" s="3"/>
      <c r="J21" s="20"/>
      <c r="K21" s="3"/>
      <c r="L21" s="3">
        <f t="shared" si="0"/>
        <v>-90.7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--299.1</f>
        <v>299.10000000000002</v>
      </c>
      <c r="U21" s="3"/>
      <c r="V21" s="20"/>
      <c r="W21" s="3"/>
      <c r="X21" s="3">
        <f t="shared" si="2"/>
        <v>-299.10000000000002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--11</f>
        <v>11</v>
      </c>
      <c r="I22" s="3"/>
      <c r="J22" s="20"/>
      <c r="K22" s="3"/>
      <c r="L22" s="3">
        <f t="shared" si="0"/>
        <v>-11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--143.5</f>
        <v>143.5</v>
      </c>
      <c r="U22" s="3"/>
      <c r="V22" s="20"/>
      <c r="W22" s="3"/>
      <c r="X22" s="3">
        <f t="shared" si="2"/>
        <v>-143.5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-1.99</f>
        <v>-1.99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-1.99</v>
      </c>
      <c r="M23" s="3"/>
      <c r="N23" s="20">
        <f t="shared" si="1"/>
        <v>0</v>
      </c>
      <c r="O23" s="12"/>
      <c r="P23" s="3">
        <f>-688.74</f>
        <v>-688.74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-688.74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-7.95</f>
        <v>-7.95</v>
      </c>
      <c r="I24" s="3"/>
      <c r="J24" s="20"/>
      <c r="K24" s="3"/>
      <c r="L24" s="3">
        <f t="shared" si="0"/>
        <v>7.95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-1262.05</f>
        <v>-1262.05</v>
      </c>
      <c r="U24" s="3"/>
      <c r="V24" s="20"/>
      <c r="W24" s="3"/>
      <c r="X24" s="3">
        <f t="shared" si="2"/>
        <v>1262.05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-11.2</f>
        <v>-11.2</v>
      </c>
      <c r="U25" s="3"/>
      <c r="V25" s="20"/>
      <c r="W25" s="3"/>
      <c r="X25" s="3">
        <f t="shared" si="2"/>
        <v>11.2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8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5.0171707505991149E-5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3">
      <c r="A28" s="42"/>
      <c r="B28" s="12" t="str">
        <f>CONCATENATE("          ","5092"," - ","PURCHASES @ COST-GRAD MERCH")</f>
        <v xml:space="preserve">          5092 - PURCHASES @ COST-GRAD MERCH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/>
      <c r="Q28" s="3"/>
      <c r="R28" s="20">
        <f>IF(P$12=0,0,P28/P$12)</f>
        <v>0</v>
      </c>
      <c r="S28" s="3"/>
      <c r="T28" s="3">
        <v>0</v>
      </c>
      <c r="U28" s="3"/>
      <c r="V28" s="20">
        <f>IF(T$12=0,0,T28/T$12)</f>
        <v>0</v>
      </c>
      <c r="W28" s="3"/>
      <c r="X28" s="3">
        <f>+P28-T28</f>
        <v>0</v>
      </c>
      <c r="Y28" s="3"/>
      <c r="Z28" s="20">
        <f>IF(T28=0,0,X28/T28)</f>
        <v>0</v>
      </c>
    </row>
    <row r="29" spans="1:26" s="69" customFormat="1" ht="15" hidden="1" customHeight="1" outlineLevel="1" x14ac:dyDescent="0.3">
      <c r="A29" s="42"/>
      <c r="B29" s="12" t="str">
        <f>CONCATENATE("          ","5500"," - ","FREIGHT-IN")</f>
        <v xml:space="preserve">          5500 - FREIGHT-IN</v>
      </c>
      <c r="C29" s="12"/>
      <c r="D29" s="3"/>
      <c r="E29" s="3"/>
      <c r="F29" s="20">
        <f>IF(D$12=0,0,D29/D$12)</f>
        <v>0</v>
      </c>
      <c r="G29" s="3"/>
      <c r="H29" s="3"/>
      <c r="I29" s="3"/>
      <c r="J29" s="20">
        <f>IF(H$12=0,0,H29/H$12)</f>
        <v>0</v>
      </c>
      <c r="K29" s="3"/>
      <c r="L29" s="3">
        <f>+D29-H29</f>
        <v>0</v>
      </c>
      <c r="M29" s="3"/>
      <c r="N29" s="20">
        <f>IF(H29=0,0,L29/H29)</f>
        <v>0</v>
      </c>
      <c r="O29" s="12"/>
      <c r="P29" s="3">
        <v>8.26</v>
      </c>
      <c r="Q29" s="3"/>
      <c r="R29" s="20">
        <f>IF(P$12=0,0,P29/P$12)</f>
        <v>5.0171707505991149E-5</v>
      </c>
      <c r="S29" s="3"/>
      <c r="T29" s="3"/>
      <c r="U29" s="3"/>
      <c r="V29" s="20">
        <f>IF(T$12=0,0,T29/T$12)</f>
        <v>0</v>
      </c>
      <c r="W29" s="3"/>
      <c r="X29" s="3">
        <f>+P29-T29</f>
        <v>8.26</v>
      </c>
      <c r="Y29" s="3"/>
      <c r="Z29" s="20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","5592"," - ","FREIGHT-IN-GRAD MERCH")</f>
        <v xml:space="preserve">          5592 - FREIGHT-IN-GRAD MERCH</v>
      </c>
      <c r="C30" s="12"/>
      <c r="D30" s="3"/>
      <c r="E30" s="3"/>
      <c r="F30" s="20">
        <f>IF(D$12=0,0,D30/D$12)</f>
        <v>0</v>
      </c>
      <c r="G30" s="3"/>
      <c r="H30" s="3"/>
      <c r="I30" s="3"/>
      <c r="J30" s="20">
        <f>IF(H$12=0,0,H30/H$12)</f>
        <v>0</v>
      </c>
      <c r="K30" s="3"/>
      <c r="L30" s="3">
        <f>+D30-H30</f>
        <v>0</v>
      </c>
      <c r="M30" s="3"/>
      <c r="N30" s="20">
        <f>IF(H30=0,0,L30/H30)</f>
        <v>0</v>
      </c>
      <c r="O30" s="12"/>
      <c r="P30" s="3"/>
      <c r="Q30" s="3"/>
      <c r="R30" s="20">
        <f>IF(P$12=0,0,P30/P$12)</f>
        <v>0</v>
      </c>
      <c r="S30" s="3"/>
      <c r="T30" s="3">
        <v>0</v>
      </c>
      <c r="U30" s="3"/>
      <c r="V30" s="20">
        <f>IF(T$12=0,0,T30/T$12)</f>
        <v>0</v>
      </c>
      <c r="W30" s="3"/>
      <c r="X30" s="3">
        <f>+P30-T30</f>
        <v>0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7" t="s">
        <v>288</v>
      </c>
      <c r="C32" s="27"/>
      <c r="D32" s="22">
        <f>D12-D27</f>
        <v>18218.639999999996</v>
      </c>
      <c r="E32" s="15"/>
      <c r="F32" s="21">
        <f>IF(D$12=0,0,D32/D$12)</f>
        <v>1</v>
      </c>
      <c r="G32" s="15"/>
      <c r="H32" s="22">
        <f>H12-H27</f>
        <v>2147</v>
      </c>
      <c r="I32" s="15"/>
      <c r="J32" s="21">
        <f>IF(H$12=0,0,H32/H$12)</f>
        <v>1</v>
      </c>
      <c r="K32" s="17"/>
      <c r="L32" s="22">
        <f>+D32-H32</f>
        <v>16071.639999999996</v>
      </c>
      <c r="M32" s="17"/>
      <c r="N32" s="21">
        <f>IF(H32=0,0,L32/H32)</f>
        <v>7.485626455519327</v>
      </c>
      <c r="O32" s="28"/>
      <c r="P32" s="22">
        <f>P12-P27</f>
        <v>164626.35999999999</v>
      </c>
      <c r="Q32" s="15"/>
      <c r="R32" s="21">
        <f>IF(P$12=0,0,P32/P$12)</f>
        <v>0.9999498282924939</v>
      </c>
      <c r="S32" s="15"/>
      <c r="T32" s="22">
        <f>T12-T27</f>
        <v>110995.03</v>
      </c>
      <c r="U32" s="15"/>
      <c r="V32" s="21">
        <f>IF(T$12=0,0,T32/T$12)</f>
        <v>1</v>
      </c>
      <c r="W32" s="17"/>
      <c r="X32" s="22">
        <f>+P32-T32</f>
        <v>53631.329999999987</v>
      </c>
      <c r="Y32" s="17"/>
      <c r="Z32" s="21">
        <f>IF(T32=0,0,X32/T32)</f>
        <v>0.4831867697139231</v>
      </c>
    </row>
    <row r="33" spans="1:26" ht="15" customHeight="1" x14ac:dyDescent="0.3">
      <c r="A33" s="10"/>
      <c r="B33" s="11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2" customFormat="1" ht="15" customHeight="1" x14ac:dyDescent="0.3">
      <c r="A34" s="11"/>
      <c r="B34" s="28" t="s">
        <v>289</v>
      </c>
      <c r="C34" s="11"/>
      <c r="D34" s="23" cm="1">
        <f t="array" ref="D34">SUM(OSRRefD22x_0)</f>
        <v>33901.689999999995</v>
      </c>
      <c r="E34" s="23"/>
      <c r="F34" s="35">
        <f t="shared" ref="F34:F78" si="4">IF(D$12=0,0,D34/D$12)</f>
        <v>1.860824408408092</v>
      </c>
      <c r="G34" s="23"/>
      <c r="H34" s="23" cm="1">
        <f t="array" ref="H34">SUM(OSRRefH22x_0)</f>
        <v>19440.499999999989</v>
      </c>
      <c r="I34" s="23"/>
      <c r="J34" s="35">
        <f t="shared" ref="J34:J78" si="5">IF(H$12=0,0,H34/H$12)</f>
        <v>9.0547275267815515</v>
      </c>
      <c r="K34" s="5"/>
      <c r="L34" s="23">
        <f t="shared" ref="L34:L78" si="6">+D34-H34</f>
        <v>14461.190000000006</v>
      </c>
      <c r="M34" s="5"/>
      <c r="N34" s="35">
        <f t="shared" ref="N34:N78" si="7">IF(H34=0,0,L34/H34)</f>
        <v>0.74386924204624438</v>
      </c>
      <c r="O34" s="11"/>
      <c r="P34" s="23" cm="1">
        <f t="array" ref="P34">SUM(OSRRefP22x_0)</f>
        <v>216887.65000000002</v>
      </c>
      <c r="Q34" s="23"/>
      <c r="R34" s="35">
        <f t="shared" ref="R34:R78" si="8">IF(P$12=0,0,P34/P$12)</f>
        <v>1.3173878616781818</v>
      </c>
      <c r="S34" s="23"/>
      <c r="T34" s="23" cm="1">
        <f t="array" ref="T34">SUM(OSRRefT22x_0)</f>
        <v>257264.91</v>
      </c>
      <c r="U34" s="23"/>
      <c r="V34" s="35">
        <f t="shared" ref="V34:V78" si="9">IF(T$12=0,0,T34/T$12)</f>
        <v>2.317805671118788</v>
      </c>
      <c r="W34" s="5"/>
      <c r="X34" s="23">
        <f t="shared" ref="X34:X78" si="10">+P34-T34</f>
        <v>-40377.25999999998</v>
      </c>
      <c r="Y34" s="5"/>
      <c r="Z34" s="35">
        <f t="shared" ref="Z34:Z78" si="11">IF(T34=0,0,X34/T34)</f>
        <v>-0.15694818232303806</v>
      </c>
    </row>
    <row r="35" spans="1:26" s="68" customFormat="1" ht="15" customHeight="1" outlineLevel="1" collapsed="1" x14ac:dyDescent="0.3">
      <c r="A35" s="26"/>
      <c r="B35" s="14" t="str">
        <f>CONCATENATE("     ","*Benefits                                         ")</f>
        <v xml:space="preserve">     *Benefits                                         </v>
      </c>
      <c r="C35" s="14"/>
      <c r="D35" s="2">
        <f>SUM(OSRRefD22_0x_0)</f>
        <v>4409.54</v>
      </c>
      <c r="E35" s="2"/>
      <c r="F35" s="6">
        <f t="shared" si="4"/>
        <v>0.24203453166646913</v>
      </c>
      <c r="G35" s="2"/>
      <c r="H35" s="2">
        <f>SUM(OSRRefH22_0x_0)</f>
        <v>8898.1500000000015</v>
      </c>
      <c r="I35" s="2"/>
      <c r="J35" s="6">
        <f t="shared" si="5"/>
        <v>4.1444573823940392</v>
      </c>
      <c r="K35" s="2"/>
      <c r="L35" s="2">
        <f t="shared" si="6"/>
        <v>-4488.6100000000015</v>
      </c>
      <c r="M35" s="2"/>
      <c r="N35" s="6">
        <f t="shared" si="7"/>
        <v>-0.50444305838854153</v>
      </c>
      <c r="O35" s="14"/>
      <c r="P35" s="2">
        <f>SUM(OSRRefP22_0x_0)</f>
        <v>67168.75</v>
      </c>
      <c r="Q35" s="2"/>
      <c r="R35" s="6">
        <f t="shared" si="8"/>
        <v>0.40798678916985992</v>
      </c>
      <c r="S35" s="2"/>
      <c r="T35" s="2">
        <f>SUM(OSRRefT22_0x_0)</f>
        <v>84386.12000000001</v>
      </c>
      <c r="U35" s="2"/>
      <c r="V35" s="6">
        <f t="shared" si="9"/>
        <v>0.76026935620450764</v>
      </c>
      <c r="W35" s="2"/>
      <c r="X35" s="2">
        <f t="shared" si="10"/>
        <v>-17217.37000000001</v>
      </c>
      <c r="Y35" s="2"/>
      <c r="Z35" s="6">
        <f t="shared" si="11"/>
        <v>-0.20403082876662665</v>
      </c>
    </row>
    <row r="36" spans="1:26" s="69" customFormat="1" ht="15" hidden="1" customHeight="1" outlineLevel="2" x14ac:dyDescent="0.3">
      <c r="A36" s="25"/>
      <c r="B36" s="12" t="str">
        <f>CONCATENATE("          ","6111"," - ","F.I.C.A.")</f>
        <v xml:space="preserve">          6111 - F.I.C.A.</v>
      </c>
      <c r="C36" s="12"/>
      <c r="D36" s="8">
        <v>671.98</v>
      </c>
      <c r="E36" s="3"/>
      <c r="F36" s="7">
        <f t="shared" si="4"/>
        <v>3.6884202113878981E-2</v>
      </c>
      <c r="G36" s="3"/>
      <c r="H36" s="8">
        <v>1213.6400000000001</v>
      </c>
      <c r="I36" s="3"/>
      <c r="J36" s="7">
        <f t="shared" si="5"/>
        <v>0.56527247321844443</v>
      </c>
      <c r="K36" s="3"/>
      <c r="L36" s="8">
        <f t="shared" si="6"/>
        <v>-541.66000000000008</v>
      </c>
      <c r="M36" s="3"/>
      <c r="N36" s="7">
        <f t="shared" si="7"/>
        <v>-0.44631027322764577</v>
      </c>
      <c r="O36" s="12"/>
      <c r="P36" s="8">
        <v>11181.19</v>
      </c>
      <c r="Q36" s="3"/>
      <c r="R36" s="7">
        <f t="shared" si="8"/>
        <v>6.7915180901805469E-2</v>
      </c>
      <c r="S36" s="3"/>
      <c r="T36" s="8">
        <v>11467.69</v>
      </c>
      <c r="U36" s="3"/>
      <c r="V36" s="7">
        <f t="shared" si="9"/>
        <v>0.10331714852457809</v>
      </c>
      <c r="W36" s="3"/>
      <c r="X36" s="8">
        <f t="shared" si="10"/>
        <v>-286.5</v>
      </c>
      <c r="Y36" s="3"/>
      <c r="Z36" s="7">
        <f t="shared" si="11"/>
        <v>-2.4983235507761371E-2</v>
      </c>
    </row>
    <row r="37" spans="1:26" s="69" customFormat="1" ht="15" hidden="1" customHeight="1" outlineLevel="2" x14ac:dyDescent="0.3">
      <c r="A37" s="25"/>
      <c r="B37" s="12" t="str">
        <f>CONCATENATE("          ","6112"," - ","COMPENSATION INSURANCE")</f>
        <v xml:space="preserve">          6112 - COMPENSATION INSURANCE</v>
      </c>
      <c r="C37" s="12"/>
      <c r="D37" s="8">
        <v>181</v>
      </c>
      <c r="E37" s="3"/>
      <c r="F37" s="7">
        <f t="shared" si="4"/>
        <v>9.9348798812644648E-3</v>
      </c>
      <c r="G37" s="3"/>
      <c r="H37" s="8">
        <v>311.66000000000003</v>
      </c>
      <c r="I37" s="3"/>
      <c r="J37" s="7">
        <f t="shared" si="5"/>
        <v>0.14516068933395437</v>
      </c>
      <c r="K37" s="3"/>
      <c r="L37" s="8">
        <f t="shared" si="6"/>
        <v>-130.66000000000003</v>
      </c>
      <c r="M37" s="3"/>
      <c r="N37" s="7">
        <f t="shared" si="7"/>
        <v>-0.41923891420137332</v>
      </c>
      <c r="O37" s="12"/>
      <c r="P37" s="8">
        <v>2535.13</v>
      </c>
      <c r="Q37" s="3"/>
      <c r="R37" s="7">
        <f t="shared" si="8"/>
        <v>1.5398523105286119E-2</v>
      </c>
      <c r="S37" s="3"/>
      <c r="T37" s="8">
        <v>3030.26</v>
      </c>
      <c r="U37" s="3"/>
      <c r="V37" s="7">
        <f t="shared" si="9"/>
        <v>2.7300862029588174E-2</v>
      </c>
      <c r="W37" s="3"/>
      <c r="X37" s="8">
        <f t="shared" si="10"/>
        <v>-495.13000000000011</v>
      </c>
      <c r="Y37" s="3"/>
      <c r="Z37" s="7">
        <f t="shared" si="11"/>
        <v>-0.16339522021212705</v>
      </c>
    </row>
    <row r="38" spans="1:26" s="69" customFormat="1" ht="15" hidden="1" customHeight="1" outlineLevel="2" x14ac:dyDescent="0.3">
      <c r="A38" s="25"/>
      <c r="B38" s="12" t="str">
        <f>CONCATENATE("          ","6113"," - ","GROUP INSURANCE")</f>
        <v xml:space="preserve">          6113 - GROUP INSURANCE</v>
      </c>
      <c r="C38" s="12"/>
      <c r="D38" s="8">
        <v>1287</v>
      </c>
      <c r="E38" s="3"/>
      <c r="F38" s="7">
        <f t="shared" si="4"/>
        <v>7.0641935951311421E-2</v>
      </c>
      <c r="G38" s="3"/>
      <c r="H38" s="8">
        <v>3421.48</v>
      </c>
      <c r="I38" s="3"/>
      <c r="J38" s="7">
        <f t="shared" si="5"/>
        <v>1.5936096879366559</v>
      </c>
      <c r="K38" s="3"/>
      <c r="L38" s="8">
        <f t="shared" si="6"/>
        <v>-2134.48</v>
      </c>
      <c r="M38" s="3"/>
      <c r="N38" s="7">
        <f t="shared" si="7"/>
        <v>-0.62384699019137912</v>
      </c>
      <c r="O38" s="12"/>
      <c r="P38" s="8">
        <v>21747.02</v>
      </c>
      <c r="Q38" s="3"/>
      <c r="R38" s="7">
        <f t="shared" si="8"/>
        <v>0.13209263033498059</v>
      </c>
      <c r="S38" s="3"/>
      <c r="T38" s="8">
        <v>32635.77</v>
      </c>
      <c r="U38" s="3"/>
      <c r="V38" s="7">
        <f t="shared" si="9"/>
        <v>0.2940291110331697</v>
      </c>
      <c r="W38" s="3"/>
      <c r="X38" s="8">
        <f t="shared" si="10"/>
        <v>-10888.75</v>
      </c>
      <c r="Y38" s="3"/>
      <c r="Z38" s="7">
        <f t="shared" si="11"/>
        <v>-0.33364464818816897</v>
      </c>
    </row>
    <row r="39" spans="1:26" s="69" customFormat="1" ht="15" hidden="1" customHeight="1" outlineLevel="2" x14ac:dyDescent="0.3">
      <c r="A39" s="25"/>
      <c r="B39" s="12" t="str">
        <f>CONCATENATE("          ","6114"," - ","STATE UNEMPLOYMENT INSURANCE")</f>
        <v xml:space="preserve">          6114 - STATE UNEMPLOYMENT INSURANCE</v>
      </c>
      <c r="C39" s="12"/>
      <c r="D39" s="8">
        <v>31.8</v>
      </c>
      <c r="E39" s="3"/>
      <c r="F39" s="7">
        <f t="shared" si="4"/>
        <v>1.7454650841116576E-3</v>
      </c>
      <c r="G39" s="3"/>
      <c r="H39" s="8">
        <v>43.8</v>
      </c>
      <c r="I39" s="3"/>
      <c r="J39" s="7">
        <f t="shared" si="5"/>
        <v>2.0400558919422447E-2</v>
      </c>
      <c r="K39" s="3"/>
      <c r="L39" s="8">
        <f t="shared" si="6"/>
        <v>-11.999999999999996</v>
      </c>
      <c r="M39" s="3"/>
      <c r="N39" s="7">
        <f t="shared" si="7"/>
        <v>-0.27397260273972596</v>
      </c>
      <c r="O39" s="12"/>
      <c r="P39" s="8">
        <v>445.36</v>
      </c>
      <c r="Q39" s="3"/>
      <c r="R39" s="7">
        <f t="shared" si="8"/>
        <v>2.7051418468363462E-3</v>
      </c>
      <c r="S39" s="3"/>
      <c r="T39" s="8">
        <v>425.86</v>
      </c>
      <c r="U39" s="3"/>
      <c r="V39" s="7">
        <f t="shared" si="9"/>
        <v>3.8367483661205372E-3</v>
      </c>
      <c r="W39" s="3"/>
      <c r="X39" s="8">
        <f t="shared" si="10"/>
        <v>19.5</v>
      </c>
      <c r="Y39" s="3"/>
      <c r="Z39" s="7">
        <f t="shared" si="11"/>
        <v>4.5789696144272765E-2</v>
      </c>
    </row>
    <row r="40" spans="1:26" s="69" customFormat="1" ht="15" hidden="1" customHeight="1" outlineLevel="2" x14ac:dyDescent="0.3">
      <c r="A40" s="25"/>
      <c r="B40" s="12" t="str">
        <f>CONCATENATE("          ","6115"," - ","P.E.R.S.")</f>
        <v xml:space="preserve">          6115 - P.E.R.S.</v>
      </c>
      <c r="C40" s="12"/>
      <c r="D40" s="8">
        <v>793.49</v>
      </c>
      <c r="E40" s="3"/>
      <c r="F40" s="7">
        <f t="shared" si="4"/>
        <v>4.3553744955715692E-2</v>
      </c>
      <c r="G40" s="3"/>
      <c r="H40" s="8">
        <v>1614.45</v>
      </c>
      <c r="I40" s="3"/>
      <c r="J40" s="7">
        <f t="shared" si="5"/>
        <v>0.75195621797857481</v>
      </c>
      <c r="K40" s="3"/>
      <c r="L40" s="8">
        <f t="shared" si="6"/>
        <v>-820.96</v>
      </c>
      <c r="M40" s="3"/>
      <c r="N40" s="7">
        <f t="shared" si="7"/>
        <v>-0.50850754126792408</v>
      </c>
      <c r="O40" s="12"/>
      <c r="P40" s="8">
        <v>14085.32</v>
      </c>
      <c r="Q40" s="3"/>
      <c r="R40" s="7">
        <f t="shared" si="8"/>
        <v>8.5555030892044456E-2</v>
      </c>
      <c r="S40" s="3"/>
      <c r="T40" s="8">
        <v>15714.79</v>
      </c>
      <c r="U40" s="3"/>
      <c r="V40" s="7">
        <f t="shared" si="9"/>
        <v>0.14158102394314412</v>
      </c>
      <c r="W40" s="3"/>
      <c r="X40" s="8">
        <f t="shared" si="10"/>
        <v>-1629.4700000000012</v>
      </c>
      <c r="Y40" s="3"/>
      <c r="Z40" s="7">
        <f t="shared" si="11"/>
        <v>-0.10369021794118796</v>
      </c>
    </row>
    <row r="41" spans="1:26" s="69" customFormat="1" ht="15" hidden="1" customHeight="1" outlineLevel="2" x14ac:dyDescent="0.3">
      <c r="A41" s="25"/>
      <c r="B41" s="12" t="str">
        <f>CONCATENATE("          ","6118"," - ","VACATION")</f>
        <v xml:space="preserve">          6118 - VACATION</v>
      </c>
      <c r="C41" s="12"/>
      <c r="D41" s="8">
        <v>640.52</v>
      </c>
      <c r="E41" s="3"/>
      <c r="F41" s="7">
        <f t="shared" si="4"/>
        <v>3.5157399235069144E-2</v>
      </c>
      <c r="G41" s="3"/>
      <c r="H41" s="8">
        <v>1216.0999999999999</v>
      </c>
      <c r="I41" s="3"/>
      <c r="J41" s="7">
        <f t="shared" si="5"/>
        <v>0.56641825803446666</v>
      </c>
      <c r="K41" s="3"/>
      <c r="L41" s="8">
        <f t="shared" si="6"/>
        <v>-575.57999999999993</v>
      </c>
      <c r="M41" s="3"/>
      <c r="N41" s="7">
        <f t="shared" si="7"/>
        <v>-0.47329989310089626</v>
      </c>
      <c r="O41" s="12"/>
      <c r="P41" s="8">
        <v>7525.19</v>
      </c>
      <c r="Q41" s="3"/>
      <c r="R41" s="7">
        <f t="shared" si="8"/>
        <v>4.5708429976635531E-2</v>
      </c>
      <c r="S41" s="3"/>
      <c r="T41" s="8">
        <v>11315.73</v>
      </c>
      <c r="U41" s="3"/>
      <c r="V41" s="7">
        <f t="shared" si="9"/>
        <v>0.10194807821575434</v>
      </c>
      <c r="W41" s="3"/>
      <c r="X41" s="8">
        <f t="shared" si="10"/>
        <v>-3790.54</v>
      </c>
      <c r="Y41" s="3"/>
      <c r="Z41" s="7">
        <f t="shared" si="11"/>
        <v>-0.3349797140794275</v>
      </c>
    </row>
    <row r="42" spans="1:26" s="69" customFormat="1" ht="15" hidden="1" customHeight="1" outlineLevel="2" x14ac:dyDescent="0.3">
      <c r="A42" s="25"/>
      <c r="B42" s="12" t="str">
        <f>CONCATENATE("          ","6119"," - ","SICK LEAVE")</f>
        <v xml:space="preserve">          6119 - SICK LEAVE</v>
      </c>
      <c r="C42" s="12"/>
      <c r="D42" s="8">
        <v>411.06</v>
      </c>
      <c r="E42" s="3"/>
      <c r="F42" s="7">
        <f t="shared" si="4"/>
        <v>2.2562606209903708E-2</v>
      </c>
      <c r="G42" s="3"/>
      <c r="H42" s="8">
        <v>738.5</v>
      </c>
      <c r="I42" s="3"/>
      <c r="J42" s="7">
        <f t="shared" si="5"/>
        <v>0.34396832789939452</v>
      </c>
      <c r="K42" s="3"/>
      <c r="L42" s="8">
        <f t="shared" si="6"/>
        <v>-327.44</v>
      </c>
      <c r="M42" s="3"/>
      <c r="N42" s="7">
        <f t="shared" si="7"/>
        <v>-0.443385240352065</v>
      </c>
      <c r="O42" s="12"/>
      <c r="P42" s="8">
        <v>5786.78</v>
      </c>
      <c r="Q42" s="3"/>
      <c r="R42" s="7">
        <f t="shared" si="8"/>
        <v>3.5149229244736006E-2</v>
      </c>
      <c r="S42" s="3"/>
      <c r="T42" s="8">
        <v>6909.77</v>
      </c>
      <c r="U42" s="3"/>
      <c r="V42" s="7">
        <f t="shared" si="9"/>
        <v>6.2252967542780972E-2</v>
      </c>
      <c r="W42" s="3"/>
      <c r="X42" s="8">
        <f t="shared" si="10"/>
        <v>-1122.9900000000007</v>
      </c>
      <c r="Y42" s="3"/>
      <c r="Z42" s="7">
        <f t="shared" si="11"/>
        <v>-0.1625220521088257</v>
      </c>
    </row>
    <row r="43" spans="1:26" s="69" customFormat="1" ht="15" hidden="1" customHeight="1" outlineLevel="2" x14ac:dyDescent="0.3">
      <c r="A43" s="25"/>
      <c r="B43" s="12" t="str">
        <f>CONCATENATE("          ","6156"," - ","EMPLOYEE MEALS")</f>
        <v xml:space="preserve">          6156 - EMPLOYEE MEALS</v>
      </c>
      <c r="C43" s="12"/>
      <c r="D43" s="8">
        <v>392.69</v>
      </c>
      <c r="E43" s="3"/>
      <c r="F43" s="7">
        <f t="shared" si="4"/>
        <v>2.1554298235214049E-2</v>
      </c>
      <c r="G43" s="3"/>
      <c r="H43" s="8">
        <v>338.52</v>
      </c>
      <c r="I43" s="3"/>
      <c r="J43" s="7">
        <f t="shared" si="5"/>
        <v>0.15767116907312528</v>
      </c>
      <c r="K43" s="3"/>
      <c r="L43" s="8">
        <f t="shared" si="6"/>
        <v>54.170000000000016</v>
      </c>
      <c r="M43" s="3"/>
      <c r="N43" s="7">
        <f t="shared" si="7"/>
        <v>0.16002008743944232</v>
      </c>
      <c r="O43" s="12"/>
      <c r="P43" s="8">
        <v>3862.76</v>
      </c>
      <c r="Q43" s="3"/>
      <c r="R43" s="7">
        <f t="shared" si="8"/>
        <v>2.3462622867535397E-2</v>
      </c>
      <c r="S43" s="3"/>
      <c r="T43" s="8">
        <v>2886.25</v>
      </c>
      <c r="U43" s="3"/>
      <c r="V43" s="7">
        <f t="shared" si="9"/>
        <v>2.6003416549371626E-2</v>
      </c>
      <c r="W43" s="3"/>
      <c r="X43" s="8">
        <f t="shared" si="10"/>
        <v>976.51000000000022</v>
      </c>
      <c r="Y43" s="3"/>
      <c r="Z43" s="7">
        <f t="shared" si="11"/>
        <v>0.33833174534430499</v>
      </c>
    </row>
    <row r="44" spans="1:26" s="68" customFormat="1" ht="15" customHeight="1" outlineLevel="1" collapsed="1" x14ac:dyDescent="0.3">
      <c r="A44" s="26"/>
      <c r="B44" s="14" t="str">
        <f>CONCATENATE("     ","*Payroll                                          ")</f>
        <v xml:space="preserve">     *Payroll                                          </v>
      </c>
      <c r="C44" s="14"/>
      <c r="D44" s="2">
        <f>SUM(OSRRefD22_1x_0)</f>
        <v>13661.55</v>
      </c>
      <c r="E44" s="2"/>
      <c r="F44" s="6">
        <f t="shared" si="4"/>
        <v>0.74986662012093119</v>
      </c>
      <c r="G44" s="2"/>
      <c r="H44" s="2">
        <f>SUM(OSRRefH22_1x_0)</f>
        <v>14970.33</v>
      </c>
      <c r="I44" s="2"/>
      <c r="J44" s="6">
        <f t="shared" si="5"/>
        <v>6.9726734979040526</v>
      </c>
      <c r="K44" s="2"/>
      <c r="L44" s="2">
        <f t="shared" si="6"/>
        <v>-1308.7800000000007</v>
      </c>
      <c r="M44" s="2"/>
      <c r="N44" s="6">
        <f t="shared" si="7"/>
        <v>-8.7424926504626188E-2</v>
      </c>
      <c r="O44" s="14"/>
      <c r="P44" s="2">
        <f>SUM(OSRRefP22_1x_0)</f>
        <v>126860.69</v>
      </c>
      <c r="Q44" s="2"/>
      <c r="R44" s="6">
        <f t="shared" si="8"/>
        <v>0.77055901122133363</v>
      </c>
      <c r="S44" s="2"/>
      <c r="T44" s="2">
        <f>SUM(OSRRefT22_1x_0)</f>
        <v>138818.57</v>
      </c>
      <c r="U44" s="2"/>
      <c r="V44" s="6">
        <f t="shared" si="9"/>
        <v>1.2506737463830588</v>
      </c>
      <c r="W44" s="2"/>
      <c r="X44" s="2">
        <f t="shared" si="10"/>
        <v>-11957.880000000005</v>
      </c>
      <c r="Y44" s="2"/>
      <c r="Z44" s="6">
        <f t="shared" si="11"/>
        <v>-8.6140348513891213E-2</v>
      </c>
    </row>
    <row r="45" spans="1:26" s="69" customFormat="1" ht="15" hidden="1" customHeight="1" outlineLevel="2" x14ac:dyDescent="0.3">
      <c r="A45" s="25"/>
      <c r="B45" s="12" t="str">
        <f>CONCATENATE("          ","6002"," - ","STAFF SALARIES")</f>
        <v xml:space="preserve">          6002 - STAFF SALARIES</v>
      </c>
      <c r="C45" s="12"/>
      <c r="D45" s="8">
        <v>9955.57</v>
      </c>
      <c r="E45" s="3"/>
      <c r="F45" s="7">
        <f t="shared" si="4"/>
        <v>0.54644968010784567</v>
      </c>
      <c r="G45" s="3"/>
      <c r="H45" s="8">
        <v>14462.41</v>
      </c>
      <c r="I45" s="3"/>
      <c r="J45" s="7">
        <f t="shared" si="5"/>
        <v>6.7361015370284116</v>
      </c>
      <c r="K45" s="3"/>
      <c r="L45" s="8">
        <f t="shared" si="6"/>
        <v>-4506.84</v>
      </c>
      <c r="M45" s="3"/>
      <c r="N45" s="7">
        <f t="shared" si="7"/>
        <v>-0.3116244111458602</v>
      </c>
      <c r="O45" s="12"/>
      <c r="P45" s="8">
        <v>103037.42</v>
      </c>
      <c r="Q45" s="3"/>
      <c r="R45" s="7">
        <f t="shared" si="8"/>
        <v>0.6258551208731189</v>
      </c>
      <c r="S45" s="3"/>
      <c r="T45" s="8">
        <v>132471.79</v>
      </c>
      <c r="U45" s="3"/>
      <c r="V45" s="7">
        <f t="shared" si="9"/>
        <v>1.1934929879292795</v>
      </c>
      <c r="W45" s="3"/>
      <c r="X45" s="8">
        <f t="shared" si="10"/>
        <v>-29434.37000000001</v>
      </c>
      <c r="Y45" s="3"/>
      <c r="Z45" s="7">
        <f t="shared" si="11"/>
        <v>-0.2221934949320154</v>
      </c>
    </row>
    <row r="46" spans="1:26" s="69" customFormat="1" ht="15" hidden="1" customHeight="1" outlineLevel="2" x14ac:dyDescent="0.3">
      <c r="A46" s="25"/>
      <c r="B46" s="12" t="str">
        <f>CONCATENATE("          ","6005"," - ","TEMPORARY WAGES-HOURLY")</f>
        <v xml:space="preserve">          6005 - TEMPORARY WAGES-HOURLY</v>
      </c>
      <c r="C46" s="12"/>
      <c r="D46" s="8"/>
      <c r="E46" s="3"/>
      <c r="F46" s="7">
        <f t="shared" si="4"/>
        <v>0</v>
      </c>
      <c r="G46" s="3"/>
      <c r="H46" s="8"/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383.25</v>
      </c>
      <c r="U46" s="3"/>
      <c r="V46" s="7">
        <f t="shared" si="9"/>
        <v>3.4528573036108011E-3</v>
      </c>
      <c r="W46" s="3"/>
      <c r="X46" s="8">
        <f t="shared" si="10"/>
        <v>-383.25</v>
      </c>
      <c r="Y46" s="3"/>
      <c r="Z46" s="7">
        <f t="shared" si="11"/>
        <v>-1</v>
      </c>
    </row>
    <row r="47" spans="1:26" s="69" customFormat="1" ht="15" hidden="1" customHeight="1" outlineLevel="2" x14ac:dyDescent="0.3">
      <c r="A47" s="25"/>
      <c r="B47" s="12" t="str">
        <f>CONCATENATE("          ","6007"," - ","STUDENT HOURLY")</f>
        <v xml:space="preserve">          6007 - STUDENT HOURLY</v>
      </c>
      <c r="C47" s="12"/>
      <c r="D47" s="8">
        <v>3705.98</v>
      </c>
      <c r="E47" s="3"/>
      <c r="F47" s="7">
        <f t="shared" si="4"/>
        <v>0.20341694001308555</v>
      </c>
      <c r="G47" s="3"/>
      <c r="H47" s="8">
        <v>507.92</v>
      </c>
      <c r="I47" s="3"/>
      <c r="J47" s="7">
        <f t="shared" si="5"/>
        <v>0.23657196087564045</v>
      </c>
      <c r="K47" s="3"/>
      <c r="L47" s="8">
        <f t="shared" si="6"/>
        <v>3198.06</v>
      </c>
      <c r="M47" s="3"/>
      <c r="N47" s="7">
        <f t="shared" si="7"/>
        <v>6.2963852575208694</v>
      </c>
      <c r="O47" s="12"/>
      <c r="P47" s="8">
        <v>23823.27</v>
      </c>
      <c r="Q47" s="3"/>
      <c r="R47" s="7">
        <f t="shared" si="8"/>
        <v>0.14470389034821474</v>
      </c>
      <c r="S47" s="3"/>
      <c r="T47" s="8">
        <v>5963.53</v>
      </c>
      <c r="U47" s="3"/>
      <c r="V47" s="7">
        <f t="shared" si="9"/>
        <v>5.3727901150168615E-2</v>
      </c>
      <c r="W47" s="3"/>
      <c r="X47" s="8">
        <f t="shared" si="10"/>
        <v>17859.740000000002</v>
      </c>
      <c r="Y47" s="3"/>
      <c r="Z47" s="7">
        <f t="shared" si="11"/>
        <v>2.9948268894429981</v>
      </c>
    </row>
    <row r="48" spans="1:26" s="68" customFormat="1" ht="15" customHeight="1" outlineLevel="1" collapsed="1" x14ac:dyDescent="0.3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0</v>
      </c>
      <c r="E48" s="2"/>
      <c r="F48" s="6">
        <f t="shared" si="4"/>
        <v>0</v>
      </c>
      <c r="G48" s="2"/>
      <c r="H48" s="2">
        <f>SUM(OSRRefH22_2x_0)</f>
        <v>0</v>
      </c>
      <c r="I48" s="2"/>
      <c r="J48" s="6">
        <f t="shared" si="5"/>
        <v>0</v>
      </c>
      <c r="K48" s="2"/>
      <c r="L48" s="2">
        <f t="shared" si="6"/>
        <v>0</v>
      </c>
      <c r="M48" s="2"/>
      <c r="N48" s="6">
        <f t="shared" si="7"/>
        <v>0</v>
      </c>
      <c r="O48" s="14"/>
      <c r="P48" s="2">
        <f>SUM(OSRRefP22_2x_0)</f>
        <v>151.85</v>
      </c>
      <c r="Q48" s="2"/>
      <c r="R48" s="6">
        <f t="shared" si="8"/>
        <v>9.2234549452599945E-4</v>
      </c>
      <c r="S48" s="2"/>
      <c r="T48" s="2">
        <f>SUM(OSRRefT22_2x_0)</f>
        <v>0</v>
      </c>
      <c r="U48" s="2"/>
      <c r="V48" s="6">
        <f t="shared" si="9"/>
        <v>0</v>
      </c>
      <c r="W48" s="2"/>
      <c r="X48" s="2">
        <f t="shared" si="10"/>
        <v>151.85</v>
      </c>
      <c r="Y48" s="2"/>
      <c r="Z48" s="6">
        <f t="shared" si="11"/>
        <v>0</v>
      </c>
    </row>
    <row r="49" spans="1:26" s="69" customFormat="1" ht="15" hidden="1" customHeight="1" outlineLevel="2" x14ac:dyDescent="0.3">
      <c r="A49" s="25"/>
      <c r="B49" s="12" t="str">
        <f>CONCATENATE("          ","6362"," - ","ADVERTISING EXPENSE")</f>
        <v xml:space="preserve">          6362 - ADVERTISING EXPENSE</v>
      </c>
      <c r="C49" s="12"/>
      <c r="D49" s="8"/>
      <c r="E49" s="3"/>
      <c r="F49" s="7">
        <f t="shared" si="4"/>
        <v>0</v>
      </c>
      <c r="G49" s="3"/>
      <c r="H49" s="8"/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>
        <v>151.85</v>
      </c>
      <c r="Q49" s="3"/>
      <c r="R49" s="7">
        <f t="shared" si="8"/>
        <v>9.2234549452599945E-4</v>
      </c>
      <c r="S49" s="3"/>
      <c r="T49" s="8"/>
      <c r="U49" s="3"/>
      <c r="V49" s="7">
        <f t="shared" si="9"/>
        <v>0</v>
      </c>
      <c r="W49" s="3"/>
      <c r="X49" s="8">
        <f t="shared" si="10"/>
        <v>151.85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6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SUM(OSRRefD22_3x_0)</f>
        <v>169.88</v>
      </c>
      <c r="E50" s="2"/>
      <c r="F50" s="6">
        <f t="shared" si="4"/>
        <v>9.3245159902166155E-3</v>
      </c>
      <c r="G50" s="2"/>
      <c r="H50" s="2">
        <f>SUM(OSRRefH22_3x_0)</f>
        <v>169.88</v>
      </c>
      <c r="I50" s="2"/>
      <c r="J50" s="6">
        <f t="shared" si="5"/>
        <v>7.9124359571495106E-2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SUM(OSRRefP22_3x_0)</f>
        <v>1528.92</v>
      </c>
      <c r="Q50" s="2"/>
      <c r="R50" s="6">
        <f t="shared" si="8"/>
        <v>9.286746615019369E-3</v>
      </c>
      <c r="S50" s="2"/>
      <c r="T50" s="2">
        <f>SUM(OSRRefT22_3x_0)</f>
        <v>1528.92</v>
      </c>
      <c r="U50" s="2"/>
      <c r="V50" s="6">
        <f t="shared" si="9"/>
        <v>1.3774670811837251E-2</v>
      </c>
      <c r="W50" s="2"/>
      <c r="X50" s="2">
        <f t="shared" si="10"/>
        <v>0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5"/>
      <c r="B51" s="12" t="str">
        <f>CONCATENATE("          ","6322"," - ","EQUIPMENT DEPRECIATION EXPENSE")</f>
        <v xml:space="preserve">          6322 - EQUIPMENT DEPRECIATION EXPENSE</v>
      </c>
      <c r="C51" s="12"/>
      <c r="D51" s="8">
        <v>169.88</v>
      </c>
      <c r="E51" s="3"/>
      <c r="F51" s="7">
        <f t="shared" si="4"/>
        <v>9.3245159902166155E-3</v>
      </c>
      <c r="G51" s="3"/>
      <c r="H51" s="8">
        <v>169.88</v>
      </c>
      <c r="I51" s="3"/>
      <c r="J51" s="7">
        <f t="shared" si="5"/>
        <v>7.9124359571495106E-2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>
        <v>1528.92</v>
      </c>
      <c r="Q51" s="3"/>
      <c r="R51" s="7">
        <f t="shared" si="8"/>
        <v>9.286746615019369E-3</v>
      </c>
      <c r="S51" s="3"/>
      <c r="T51" s="8">
        <v>1528.92</v>
      </c>
      <c r="U51" s="3"/>
      <c r="V51" s="7">
        <f t="shared" si="9"/>
        <v>1.3774670811837251E-2</v>
      </c>
      <c r="W51" s="3"/>
      <c r="X51" s="8">
        <f t="shared" si="10"/>
        <v>0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6"/>
      <c r="B52" s="14" t="str">
        <f>CONCATENATE("     ","Discounts and Markdowns                           ")</f>
        <v xml:space="preserve">     Discounts and Markdowns                           </v>
      </c>
      <c r="C52" s="14"/>
      <c r="D52" s="2">
        <f>SUM(OSRRefD22_4x_0)</f>
        <v>0</v>
      </c>
      <c r="E52" s="2"/>
      <c r="F52" s="6">
        <f t="shared" si="4"/>
        <v>0</v>
      </c>
      <c r="G52" s="2"/>
      <c r="H52" s="2">
        <f>SUM(OSRRefH22_4x_0)</f>
        <v>0</v>
      </c>
      <c r="I52" s="2"/>
      <c r="J52" s="6">
        <f t="shared" si="5"/>
        <v>0</v>
      </c>
      <c r="K52" s="2"/>
      <c r="L52" s="2">
        <f t="shared" si="6"/>
        <v>0</v>
      </c>
      <c r="M52" s="2"/>
      <c r="N52" s="6">
        <f t="shared" si="7"/>
        <v>0</v>
      </c>
      <c r="O52" s="14"/>
      <c r="P52" s="2">
        <f>SUM(OSRRefP22_4x_0)</f>
        <v>0</v>
      </c>
      <c r="Q52" s="2"/>
      <c r="R52" s="6">
        <f t="shared" si="8"/>
        <v>0</v>
      </c>
      <c r="S52" s="2"/>
      <c r="T52" s="2">
        <f>SUM(OSRRefT22_4x_0)</f>
        <v>0</v>
      </c>
      <c r="U52" s="2"/>
      <c r="V52" s="6">
        <f t="shared" si="9"/>
        <v>0</v>
      </c>
      <c r="W52" s="2"/>
      <c r="X52" s="2">
        <f t="shared" si="10"/>
        <v>0</v>
      </c>
      <c r="Y52" s="2"/>
      <c r="Z52" s="6">
        <f t="shared" si="11"/>
        <v>0</v>
      </c>
    </row>
    <row r="53" spans="1:26" s="69" customFormat="1" ht="15" hidden="1" customHeight="1" outlineLevel="2" x14ac:dyDescent="0.3">
      <c r="A53" s="25"/>
      <c r="B53" s="12" t="str">
        <f>CONCATENATE("          ","6382"," - ","DISCOUNTS/MARK DOWNS")</f>
        <v xml:space="preserve">          6382 - DISCOUNTS/MARK DOWNS</v>
      </c>
      <c r="C53" s="12"/>
      <c r="D53" s="8"/>
      <c r="E53" s="3"/>
      <c r="F53" s="7">
        <f t="shared" si="4"/>
        <v>0</v>
      </c>
      <c r="G53" s="3"/>
      <c r="H53" s="8"/>
      <c r="I53" s="3"/>
      <c r="J53" s="7">
        <f t="shared" si="5"/>
        <v>0</v>
      </c>
      <c r="K53" s="3"/>
      <c r="L53" s="8">
        <f t="shared" si="6"/>
        <v>0</v>
      </c>
      <c r="M53" s="3"/>
      <c r="N53" s="7">
        <f t="shared" si="7"/>
        <v>0</v>
      </c>
      <c r="O53" s="12"/>
      <c r="P53" s="8"/>
      <c r="Q53" s="3"/>
      <c r="R53" s="7">
        <f t="shared" si="8"/>
        <v>0</v>
      </c>
      <c r="S53" s="3"/>
      <c r="T53" s="8">
        <v>0</v>
      </c>
      <c r="U53" s="3"/>
      <c r="V53" s="7">
        <f t="shared" si="9"/>
        <v>0</v>
      </c>
      <c r="W53" s="3"/>
      <c r="X53" s="8">
        <f t="shared" si="10"/>
        <v>0</v>
      </c>
      <c r="Y53" s="3"/>
      <c r="Z53" s="7">
        <f t="shared" si="11"/>
        <v>0</v>
      </c>
    </row>
    <row r="54" spans="1:26" s="68" customFormat="1" ht="15" customHeight="1" outlineLevel="1" collapsed="1" x14ac:dyDescent="0.3">
      <c r="A54" s="26"/>
      <c r="B54" s="14" t="str">
        <f>CONCATENATE("     ","Equipment Rental                                  ")</f>
        <v xml:space="preserve">     Equipment Rental                                  </v>
      </c>
      <c r="C54" s="14"/>
      <c r="D54" s="2">
        <f>SUM(OSRRefD22_5x_0)</f>
        <v>1205.6400000000001</v>
      </c>
      <c r="E54" s="2"/>
      <c r="F54" s="6">
        <f t="shared" si="4"/>
        <v>6.6176180000263485E-2</v>
      </c>
      <c r="G54" s="2"/>
      <c r="H54" s="2">
        <f>SUM(OSRRefH22_5x_0)</f>
        <v>1205.6400000000001</v>
      </c>
      <c r="I54" s="2"/>
      <c r="J54" s="6">
        <f t="shared" si="5"/>
        <v>0.56154634373544488</v>
      </c>
      <c r="K54" s="2"/>
      <c r="L54" s="2">
        <f t="shared" si="6"/>
        <v>0</v>
      </c>
      <c r="M54" s="2"/>
      <c r="N54" s="6">
        <f t="shared" si="7"/>
        <v>0</v>
      </c>
      <c r="O54" s="14"/>
      <c r="P54" s="2">
        <f>SUM(OSRRefP22_5x_0)</f>
        <v>10942.02</v>
      </c>
      <c r="Q54" s="2"/>
      <c r="R54" s="6">
        <f t="shared" si="8"/>
        <v>6.6462448785073278E-2</v>
      </c>
      <c r="S54" s="2"/>
      <c r="T54" s="2">
        <f>SUM(OSRRefT22_5x_0)</f>
        <v>10850.76</v>
      </c>
      <c r="U54" s="2"/>
      <c r="V54" s="6">
        <f t="shared" si="9"/>
        <v>9.7758971730536048E-2</v>
      </c>
      <c r="W54" s="2"/>
      <c r="X54" s="2">
        <f t="shared" si="10"/>
        <v>91.260000000000218</v>
      </c>
      <c r="Y54" s="2"/>
      <c r="Z54" s="6">
        <f t="shared" si="11"/>
        <v>8.4104707872997113E-3</v>
      </c>
    </row>
    <row r="55" spans="1:26" s="69" customFormat="1" ht="15" hidden="1" customHeight="1" outlineLevel="2" x14ac:dyDescent="0.3">
      <c r="A55" s="25"/>
      <c r="B55" s="12" t="str">
        <f>CONCATENATE("          ","6351"," - ","EQUIPMENT RENTAL")</f>
        <v xml:space="preserve">          6351 - EQUIPMENT RENTAL</v>
      </c>
      <c r="C55" s="12"/>
      <c r="D55" s="8">
        <v>1205.6400000000001</v>
      </c>
      <c r="E55" s="3"/>
      <c r="F55" s="7">
        <f t="shared" si="4"/>
        <v>6.6176180000263485E-2</v>
      </c>
      <c r="G55" s="3"/>
      <c r="H55" s="8">
        <v>1205.6400000000001</v>
      </c>
      <c r="I55" s="3"/>
      <c r="J55" s="7">
        <f t="shared" si="5"/>
        <v>0.56154634373544488</v>
      </c>
      <c r="K55" s="3"/>
      <c r="L55" s="8">
        <f t="shared" si="6"/>
        <v>0</v>
      </c>
      <c r="M55" s="3"/>
      <c r="N55" s="7">
        <f t="shared" si="7"/>
        <v>0</v>
      </c>
      <c r="O55" s="12"/>
      <c r="P55" s="8">
        <v>10942.02</v>
      </c>
      <c r="Q55" s="3"/>
      <c r="R55" s="7">
        <f t="shared" si="8"/>
        <v>6.6462448785073278E-2</v>
      </c>
      <c r="S55" s="3"/>
      <c r="T55" s="8">
        <v>10850.76</v>
      </c>
      <c r="U55" s="3"/>
      <c r="V55" s="7">
        <f t="shared" si="9"/>
        <v>9.7758971730536048E-2</v>
      </c>
      <c r="W55" s="3"/>
      <c r="X55" s="8">
        <f t="shared" si="10"/>
        <v>91.260000000000218</v>
      </c>
      <c r="Y55" s="3"/>
      <c r="Z55" s="7">
        <f t="shared" si="11"/>
        <v>8.4104707872997113E-3</v>
      </c>
    </row>
    <row r="56" spans="1:26" s="68" customFormat="1" ht="15" customHeight="1" outlineLevel="1" collapsed="1" x14ac:dyDescent="0.3">
      <c r="A56" s="26"/>
      <c r="B56" s="14" t="str">
        <f>CONCATENATE("     ","Freight out/Postage                               ")</f>
        <v xml:space="preserve">     Freight out/Postage                               </v>
      </c>
      <c r="C56" s="14"/>
      <c r="D56" s="2">
        <f>SUM(OSRRefD22_6x_0)</f>
        <v>1763.2199999999993</v>
      </c>
      <c r="E56" s="2"/>
      <c r="F56" s="6">
        <f t="shared" si="4"/>
        <v>9.6781098918470296E-2</v>
      </c>
      <c r="G56" s="2"/>
      <c r="H56" s="2">
        <f>SUM(OSRRefH22_6x_0)</f>
        <v>-8583.6000000000022</v>
      </c>
      <c r="I56" s="2"/>
      <c r="J56" s="6">
        <f t="shared" si="5"/>
        <v>-3.9979506287843511</v>
      </c>
      <c r="K56" s="2"/>
      <c r="L56" s="2">
        <f t="shared" si="6"/>
        <v>10346.820000000002</v>
      </c>
      <c r="M56" s="2"/>
      <c r="N56" s="6">
        <f t="shared" si="7"/>
        <v>-1.2054173074234587</v>
      </c>
      <c r="O56" s="14"/>
      <c r="P56" s="2">
        <f>SUM(OSRRefP22_6x_0)</f>
        <v>-62599.829999999987</v>
      </c>
      <c r="Q56" s="2"/>
      <c r="R56" s="6">
        <f t="shared" si="8"/>
        <v>-0.38023491049452413</v>
      </c>
      <c r="S56" s="2"/>
      <c r="T56" s="2">
        <f>SUM(OSRRefT22_6x_0)</f>
        <v>-54006.010000000009</v>
      </c>
      <c r="U56" s="2"/>
      <c r="V56" s="6">
        <f t="shared" si="9"/>
        <v>-0.48656241635323683</v>
      </c>
      <c r="W56" s="2"/>
      <c r="X56" s="2">
        <f t="shared" si="10"/>
        <v>-8593.8199999999779</v>
      </c>
      <c r="Y56" s="2"/>
      <c r="Z56" s="6">
        <f t="shared" si="11"/>
        <v>0.15912710455743678</v>
      </c>
    </row>
    <row r="57" spans="1:26" s="69" customFormat="1" ht="15" hidden="1" customHeight="1" outlineLevel="2" x14ac:dyDescent="0.3">
      <c r="A57" s="25"/>
      <c r="B57" s="12" t="str">
        <f>CONCATENATE("          ","6305"," - ","FREIGHT OUT")</f>
        <v xml:space="preserve">          6305 - FREIGHT OUT</v>
      </c>
      <c r="C57" s="12"/>
      <c r="D57" s="8">
        <v>10386.42</v>
      </c>
      <c r="E57" s="3"/>
      <c r="F57" s="7">
        <f t="shared" si="4"/>
        <v>0.57009853644399378</v>
      </c>
      <c r="G57" s="3"/>
      <c r="H57" s="8">
        <v>10582.48</v>
      </c>
      <c r="I57" s="3"/>
      <c r="J57" s="7">
        <f t="shared" si="5"/>
        <v>4.9289613414066134</v>
      </c>
      <c r="K57" s="3"/>
      <c r="L57" s="8">
        <f t="shared" si="6"/>
        <v>-196.05999999999949</v>
      </c>
      <c r="M57" s="3"/>
      <c r="N57" s="7">
        <f t="shared" si="7"/>
        <v>-1.8526848149016062E-2</v>
      </c>
      <c r="O57" s="12"/>
      <c r="P57" s="8">
        <v>105602.41</v>
      </c>
      <c r="Q57" s="3"/>
      <c r="R57" s="7">
        <f t="shared" si="8"/>
        <v>0.64143501530844493</v>
      </c>
      <c r="S57" s="3"/>
      <c r="T57" s="8">
        <v>161479.19</v>
      </c>
      <c r="U57" s="3"/>
      <c r="V57" s="7">
        <f t="shared" si="9"/>
        <v>1.4548326172802513</v>
      </c>
      <c r="W57" s="3"/>
      <c r="X57" s="8">
        <f t="shared" si="10"/>
        <v>-55876.78</v>
      </c>
      <c r="Y57" s="3"/>
      <c r="Z57" s="7">
        <f t="shared" si="11"/>
        <v>-0.34603084149728519</v>
      </c>
    </row>
    <row r="58" spans="1:26" s="69" customFormat="1" ht="15" hidden="1" customHeight="1" outlineLevel="2" x14ac:dyDescent="0.3">
      <c r="A58" s="25"/>
      <c r="B58" s="12" t="str">
        <f>CONCATENATE("          ","6307"," - ","POSTAGE")</f>
        <v xml:space="preserve">          6307 - POSTAGE</v>
      </c>
      <c r="C58" s="12"/>
      <c r="D58" s="8">
        <v>-8623.2000000000007</v>
      </c>
      <c r="E58" s="3"/>
      <c r="F58" s="7">
        <f t="shared" si="4"/>
        <v>-0.47331743752552347</v>
      </c>
      <c r="G58" s="3"/>
      <c r="H58" s="8">
        <v>-19166.080000000002</v>
      </c>
      <c r="I58" s="3"/>
      <c r="J58" s="7">
        <f t="shared" si="5"/>
        <v>-8.9269119701909645</v>
      </c>
      <c r="K58" s="3"/>
      <c r="L58" s="8">
        <f t="shared" si="6"/>
        <v>10542.880000000001</v>
      </c>
      <c r="M58" s="3"/>
      <c r="N58" s="7">
        <f t="shared" si="7"/>
        <v>-0.55008014158346408</v>
      </c>
      <c r="O58" s="12"/>
      <c r="P58" s="8">
        <v>-168202.23999999999</v>
      </c>
      <c r="Q58" s="3"/>
      <c r="R58" s="7">
        <f t="shared" si="8"/>
        <v>-1.0216699258029689</v>
      </c>
      <c r="S58" s="3"/>
      <c r="T58" s="8">
        <v>-215485.2</v>
      </c>
      <c r="U58" s="3"/>
      <c r="V58" s="7">
        <f t="shared" si="9"/>
        <v>-1.941395033633488</v>
      </c>
      <c r="W58" s="3"/>
      <c r="X58" s="8">
        <f t="shared" si="10"/>
        <v>47282.960000000021</v>
      </c>
      <c r="Y58" s="3"/>
      <c r="Z58" s="7">
        <f t="shared" si="11"/>
        <v>-0.21942555683638607</v>
      </c>
    </row>
    <row r="59" spans="1:26" s="68" customFormat="1" ht="15" customHeight="1" outlineLevel="1" collapsed="1" x14ac:dyDescent="0.3">
      <c r="A59" s="26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SUM(OSRRefD22_7x_0)</f>
        <v>0</v>
      </c>
      <c r="E59" s="2"/>
      <c r="F59" s="6">
        <f t="shared" si="4"/>
        <v>0</v>
      </c>
      <c r="G59" s="2"/>
      <c r="H59" s="2">
        <f>SUM(OSRRefH22_7x_0)</f>
        <v>0</v>
      </c>
      <c r="I59" s="2"/>
      <c r="J59" s="6">
        <f t="shared" si="5"/>
        <v>0</v>
      </c>
      <c r="K59" s="2"/>
      <c r="L59" s="2">
        <f t="shared" si="6"/>
        <v>0</v>
      </c>
      <c r="M59" s="2"/>
      <c r="N59" s="6">
        <f t="shared" si="7"/>
        <v>0</v>
      </c>
      <c r="O59" s="14"/>
      <c r="P59" s="2">
        <f>SUM(OSRRefP22_7x_0)</f>
        <v>91.31</v>
      </c>
      <c r="Q59" s="2"/>
      <c r="R59" s="6">
        <f t="shared" si="8"/>
        <v>5.546221080353573E-4</v>
      </c>
      <c r="S59" s="2"/>
      <c r="T59" s="2">
        <f>SUM(OSRRefT22_7x_0)</f>
        <v>0</v>
      </c>
      <c r="U59" s="2"/>
      <c r="V59" s="6">
        <f t="shared" si="9"/>
        <v>0</v>
      </c>
      <c r="W59" s="2"/>
      <c r="X59" s="2">
        <f t="shared" si="10"/>
        <v>91.31</v>
      </c>
      <c r="Y59" s="2"/>
      <c r="Z59" s="6">
        <f t="shared" si="11"/>
        <v>0</v>
      </c>
    </row>
    <row r="60" spans="1:26" s="69" customFormat="1" ht="15" hidden="1" customHeight="1" outlineLevel="2" x14ac:dyDescent="0.3">
      <c r="A60" s="25"/>
      <c r="B60" s="12" t="str">
        <f>CONCATENATE("          ","6279"," - ","GENERAL EXPENSE")</f>
        <v xml:space="preserve">          6279 - GENERAL EXPENSE</v>
      </c>
      <c r="C60" s="12"/>
      <c r="D60" s="8"/>
      <c r="E60" s="3"/>
      <c r="F60" s="7">
        <f t="shared" si="4"/>
        <v>0</v>
      </c>
      <c r="G60" s="3"/>
      <c r="H60" s="8"/>
      <c r="I60" s="3"/>
      <c r="J60" s="7">
        <f t="shared" si="5"/>
        <v>0</v>
      </c>
      <c r="K60" s="3"/>
      <c r="L60" s="8">
        <f t="shared" si="6"/>
        <v>0</v>
      </c>
      <c r="M60" s="3"/>
      <c r="N60" s="7">
        <f t="shared" si="7"/>
        <v>0</v>
      </c>
      <c r="O60" s="12"/>
      <c r="P60" s="8">
        <v>91.31</v>
      </c>
      <c r="Q60" s="3"/>
      <c r="R60" s="7">
        <f t="shared" si="8"/>
        <v>5.546221080353573E-4</v>
      </c>
      <c r="S60" s="3"/>
      <c r="T60" s="8"/>
      <c r="U60" s="3"/>
      <c r="V60" s="7">
        <f t="shared" si="9"/>
        <v>0</v>
      </c>
      <c r="W60" s="3"/>
      <c r="X60" s="8">
        <f t="shared" si="10"/>
        <v>91.31</v>
      </c>
      <c r="Y60" s="3"/>
      <c r="Z60" s="7">
        <f t="shared" si="11"/>
        <v>0</v>
      </c>
    </row>
    <row r="61" spans="1:26" s="68" customFormat="1" ht="15" customHeight="1" outlineLevel="1" collapsed="1" x14ac:dyDescent="0.3">
      <c r="A61" s="26"/>
      <c r="B61" s="14" t="str">
        <f>CONCATENATE("     ","Repair and Maintenance                            ")</f>
        <v xml:space="preserve">     Repair and Maintenance                            </v>
      </c>
      <c r="C61" s="14"/>
      <c r="D61" s="2">
        <f>SUM(OSRRefD22_8x_0)</f>
        <v>2724.17</v>
      </c>
      <c r="E61" s="2"/>
      <c r="F61" s="6">
        <f t="shared" si="4"/>
        <v>0.14952652887372497</v>
      </c>
      <c r="G61" s="2"/>
      <c r="H61" s="2">
        <f>SUM(OSRRefH22_8x_0)</f>
        <v>85.78</v>
      </c>
      <c r="I61" s="2"/>
      <c r="J61" s="6">
        <f t="shared" si="5"/>
        <v>3.9953423381462509E-2</v>
      </c>
      <c r="K61" s="2"/>
      <c r="L61" s="2">
        <f t="shared" si="6"/>
        <v>2638.39</v>
      </c>
      <c r="M61" s="2"/>
      <c r="N61" s="6">
        <f t="shared" si="7"/>
        <v>30.757635812543715</v>
      </c>
      <c r="O61" s="14"/>
      <c r="P61" s="2">
        <f>SUM(OSRRefP22_8x_0)</f>
        <v>26095.590000000004</v>
      </c>
      <c r="Q61" s="2"/>
      <c r="R61" s="6">
        <f t="shared" si="8"/>
        <v>0.15850609063877333</v>
      </c>
      <c r="S61" s="2"/>
      <c r="T61" s="2">
        <f>SUM(OSRRefT22_8x_0)</f>
        <v>30991.34</v>
      </c>
      <c r="U61" s="2"/>
      <c r="V61" s="6">
        <f t="shared" si="9"/>
        <v>0.27921376299461337</v>
      </c>
      <c r="W61" s="2"/>
      <c r="X61" s="2">
        <f t="shared" si="10"/>
        <v>-4895.7499999999964</v>
      </c>
      <c r="Y61" s="2"/>
      <c r="Z61" s="6">
        <f t="shared" si="11"/>
        <v>-0.15797154947156195</v>
      </c>
    </row>
    <row r="62" spans="1:26" s="69" customFormat="1" ht="15" hidden="1" customHeight="1" outlineLevel="2" x14ac:dyDescent="0.3">
      <c r="A62" s="25"/>
      <c r="B62" s="12" t="str">
        <f>CONCATENATE("          ","6371"," - ","COMPUTER SOFTWARE MAINTENANCE")</f>
        <v xml:space="preserve">          6371 - COMPUTER SOFTWARE MAINTENANCE</v>
      </c>
      <c r="C62" s="12"/>
      <c r="D62" s="8"/>
      <c r="E62" s="3"/>
      <c r="F62" s="7">
        <f t="shared" si="4"/>
        <v>0</v>
      </c>
      <c r="G62" s="3"/>
      <c r="H62" s="8"/>
      <c r="I62" s="3"/>
      <c r="J62" s="7">
        <f t="shared" si="5"/>
        <v>0</v>
      </c>
      <c r="K62" s="3"/>
      <c r="L62" s="8">
        <f t="shared" si="6"/>
        <v>0</v>
      </c>
      <c r="M62" s="3"/>
      <c r="N62" s="7">
        <f t="shared" si="7"/>
        <v>0</v>
      </c>
      <c r="O62" s="12"/>
      <c r="P62" s="8"/>
      <c r="Q62" s="3"/>
      <c r="R62" s="7">
        <f t="shared" si="8"/>
        <v>0</v>
      </c>
      <c r="S62" s="3"/>
      <c r="T62" s="8">
        <v>7.69</v>
      </c>
      <c r="U62" s="3"/>
      <c r="V62" s="7">
        <f t="shared" si="9"/>
        <v>6.9282381382301532E-5</v>
      </c>
      <c r="W62" s="3"/>
      <c r="X62" s="8">
        <f t="shared" si="10"/>
        <v>-7.69</v>
      </c>
      <c r="Y62" s="3"/>
      <c r="Z62" s="7">
        <f t="shared" si="11"/>
        <v>-1</v>
      </c>
    </row>
    <row r="63" spans="1:26" s="69" customFormat="1" ht="15" hidden="1" customHeight="1" outlineLevel="2" x14ac:dyDescent="0.3">
      <c r="A63" s="25"/>
      <c r="B63" s="12" t="str">
        <f>CONCATENATE("          ","6373"," - ","MAINTENANCE CONTRACTS")</f>
        <v xml:space="preserve">          6373 - MAINTENANCE CONTRACTS</v>
      </c>
      <c r="C63" s="12"/>
      <c r="D63" s="8">
        <v>964.58</v>
      </c>
      <c r="E63" s="3"/>
      <c r="F63" s="7">
        <f t="shared" si="4"/>
        <v>5.2944676441271155E-2</v>
      </c>
      <c r="G63" s="3"/>
      <c r="H63" s="8">
        <v>85.78</v>
      </c>
      <c r="I63" s="3"/>
      <c r="J63" s="7">
        <f t="shared" si="5"/>
        <v>3.9953423381462509E-2</v>
      </c>
      <c r="K63" s="3"/>
      <c r="L63" s="8">
        <f t="shared" si="6"/>
        <v>878.80000000000007</v>
      </c>
      <c r="M63" s="3"/>
      <c r="N63" s="7">
        <f t="shared" si="7"/>
        <v>10.244812310561903</v>
      </c>
      <c r="O63" s="12"/>
      <c r="P63" s="8">
        <v>8477.85</v>
      </c>
      <c r="Q63" s="3"/>
      <c r="R63" s="7">
        <f t="shared" si="8"/>
        <v>5.1494940736037172E-2</v>
      </c>
      <c r="S63" s="3"/>
      <c r="T63" s="8">
        <v>30983.65</v>
      </c>
      <c r="U63" s="3"/>
      <c r="V63" s="7">
        <f t="shared" si="9"/>
        <v>0.27914448061323105</v>
      </c>
      <c r="W63" s="3"/>
      <c r="X63" s="8">
        <f t="shared" si="10"/>
        <v>-22505.800000000003</v>
      </c>
      <c r="Y63" s="3"/>
      <c r="Z63" s="7">
        <f t="shared" si="11"/>
        <v>-0.72637665349305203</v>
      </c>
    </row>
    <row r="64" spans="1:26" s="69" customFormat="1" ht="15" hidden="1" customHeight="1" outlineLevel="2" x14ac:dyDescent="0.3">
      <c r="A64" s="25"/>
      <c r="B64" s="12" t="str">
        <f>CONCATENATE("          ","6375"," - ","OUTSIDE REPAIRS &amp; MAINTENANCE")</f>
        <v xml:space="preserve">          6375 - OUTSIDE REPAIRS &amp; MAINTENANCE</v>
      </c>
      <c r="C64" s="12"/>
      <c r="D64" s="8">
        <v>1759.59</v>
      </c>
      <c r="E64" s="3"/>
      <c r="F64" s="7">
        <f t="shared" si="4"/>
        <v>9.6581852432453819E-2</v>
      </c>
      <c r="G64" s="3"/>
      <c r="H64" s="8"/>
      <c r="I64" s="3"/>
      <c r="J64" s="7">
        <f t="shared" si="5"/>
        <v>0</v>
      </c>
      <c r="K64" s="3"/>
      <c r="L64" s="8">
        <f t="shared" si="6"/>
        <v>1759.59</v>
      </c>
      <c r="M64" s="3"/>
      <c r="N64" s="7">
        <f t="shared" si="7"/>
        <v>0</v>
      </c>
      <c r="O64" s="12"/>
      <c r="P64" s="8">
        <v>17617.740000000002</v>
      </c>
      <c r="Q64" s="3"/>
      <c r="R64" s="7">
        <f t="shared" si="8"/>
        <v>0.10701114990273615</v>
      </c>
      <c r="S64" s="3"/>
      <c r="T64" s="8"/>
      <c r="U64" s="3"/>
      <c r="V64" s="7">
        <f t="shared" si="9"/>
        <v>0</v>
      </c>
      <c r="W64" s="3"/>
      <c r="X64" s="8">
        <f t="shared" si="10"/>
        <v>17617.740000000002</v>
      </c>
      <c r="Y64" s="3"/>
      <c r="Z64" s="7">
        <f t="shared" si="11"/>
        <v>0</v>
      </c>
    </row>
    <row r="65" spans="1:26" s="68" customFormat="1" ht="15" customHeight="1" outlineLevel="1" collapsed="1" x14ac:dyDescent="0.3">
      <c r="A65" s="26"/>
      <c r="B65" s="14" t="str">
        <f>CONCATENATE("     ","Royalty &amp; Commissions                             ")</f>
        <v xml:space="preserve">     Royalty &amp; Commissions                             </v>
      </c>
      <c r="C65" s="14"/>
      <c r="D65" s="2">
        <f>SUM(OSRRefD22_9x_0)</f>
        <v>2502.14</v>
      </c>
      <c r="E65" s="2"/>
      <c r="F65" s="6">
        <f t="shared" si="4"/>
        <v>0.13733955992324348</v>
      </c>
      <c r="G65" s="2"/>
      <c r="H65" s="2">
        <f>SUM(OSRRefH22_9x_0)</f>
        <v>27.21</v>
      </c>
      <c r="I65" s="2"/>
      <c r="J65" s="6">
        <f t="shared" si="5"/>
        <v>1.2673497904052167E-2</v>
      </c>
      <c r="K65" s="2"/>
      <c r="L65" s="2">
        <f t="shared" si="6"/>
        <v>2474.9299999999998</v>
      </c>
      <c r="M65" s="2"/>
      <c r="N65" s="6">
        <f t="shared" si="7"/>
        <v>90.956633590591679</v>
      </c>
      <c r="O65" s="14"/>
      <c r="P65" s="2">
        <f>SUM(OSRRefP22_9x_0)</f>
        <v>10005.620000000001</v>
      </c>
      <c r="Q65" s="2"/>
      <c r="R65" s="6">
        <f t="shared" si="8"/>
        <v>6.0774702185967942E-2</v>
      </c>
      <c r="S65" s="2"/>
      <c r="T65" s="2">
        <f>SUM(OSRRefT22_9x_0)</f>
        <v>10663.62</v>
      </c>
      <c r="U65" s="2"/>
      <c r="V65" s="6">
        <f t="shared" si="9"/>
        <v>9.6072950293359993E-2</v>
      </c>
      <c r="W65" s="2"/>
      <c r="X65" s="2">
        <f t="shared" si="10"/>
        <v>-658</v>
      </c>
      <c r="Y65" s="2"/>
      <c r="Z65" s="6">
        <f t="shared" si="11"/>
        <v>-6.1705124526192791E-2</v>
      </c>
    </row>
    <row r="66" spans="1:26" s="69" customFormat="1" ht="15" hidden="1" customHeight="1" outlineLevel="2" x14ac:dyDescent="0.3">
      <c r="A66" s="25"/>
      <c r="B66" s="12" t="str">
        <f>CONCATENATE("          ","6259"," - ","ROYALTY &amp; COMMISSIONS")</f>
        <v xml:space="preserve">          6259 - ROYALTY &amp; COMMISSIONS</v>
      </c>
      <c r="C66" s="12"/>
      <c r="D66" s="8">
        <v>2502.14</v>
      </c>
      <c r="E66" s="3"/>
      <c r="F66" s="7">
        <f t="shared" si="4"/>
        <v>0.13733955992324348</v>
      </c>
      <c r="G66" s="3"/>
      <c r="H66" s="8">
        <v>27.21</v>
      </c>
      <c r="I66" s="3"/>
      <c r="J66" s="7">
        <f t="shared" si="5"/>
        <v>1.2673497904052167E-2</v>
      </c>
      <c r="K66" s="3"/>
      <c r="L66" s="8">
        <f t="shared" si="6"/>
        <v>2474.9299999999998</v>
      </c>
      <c r="M66" s="3"/>
      <c r="N66" s="7">
        <f t="shared" si="7"/>
        <v>90.956633590591679</v>
      </c>
      <c r="O66" s="12"/>
      <c r="P66" s="8">
        <v>10005.620000000001</v>
      </c>
      <c r="Q66" s="3"/>
      <c r="R66" s="7">
        <f t="shared" si="8"/>
        <v>6.0774702185967942E-2</v>
      </c>
      <c r="S66" s="3"/>
      <c r="T66" s="8">
        <v>10663.62</v>
      </c>
      <c r="U66" s="3"/>
      <c r="V66" s="7">
        <f t="shared" si="9"/>
        <v>9.6072950293359993E-2</v>
      </c>
      <c r="W66" s="3"/>
      <c r="X66" s="8">
        <f t="shared" si="10"/>
        <v>-658</v>
      </c>
      <c r="Y66" s="3"/>
      <c r="Z66" s="7">
        <f t="shared" si="11"/>
        <v>-6.1705124526192791E-2</v>
      </c>
    </row>
    <row r="67" spans="1:26" s="68" customFormat="1" ht="15" customHeight="1" outlineLevel="1" collapsed="1" x14ac:dyDescent="0.3">
      <c r="A67" s="26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2">
        <f>SUM(OSRRefD22_10x_0)</f>
        <v>5.28</v>
      </c>
      <c r="E67" s="2"/>
      <c r="F67" s="6">
        <f t="shared" si="4"/>
        <v>2.8981307056948275E-4</v>
      </c>
      <c r="G67" s="2"/>
      <c r="H67" s="2">
        <f>SUM(OSRRefH22_10x_0)</f>
        <v>0</v>
      </c>
      <c r="I67" s="2"/>
      <c r="J67" s="6">
        <f t="shared" si="5"/>
        <v>0</v>
      </c>
      <c r="K67" s="2"/>
      <c r="L67" s="2">
        <f t="shared" si="6"/>
        <v>5.28</v>
      </c>
      <c r="M67" s="2"/>
      <c r="N67" s="6">
        <f t="shared" si="7"/>
        <v>0</v>
      </c>
      <c r="O67" s="14"/>
      <c r="P67" s="2">
        <f>SUM(OSRRefP22_10x_0)</f>
        <v>5.28</v>
      </c>
      <c r="Q67" s="2"/>
      <c r="R67" s="6">
        <f t="shared" si="8"/>
        <v>3.2071018841602091E-5</v>
      </c>
      <c r="S67" s="2"/>
      <c r="T67" s="2">
        <f>SUM(OSRRefT22_10x_0)</f>
        <v>0</v>
      </c>
      <c r="U67" s="2"/>
      <c r="V67" s="6">
        <f t="shared" si="9"/>
        <v>0</v>
      </c>
      <c r="W67" s="2"/>
      <c r="X67" s="2">
        <f t="shared" si="10"/>
        <v>5.28</v>
      </c>
      <c r="Y67" s="2"/>
      <c r="Z67" s="6">
        <f t="shared" si="11"/>
        <v>0</v>
      </c>
    </row>
    <row r="68" spans="1:26" s="69" customFormat="1" ht="15" hidden="1" customHeight="1" outlineLevel="2" x14ac:dyDescent="0.3">
      <c r="A68" s="25"/>
      <c r="B68" s="12" t="str">
        <f>CONCATENATE("          ","6258"," - ","MEMBERSHIP DUES")</f>
        <v xml:space="preserve">          6258 - MEMBERSHIP DUES</v>
      </c>
      <c r="C68" s="12"/>
      <c r="D68" s="8">
        <v>5.28</v>
      </c>
      <c r="E68" s="3"/>
      <c r="F68" s="7">
        <f t="shared" si="4"/>
        <v>2.8981307056948275E-4</v>
      </c>
      <c r="G68" s="3"/>
      <c r="H68" s="8"/>
      <c r="I68" s="3"/>
      <c r="J68" s="7">
        <f t="shared" si="5"/>
        <v>0</v>
      </c>
      <c r="K68" s="3"/>
      <c r="L68" s="8">
        <f t="shared" si="6"/>
        <v>5.28</v>
      </c>
      <c r="M68" s="3"/>
      <c r="N68" s="7">
        <f t="shared" si="7"/>
        <v>0</v>
      </c>
      <c r="O68" s="12"/>
      <c r="P68" s="8">
        <v>5.28</v>
      </c>
      <c r="Q68" s="3"/>
      <c r="R68" s="7">
        <f t="shared" si="8"/>
        <v>3.2071018841602091E-5</v>
      </c>
      <c r="S68" s="3"/>
      <c r="T68" s="8"/>
      <c r="U68" s="3"/>
      <c r="V68" s="7">
        <f t="shared" si="9"/>
        <v>0</v>
      </c>
      <c r="W68" s="3"/>
      <c r="X68" s="8">
        <f t="shared" si="10"/>
        <v>5.28</v>
      </c>
      <c r="Y68" s="3"/>
      <c r="Z68" s="7">
        <f t="shared" si="11"/>
        <v>0</v>
      </c>
    </row>
    <row r="69" spans="1:26" s="68" customFormat="1" ht="15" customHeight="1" outlineLevel="1" collapsed="1" x14ac:dyDescent="0.3">
      <c r="A69" s="26"/>
      <c r="B69" s="14" t="str">
        <f>CONCATENATE("     ","Supplies                                          ")</f>
        <v xml:space="preserve">     Supplies                                          </v>
      </c>
      <c r="C69" s="14"/>
      <c r="D69" s="2">
        <f>SUM(OSRRefD22_11x_0)</f>
        <v>7414.27</v>
      </c>
      <c r="E69" s="2"/>
      <c r="F69" s="6">
        <f t="shared" si="4"/>
        <v>0.40696067324454527</v>
      </c>
      <c r="G69" s="2"/>
      <c r="H69" s="2">
        <f>SUM(OSRRefH22_11x_0)</f>
        <v>2585.0099999999998</v>
      </c>
      <c r="I69" s="2"/>
      <c r="J69" s="6">
        <f t="shared" si="5"/>
        <v>1.204010246856078</v>
      </c>
      <c r="K69" s="2"/>
      <c r="L69" s="2">
        <f t="shared" si="6"/>
        <v>4829.26</v>
      </c>
      <c r="M69" s="2"/>
      <c r="N69" s="6">
        <f t="shared" si="7"/>
        <v>1.8681784596577966</v>
      </c>
      <c r="O69" s="14"/>
      <c r="P69" s="2">
        <f>SUM(OSRRefP22_11x_0)</f>
        <v>35707.050000000003</v>
      </c>
      <c r="Q69" s="2"/>
      <c r="R69" s="6">
        <f t="shared" si="8"/>
        <v>0.21688664267576288</v>
      </c>
      <c r="S69" s="2"/>
      <c r="T69" s="2">
        <f>SUM(OSRRefT22_11x_0)</f>
        <v>32513.17</v>
      </c>
      <c r="U69" s="2"/>
      <c r="V69" s="6">
        <f t="shared" si="9"/>
        <v>0.29292455707251036</v>
      </c>
      <c r="W69" s="2"/>
      <c r="X69" s="2">
        <f t="shared" si="10"/>
        <v>3193.8800000000047</v>
      </c>
      <c r="Y69" s="2"/>
      <c r="Z69" s="6">
        <f t="shared" si="11"/>
        <v>9.8233423563436131E-2</v>
      </c>
    </row>
    <row r="70" spans="1:26" s="69" customFormat="1" ht="15" hidden="1" customHeight="1" outlineLevel="2" x14ac:dyDescent="0.3">
      <c r="A70" s="25"/>
      <c r="B70" s="12" t="str">
        <f>CONCATENATE("          ","6235"," - ","COVID-19 EXPENSES")</f>
        <v xml:space="preserve">          6235 - COVID-19 EXPENSES</v>
      </c>
      <c r="C70" s="12"/>
      <c r="D70" s="8"/>
      <c r="E70" s="3"/>
      <c r="F70" s="7">
        <f t="shared" si="4"/>
        <v>0</v>
      </c>
      <c r="G70" s="3"/>
      <c r="H70" s="8"/>
      <c r="I70" s="3"/>
      <c r="J70" s="7">
        <f t="shared" si="5"/>
        <v>0</v>
      </c>
      <c r="K70" s="3"/>
      <c r="L70" s="8">
        <f t="shared" si="6"/>
        <v>0</v>
      </c>
      <c r="M70" s="3"/>
      <c r="N70" s="7">
        <f t="shared" si="7"/>
        <v>0</v>
      </c>
      <c r="O70" s="12"/>
      <c r="P70" s="8"/>
      <c r="Q70" s="3"/>
      <c r="R70" s="7">
        <f t="shared" si="8"/>
        <v>0</v>
      </c>
      <c r="S70" s="3"/>
      <c r="T70" s="8">
        <v>310.91000000000003</v>
      </c>
      <c r="U70" s="3"/>
      <c r="V70" s="7">
        <f t="shared" si="9"/>
        <v>2.8011164103473826E-3</v>
      </c>
      <c r="W70" s="3"/>
      <c r="X70" s="8">
        <f t="shared" si="10"/>
        <v>-310.91000000000003</v>
      </c>
      <c r="Y70" s="3"/>
      <c r="Z70" s="7">
        <f t="shared" si="11"/>
        <v>-1</v>
      </c>
    </row>
    <row r="71" spans="1:26" s="69" customFormat="1" ht="15" hidden="1" customHeight="1" outlineLevel="2" x14ac:dyDescent="0.3">
      <c r="A71" s="25"/>
      <c r="B71" s="12" t="str">
        <f>CONCATENATE("          ","6241"," - ","OFFICE EXPENSE")</f>
        <v xml:space="preserve">          6241 - OFFICE EXPENSE</v>
      </c>
      <c r="C71" s="12"/>
      <c r="D71" s="8">
        <v>1063.92</v>
      </c>
      <c r="E71" s="3"/>
      <c r="F71" s="7">
        <f t="shared" si="4"/>
        <v>5.8397333719750776E-2</v>
      </c>
      <c r="G71" s="3"/>
      <c r="H71" s="8">
        <v>46.64</v>
      </c>
      <c r="I71" s="3"/>
      <c r="J71" s="7">
        <f t="shared" si="5"/>
        <v>2.1723334885887284E-2</v>
      </c>
      <c r="K71" s="3"/>
      <c r="L71" s="8">
        <f t="shared" si="6"/>
        <v>1017.2800000000001</v>
      </c>
      <c r="M71" s="3"/>
      <c r="N71" s="7">
        <f t="shared" si="7"/>
        <v>21.811320754716984</v>
      </c>
      <c r="O71" s="12"/>
      <c r="P71" s="8">
        <v>9221.3799999999992</v>
      </c>
      <c r="Q71" s="3"/>
      <c r="R71" s="7">
        <f t="shared" si="8"/>
        <v>5.6011184038934216E-2</v>
      </c>
      <c r="S71" s="3"/>
      <c r="T71" s="8">
        <v>4651.21</v>
      </c>
      <c r="U71" s="3"/>
      <c r="V71" s="7">
        <f t="shared" si="9"/>
        <v>4.1904669064912185E-2</v>
      </c>
      <c r="W71" s="3"/>
      <c r="X71" s="8">
        <f t="shared" si="10"/>
        <v>4570.1699999999992</v>
      </c>
      <c r="Y71" s="3"/>
      <c r="Z71" s="7">
        <f t="shared" si="11"/>
        <v>0.9825765768477448</v>
      </c>
    </row>
    <row r="72" spans="1:26" s="69" customFormat="1" ht="15" hidden="1" customHeight="1" outlineLevel="2" x14ac:dyDescent="0.3">
      <c r="A72" s="25"/>
      <c r="B72" s="12" t="str">
        <f>CONCATENATE("          ","6243"," - ","PAPER SUPPLIES")</f>
        <v xml:space="preserve">          6243 - PAPER SUPPLIES</v>
      </c>
      <c r="C72" s="12"/>
      <c r="D72" s="8">
        <v>1213.21</v>
      </c>
      <c r="E72" s="3"/>
      <c r="F72" s="7">
        <f t="shared" si="4"/>
        <v>6.6591688512424654E-2</v>
      </c>
      <c r="G72" s="3"/>
      <c r="H72" s="8">
        <v>309.25</v>
      </c>
      <c r="I72" s="3"/>
      <c r="J72" s="7">
        <f t="shared" si="5"/>
        <v>0.14403819282720073</v>
      </c>
      <c r="K72" s="3"/>
      <c r="L72" s="8">
        <f t="shared" si="6"/>
        <v>903.96</v>
      </c>
      <c r="M72" s="3"/>
      <c r="N72" s="7">
        <f t="shared" si="7"/>
        <v>2.9230719482619243</v>
      </c>
      <c r="O72" s="12"/>
      <c r="P72" s="8">
        <v>6835.14</v>
      </c>
      <c r="Q72" s="3"/>
      <c r="R72" s="7">
        <f t="shared" si="8"/>
        <v>4.151702722064169E-2</v>
      </c>
      <c r="S72" s="3"/>
      <c r="T72" s="8">
        <v>6482.65</v>
      </c>
      <c r="U72" s="3"/>
      <c r="V72" s="7">
        <f t="shared" si="9"/>
        <v>5.8404867317032122E-2</v>
      </c>
      <c r="W72" s="3"/>
      <c r="X72" s="8">
        <f t="shared" si="10"/>
        <v>352.49000000000069</v>
      </c>
      <c r="Y72" s="3"/>
      <c r="Z72" s="7">
        <f t="shared" si="11"/>
        <v>5.4374368506706475E-2</v>
      </c>
    </row>
    <row r="73" spans="1:26" s="69" customFormat="1" ht="15" hidden="1" customHeight="1" outlineLevel="2" x14ac:dyDescent="0.3">
      <c r="A73" s="25"/>
      <c r="B73" s="12" t="str">
        <f>CONCATENATE("          ","6245"," - ","PRINTING")</f>
        <v xml:space="preserve">          6245 - PRINTING</v>
      </c>
      <c r="C73" s="12"/>
      <c r="D73" s="8">
        <v>3671.2</v>
      </c>
      <c r="E73" s="3"/>
      <c r="F73" s="7">
        <f t="shared" si="4"/>
        <v>0.20150790618838732</v>
      </c>
      <c r="G73" s="3"/>
      <c r="H73" s="8">
        <v>447.27</v>
      </c>
      <c r="I73" s="3"/>
      <c r="J73" s="7">
        <f t="shared" si="5"/>
        <v>0.20832324173265021</v>
      </c>
      <c r="K73" s="3"/>
      <c r="L73" s="8">
        <f t="shared" si="6"/>
        <v>3223.93</v>
      </c>
      <c r="M73" s="3"/>
      <c r="N73" s="7">
        <f t="shared" si="7"/>
        <v>7.2080175285621664</v>
      </c>
      <c r="O73" s="12"/>
      <c r="P73" s="8">
        <v>5332.53</v>
      </c>
      <c r="Q73" s="3"/>
      <c r="R73" s="7">
        <f t="shared" si="8"/>
        <v>3.2390089034736433E-2</v>
      </c>
      <c r="S73" s="3"/>
      <c r="T73" s="8">
        <v>1285.55</v>
      </c>
      <c r="U73" s="3"/>
      <c r="V73" s="7">
        <f t="shared" si="9"/>
        <v>1.1582050115216871E-2</v>
      </c>
      <c r="W73" s="3"/>
      <c r="X73" s="8">
        <f t="shared" si="10"/>
        <v>4046.9799999999996</v>
      </c>
      <c r="Y73" s="3"/>
      <c r="Z73" s="7">
        <f t="shared" si="11"/>
        <v>3.148053362374081</v>
      </c>
    </row>
    <row r="74" spans="1:26" s="69" customFormat="1" ht="15" hidden="1" customHeight="1" outlineLevel="2" x14ac:dyDescent="0.3">
      <c r="A74" s="25"/>
      <c r="B74" s="12" t="str">
        <f>CONCATENATE("          ","6247"," - ","STORE SUPPLIES")</f>
        <v xml:space="preserve">          6247 - STORE SUPPLIES</v>
      </c>
      <c r="C74" s="12"/>
      <c r="D74" s="8">
        <v>1465.94</v>
      </c>
      <c r="E74" s="3"/>
      <c r="F74" s="7">
        <f t="shared" si="4"/>
        <v>8.0463744823982497E-2</v>
      </c>
      <c r="G74" s="3"/>
      <c r="H74" s="8">
        <v>1781.85</v>
      </c>
      <c r="I74" s="3"/>
      <c r="J74" s="7">
        <f t="shared" si="5"/>
        <v>0.82992547741033995</v>
      </c>
      <c r="K74" s="3"/>
      <c r="L74" s="8">
        <f t="shared" si="6"/>
        <v>-315.90999999999985</v>
      </c>
      <c r="M74" s="3"/>
      <c r="N74" s="7">
        <f t="shared" si="7"/>
        <v>-0.17729326262031028</v>
      </c>
      <c r="O74" s="12"/>
      <c r="P74" s="8">
        <v>14318</v>
      </c>
      <c r="Q74" s="3"/>
      <c r="R74" s="7">
        <f t="shared" si="8"/>
        <v>8.6968342381450514E-2</v>
      </c>
      <c r="S74" s="3"/>
      <c r="T74" s="8">
        <v>19782.849999999999</v>
      </c>
      <c r="U74" s="3"/>
      <c r="V74" s="7">
        <f t="shared" si="9"/>
        <v>0.17823185416500179</v>
      </c>
      <c r="W74" s="3"/>
      <c r="X74" s="8">
        <f t="shared" si="10"/>
        <v>-5464.8499999999985</v>
      </c>
      <c r="Y74" s="3"/>
      <c r="Z74" s="7">
        <f t="shared" si="11"/>
        <v>-0.27624179529238702</v>
      </c>
    </row>
    <row r="75" spans="1:26" s="68" customFormat="1" ht="15" customHeight="1" outlineLevel="1" collapsed="1" x14ac:dyDescent="0.3">
      <c r="A75" s="26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SUM(OSRRefD22_12x_0)</f>
        <v>46</v>
      </c>
      <c r="E75" s="2"/>
      <c r="F75" s="6">
        <f t="shared" si="4"/>
        <v>2.5248865996583725E-3</v>
      </c>
      <c r="G75" s="2"/>
      <c r="H75" s="2">
        <f>SUM(OSRRefH22_12x_0)</f>
        <v>82.1</v>
      </c>
      <c r="I75" s="2"/>
      <c r="J75" s="6">
        <f t="shared" si="5"/>
        <v>3.8239403819282716E-2</v>
      </c>
      <c r="K75" s="2"/>
      <c r="L75" s="2">
        <f t="shared" si="6"/>
        <v>-36.099999999999994</v>
      </c>
      <c r="M75" s="2"/>
      <c r="N75" s="6">
        <f t="shared" si="7"/>
        <v>-0.43970767356881846</v>
      </c>
      <c r="O75" s="14"/>
      <c r="P75" s="2">
        <f>SUM(OSRRefP22_12x_0)</f>
        <v>930.4</v>
      </c>
      <c r="Q75" s="2"/>
      <c r="R75" s="6">
        <f t="shared" si="8"/>
        <v>5.6513022595126106E-3</v>
      </c>
      <c r="S75" s="2"/>
      <c r="T75" s="2">
        <f>SUM(OSRRefT22_12x_0)</f>
        <v>1503.4</v>
      </c>
      <c r="U75" s="2"/>
      <c r="V75" s="6">
        <f t="shared" si="9"/>
        <v>1.3544750607301967E-2</v>
      </c>
      <c r="W75" s="2"/>
      <c r="X75" s="2">
        <f t="shared" si="10"/>
        <v>-573.00000000000011</v>
      </c>
      <c r="Y75" s="2"/>
      <c r="Z75" s="6">
        <f t="shared" si="11"/>
        <v>-0.38113609152587474</v>
      </c>
    </row>
    <row r="76" spans="1:26" s="69" customFormat="1" ht="15" hidden="1" customHeight="1" outlineLevel="2" x14ac:dyDescent="0.3">
      <c r="A76" s="25"/>
      <c r="B76" s="12" t="str">
        <f>CONCATENATE("          ","6309"," - ","TELEPHONE")</f>
        <v xml:space="preserve">          6309 - TELEPHONE</v>
      </c>
      <c r="C76" s="12"/>
      <c r="D76" s="8">
        <v>46</v>
      </c>
      <c r="E76" s="3"/>
      <c r="F76" s="7">
        <f t="shared" si="4"/>
        <v>2.5248865996583725E-3</v>
      </c>
      <c r="G76" s="3"/>
      <c r="H76" s="8">
        <v>82.1</v>
      </c>
      <c r="I76" s="3"/>
      <c r="J76" s="7">
        <f t="shared" si="5"/>
        <v>3.8239403819282716E-2</v>
      </c>
      <c r="K76" s="3"/>
      <c r="L76" s="8">
        <f t="shared" si="6"/>
        <v>-36.099999999999994</v>
      </c>
      <c r="M76" s="3"/>
      <c r="N76" s="7">
        <f t="shared" si="7"/>
        <v>-0.43970767356881846</v>
      </c>
      <c r="O76" s="12"/>
      <c r="P76" s="8">
        <v>930.4</v>
      </c>
      <c r="Q76" s="3"/>
      <c r="R76" s="7">
        <f t="shared" si="8"/>
        <v>5.6513022595126106E-3</v>
      </c>
      <c r="S76" s="3"/>
      <c r="T76" s="8">
        <v>1503.4</v>
      </c>
      <c r="U76" s="3"/>
      <c r="V76" s="7">
        <f t="shared" si="9"/>
        <v>1.3544750607301967E-2</v>
      </c>
      <c r="W76" s="3"/>
      <c r="X76" s="8">
        <f t="shared" si="10"/>
        <v>-573.00000000000011</v>
      </c>
      <c r="Y76" s="3"/>
      <c r="Z76" s="7">
        <f t="shared" si="11"/>
        <v>-0.38113609152587474</v>
      </c>
    </row>
    <row r="77" spans="1:26" s="68" customFormat="1" ht="15" customHeight="1" outlineLevel="1" collapsed="1" x14ac:dyDescent="0.3">
      <c r="A77" s="26"/>
      <c r="B77" s="14" t="str">
        <f>CONCATENATE("     ","Utilities                                         ")</f>
        <v xml:space="preserve">     Utilities                                         </v>
      </c>
      <c r="C77" s="14"/>
      <c r="D77" s="2">
        <f>SUM(OSRRefD22_13x_0)</f>
        <v>0</v>
      </c>
      <c r="E77" s="2"/>
      <c r="F77" s="6">
        <f t="shared" si="4"/>
        <v>0</v>
      </c>
      <c r="G77" s="2"/>
      <c r="H77" s="2">
        <f>SUM(OSRRefH22_13x_0)</f>
        <v>0</v>
      </c>
      <c r="I77" s="2"/>
      <c r="J77" s="6">
        <f t="shared" si="5"/>
        <v>0</v>
      </c>
      <c r="K77" s="2"/>
      <c r="L77" s="2">
        <f t="shared" si="6"/>
        <v>0</v>
      </c>
      <c r="M77" s="2"/>
      <c r="N77" s="6">
        <f t="shared" si="7"/>
        <v>0</v>
      </c>
      <c r="O77" s="14"/>
      <c r="P77" s="2">
        <f>SUM(OSRRefP22_13x_0)</f>
        <v>0</v>
      </c>
      <c r="Q77" s="2"/>
      <c r="R77" s="6">
        <f t="shared" si="8"/>
        <v>0</v>
      </c>
      <c r="S77" s="2"/>
      <c r="T77" s="2">
        <f>SUM(OSRRefT22_13x_0)</f>
        <v>15.02</v>
      </c>
      <c r="U77" s="2"/>
      <c r="V77" s="6">
        <f t="shared" si="9"/>
        <v>1.3532137429937178E-4</v>
      </c>
      <c r="W77" s="2"/>
      <c r="X77" s="2">
        <f t="shared" si="10"/>
        <v>-15.02</v>
      </c>
      <c r="Y77" s="2"/>
      <c r="Z77" s="6">
        <f t="shared" si="11"/>
        <v>-1</v>
      </c>
    </row>
    <row r="78" spans="1:26" s="69" customFormat="1" ht="15" hidden="1" customHeight="1" outlineLevel="2" x14ac:dyDescent="0.3">
      <c r="A78" s="25"/>
      <c r="B78" s="12" t="str">
        <f>CONCATENATE("          ","6274"," - ","UTILITIES")</f>
        <v xml:space="preserve">          6274 - UTILITIES</v>
      </c>
      <c r="C78" s="12"/>
      <c r="D78" s="8"/>
      <c r="E78" s="3"/>
      <c r="F78" s="7">
        <f t="shared" si="4"/>
        <v>0</v>
      </c>
      <c r="G78" s="3"/>
      <c r="H78" s="8"/>
      <c r="I78" s="3"/>
      <c r="J78" s="7">
        <f t="shared" si="5"/>
        <v>0</v>
      </c>
      <c r="K78" s="3"/>
      <c r="L78" s="8">
        <f t="shared" si="6"/>
        <v>0</v>
      </c>
      <c r="M78" s="3"/>
      <c r="N78" s="7">
        <f t="shared" si="7"/>
        <v>0</v>
      </c>
      <c r="O78" s="12"/>
      <c r="P78" s="8"/>
      <c r="Q78" s="3"/>
      <c r="R78" s="7">
        <f t="shared" si="8"/>
        <v>0</v>
      </c>
      <c r="S78" s="3"/>
      <c r="T78" s="8">
        <v>15.02</v>
      </c>
      <c r="U78" s="3"/>
      <c r="V78" s="7">
        <f t="shared" si="9"/>
        <v>1.3532137429937178E-4</v>
      </c>
      <c r="W78" s="3"/>
      <c r="X78" s="8">
        <f t="shared" si="10"/>
        <v>-15.02</v>
      </c>
      <c r="Y78" s="3"/>
      <c r="Z78" s="7">
        <f t="shared" si="11"/>
        <v>-1</v>
      </c>
    </row>
    <row r="79" spans="1:26" s="64" customFormat="1" ht="15" customHeight="1" x14ac:dyDescent="0.3">
      <c r="A79" s="36"/>
      <c r="B79" s="36"/>
      <c r="C79" s="36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3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62" customFormat="1" ht="15" customHeight="1" collapsed="1" x14ac:dyDescent="0.3">
      <c r="A80" s="11"/>
      <c r="B80" s="28" t="s">
        <v>290</v>
      </c>
      <c r="C80" s="11"/>
      <c r="D80" s="5">
        <f>SUM(OSRRefD25x_0)</f>
        <v>0</v>
      </c>
      <c r="E80" s="5"/>
      <c r="F80" s="13">
        <f>IF(D$12=0,0,D80/D$12)</f>
        <v>0</v>
      </c>
      <c r="G80" s="5"/>
      <c r="H80" s="5">
        <f>SUM(OSRRefH25x_0)</f>
        <v>6782</v>
      </c>
      <c r="I80" s="5"/>
      <c r="J80" s="13">
        <f>IF(H$12=0,0,H80/H$12)</f>
        <v>3.158826269212855</v>
      </c>
      <c r="K80" s="5"/>
      <c r="L80" s="5">
        <f>+D80-H80</f>
        <v>-6782</v>
      </c>
      <c r="M80" s="5"/>
      <c r="N80" s="13">
        <f>IF(H80=0,0,L80/H80)</f>
        <v>-1</v>
      </c>
      <c r="O80" s="11"/>
      <c r="P80" s="5">
        <f>SUM(OSRRefP25x_0)</f>
        <v>15135.44</v>
      </c>
      <c r="Q80" s="5"/>
      <c r="R80" s="13">
        <f>IF(P$12=0,0,P80/P$12)</f>
        <v>9.1933519207563999E-2</v>
      </c>
      <c r="S80" s="5"/>
      <c r="T80" s="5">
        <f>SUM(OSRRefT25x_0)</f>
        <v>61038</v>
      </c>
      <c r="U80" s="5"/>
      <c r="V80" s="13">
        <f>IF(T$12=0,0,T80/T$12)</f>
        <v>0.54991651427996369</v>
      </c>
      <c r="W80" s="5"/>
      <c r="X80" s="5">
        <f>+P80-T80</f>
        <v>-45902.559999999998</v>
      </c>
      <c r="Y80" s="5"/>
      <c r="Z80" s="13">
        <f>IF(T80=0,0,X80/T80)</f>
        <v>-0.75203250434155766</v>
      </c>
    </row>
    <row r="81" spans="1:26" s="69" customFormat="1" ht="15" hidden="1" customHeight="1" outlineLevel="1" x14ac:dyDescent="0.3">
      <c r="A81" s="42"/>
      <c r="B81" s="12" t="str">
        <f>CONCATENATE("          ","9150"," - ","MISC. INCOME")</f>
        <v xml:space="preserve">          9150 - MISC. INCOME</v>
      </c>
      <c r="C81" s="12"/>
      <c r="D81" s="3">
        <f>0</f>
        <v>0</v>
      </c>
      <c r="E81" s="3"/>
      <c r="F81" s="20">
        <f>IF(D$12=0,0,D81/D$12)</f>
        <v>0</v>
      </c>
      <c r="G81" s="3"/>
      <c r="H81" s="3">
        <f>--6782</f>
        <v>6782</v>
      </c>
      <c r="I81" s="3"/>
      <c r="J81" s="20">
        <f>IF(H$12=0,0,H81/H$12)</f>
        <v>3.158826269212855</v>
      </c>
      <c r="K81" s="3"/>
      <c r="L81" s="3">
        <f>+D81-H81</f>
        <v>-6782</v>
      </c>
      <c r="M81" s="3"/>
      <c r="N81" s="20">
        <f>IF(H81=0,0,L81/H81)</f>
        <v>-1</v>
      </c>
      <c r="O81" s="12"/>
      <c r="P81" s="3">
        <f>--15135.44</f>
        <v>15135.44</v>
      </c>
      <c r="Q81" s="3"/>
      <c r="R81" s="20">
        <f>IF(P$12=0,0,P81/P$12)</f>
        <v>9.1933519207563999E-2</v>
      </c>
      <c r="S81" s="3"/>
      <c r="T81" s="3">
        <f>--61038</f>
        <v>61038</v>
      </c>
      <c r="U81" s="3"/>
      <c r="V81" s="20">
        <f>IF(T$12=0,0,T81/T$12)</f>
        <v>0.54991651427996369</v>
      </c>
      <c r="W81" s="3"/>
      <c r="X81" s="3">
        <f>+P81-T81</f>
        <v>-45902.559999999998</v>
      </c>
      <c r="Y81" s="3"/>
      <c r="Z81" s="20">
        <f>IF(T81=0,0,X81/T81)</f>
        <v>-0.75203250434155766</v>
      </c>
    </row>
    <row r="82" spans="1:26" s="69" customFormat="1" ht="15" hidden="1" customHeight="1" outlineLevel="1" x14ac:dyDescent="0.3">
      <c r="A82" s="42"/>
      <c r="B82" s="12" t="str">
        <f>CONCATENATE("          ","9163"," - ","MISC. INCOME")</f>
        <v xml:space="preserve">          9163 - MISC. INCOME</v>
      </c>
      <c r="C82" s="12"/>
      <c r="D82" s="3">
        <f>0</f>
        <v>0</v>
      </c>
      <c r="E82" s="3"/>
      <c r="F82" s="20">
        <f>IF(D$12=0,0,D82/D$12)</f>
        <v>0</v>
      </c>
      <c r="G82" s="3"/>
      <c r="H82" s="3">
        <f>0</f>
        <v>0</v>
      </c>
      <c r="I82" s="3"/>
      <c r="J82" s="20">
        <f>IF(H$12=0,0,H82/H$12)</f>
        <v>0</v>
      </c>
      <c r="K82" s="3"/>
      <c r="L82" s="3">
        <f>+D82-H82</f>
        <v>0</v>
      </c>
      <c r="M82" s="3"/>
      <c r="N82" s="20">
        <f>IF(H82=0,0,L82/H82)</f>
        <v>0</v>
      </c>
      <c r="O82" s="12"/>
      <c r="P82" s="3">
        <f>0</f>
        <v>0</v>
      </c>
      <c r="Q82" s="3"/>
      <c r="R82" s="20">
        <f>IF(P$12=0,0,P82/P$12)</f>
        <v>0</v>
      </c>
      <c r="S82" s="3"/>
      <c r="T82" s="3">
        <f>0</f>
        <v>0</v>
      </c>
      <c r="U82" s="3"/>
      <c r="V82" s="20">
        <f>IF(T$12=0,0,T82/T$12)</f>
        <v>0</v>
      </c>
      <c r="W82" s="3"/>
      <c r="X82" s="3">
        <f>+P82-T82</f>
        <v>0</v>
      </c>
      <c r="Y82" s="3"/>
      <c r="Z82" s="20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291</v>
      </c>
      <c r="C84" s="27"/>
      <c r="D84" s="22">
        <f>+D32-D34+D80</f>
        <v>-15683.05</v>
      </c>
      <c r="E84" s="15"/>
      <c r="F84" s="21">
        <f>IF(D$12=0,0,D84/D$12)</f>
        <v>-0.86082440840809205</v>
      </c>
      <c r="G84" s="15"/>
      <c r="H84" s="22">
        <f>+H32-H34+H80</f>
        <v>-10511.499999999989</v>
      </c>
      <c r="I84" s="15"/>
      <c r="J84" s="21">
        <f>IF(H$12=0,0,H84/H$12)</f>
        <v>-4.8959012575686955</v>
      </c>
      <c r="K84" s="17"/>
      <c r="L84" s="22">
        <f>+D84-H84</f>
        <v>-5171.5500000000102</v>
      </c>
      <c r="M84" s="17"/>
      <c r="N84" s="21">
        <f>IF(H84=0,0,L84/H84)</f>
        <v>0.49198972553869719</v>
      </c>
      <c r="O84" s="28"/>
      <c r="P84" s="22">
        <f>+P32-P34+P80</f>
        <v>-37125.850000000035</v>
      </c>
      <c r="Q84" s="15"/>
      <c r="R84" s="21">
        <f>IF(P$12=0,0,P84/P$12)</f>
        <v>-0.22550451417812387</v>
      </c>
      <c r="S84" s="15"/>
      <c r="T84" s="22">
        <f>+T32-T34+T80</f>
        <v>-85231.88</v>
      </c>
      <c r="U84" s="15"/>
      <c r="V84" s="21">
        <f>IF(T$12=0,0,T84/T$12)</f>
        <v>-0.7678891568388243</v>
      </c>
      <c r="W84" s="17"/>
      <c r="X84" s="22">
        <f>+P84-T84</f>
        <v>48106.02999999997</v>
      </c>
      <c r="Y84" s="17"/>
      <c r="Z84" s="21">
        <f>IF(T84=0,0,X84/T84)</f>
        <v>-0.56441357388808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48"/>
      <c r="B86" s="11" t="s">
        <v>292</v>
      </c>
      <c r="C86" s="11"/>
      <c r="D86" s="5">
        <v>1372.7</v>
      </c>
      <c r="E86" s="5"/>
      <c r="F86" s="13">
        <f>IF(D$12=0,0,D86/D$12)</f>
        <v>7.5345909464153218E-2</v>
      </c>
      <c r="G86" s="5"/>
      <c r="H86" s="5">
        <v>1319.33</v>
      </c>
      <c r="I86" s="5"/>
      <c r="J86" s="13">
        <f>IF(H$12=0,0,H86/H$12)</f>
        <v>0.61449930135072195</v>
      </c>
      <c r="K86" s="5"/>
      <c r="L86" s="5">
        <f>+D86-H86</f>
        <v>53.370000000000118</v>
      </c>
      <c r="M86" s="5"/>
      <c r="N86" s="13">
        <f>IF(H86=0,0,L86/H86)</f>
        <v>4.0452350814428627E-2</v>
      </c>
      <c r="O86" s="11"/>
      <c r="P86" s="5">
        <v>19648.740000000002</v>
      </c>
      <c r="Q86" s="5"/>
      <c r="R86" s="13">
        <f>IF(P$12=0,0,P86/P$12)</f>
        <v>0.11934755885487514</v>
      </c>
      <c r="S86" s="5"/>
      <c r="T86" s="5">
        <v>22875.13</v>
      </c>
      <c r="U86" s="5"/>
      <c r="V86" s="13">
        <f>IF(T$12=0,0,T86/T$12)</f>
        <v>0.20609147995185012</v>
      </c>
      <c r="W86" s="5"/>
      <c r="X86" s="5">
        <f>+P86-T86</f>
        <v>-3226.3899999999994</v>
      </c>
      <c r="Y86" s="5"/>
      <c r="Z86" s="13">
        <f>IF(T86=0,0,X86/T86)</f>
        <v>-0.14104357002561294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7" t="s">
        <v>293</v>
      </c>
      <c r="C88" s="27"/>
      <c r="D88" s="34">
        <f>+D84-D86</f>
        <v>-17055.75</v>
      </c>
      <c r="E88" s="15"/>
      <c r="F88" s="33">
        <f>IF(D$12=0,0,D88/D$12)</f>
        <v>-0.93617031787224536</v>
      </c>
      <c r="G88" s="15"/>
      <c r="H88" s="34">
        <f>+H84-H86</f>
        <v>-11830.829999999989</v>
      </c>
      <c r="I88" s="15"/>
      <c r="J88" s="33">
        <f>IF(H$12=0,0,H88/H$12)</f>
        <v>-5.5104005589194172</v>
      </c>
      <c r="K88" s="17"/>
      <c r="L88" s="34">
        <f>D88-H88</f>
        <v>-5224.920000000011</v>
      </c>
      <c r="M88" s="17"/>
      <c r="N88" s="33">
        <f>IF(H88=0,0,L88/H88)</f>
        <v>0.44163596298822788</v>
      </c>
      <c r="O88" s="28"/>
      <c r="P88" s="34">
        <f>+P84-P86</f>
        <v>-56774.59000000004</v>
      </c>
      <c r="Q88" s="15"/>
      <c r="R88" s="33">
        <f>IF(P$12=0,0,P88/P$12)</f>
        <v>-0.34485207303299903</v>
      </c>
      <c r="S88" s="15"/>
      <c r="T88" s="34">
        <f>+T84-T86</f>
        <v>-108107.01000000001</v>
      </c>
      <c r="U88" s="15"/>
      <c r="V88" s="33">
        <f>IF(T$12=0,0,T88/T$12)</f>
        <v>-0.97398063679067437</v>
      </c>
      <c r="W88" s="17"/>
      <c r="X88" s="34">
        <f>P88-T88</f>
        <v>51332.419999999969</v>
      </c>
      <c r="Y88" s="17"/>
      <c r="Z88" s="33">
        <f>IF(T88=0,0,X88/T88)</f>
        <v>-0.47482970808275954</v>
      </c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7" t="s">
        <v>296</v>
      </c>
      <c r="C91" s="27"/>
      <c r="D91" s="31">
        <f>SUM(D88:D90)</f>
        <v>-17055.75</v>
      </c>
      <c r="E91" s="15"/>
      <c r="F91" s="32">
        <f>IF(D$12=0,0,D91/D$12)</f>
        <v>-0.93617031787224536</v>
      </c>
      <c r="G91" s="15"/>
      <c r="H91" s="31">
        <f>SUM(H88:H90)</f>
        <v>-11830.829999999989</v>
      </c>
      <c r="I91" s="15"/>
      <c r="J91" s="32">
        <f>IF(H$12=0,0,H91/H$12)</f>
        <v>-5.5104005589194172</v>
      </c>
      <c r="K91" s="17"/>
      <c r="L91" s="31">
        <f>+D91-H91</f>
        <v>-5224.920000000011</v>
      </c>
      <c r="M91" s="17"/>
      <c r="N91" s="32">
        <f>IF(H91=0,0,L91/H91)</f>
        <v>0.44163596298822788</v>
      </c>
      <c r="O91" s="28"/>
      <c r="P91" s="31">
        <f>SUM(P88:P90)</f>
        <v>-56774.59000000004</v>
      </c>
      <c r="Q91" s="15"/>
      <c r="R91" s="32">
        <f>IF(P$12=0,0,P91/P$12)</f>
        <v>-0.34485207303299903</v>
      </c>
      <c r="S91" s="15"/>
      <c r="T91" s="31">
        <f>SUM(T88:T90)</f>
        <v>-108107.01000000001</v>
      </c>
      <c r="U91" s="15"/>
      <c r="V91" s="32">
        <f>IF(T$12=0,0,T91/T$12)</f>
        <v>-0.97398063679067437</v>
      </c>
      <c r="W91" s="17"/>
      <c r="X91" s="31">
        <f>+P91-T91</f>
        <v>51332.419999999969</v>
      </c>
      <c r="Y91" s="17"/>
      <c r="Z91" s="32">
        <f>IF(T91=0,0,X91/T91)</f>
        <v>-0.47482970808275954</v>
      </c>
    </row>
    <row r="92" spans="1:26" ht="15" customHeight="1" x14ac:dyDescent="0.3">
      <c r="A92" s="10"/>
      <c r="C92" s="10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A93" s="10"/>
      <c r="B93" s="56">
        <v>44663.038568055556</v>
      </c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  <row r="94" spans="1:26" ht="15" customHeight="1" x14ac:dyDescent="0.3">
      <c r="A94" s="10"/>
      <c r="B94" s="57" t="s">
        <v>297</v>
      </c>
      <c r="D94" s="19"/>
      <c r="E94" s="19"/>
      <c r="G94" s="19"/>
      <c r="H94" s="19"/>
      <c r="I94" s="19"/>
      <c r="J94" s="40"/>
      <c r="K94" s="19"/>
      <c r="L94" s="19"/>
      <c r="M94" s="19"/>
      <c r="P94" s="19"/>
      <c r="Q94" s="19"/>
      <c r="R94" s="40"/>
      <c r="S94" s="19"/>
      <c r="T94" s="19"/>
      <c r="U94" s="19"/>
      <c r="V94" s="40"/>
      <c r="W94" s="19"/>
      <c r="X94" s="19"/>
    </row>
    <row r="95" spans="1:26" ht="15" customHeight="1" x14ac:dyDescent="0.3">
      <c r="A95" s="10"/>
      <c r="B95" s="58"/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4BC19-1F9A-2F2D-35B7-BE6CEF508444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","316"," - ","Campus Copy Center")</f>
        <v>Department 316 - Campus Copy Center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18218.639999999996</v>
      </c>
      <c r="E12" s="5"/>
      <c r="F12" s="13"/>
      <c r="G12" s="5"/>
      <c r="H12" s="5">
        <f>SUM(OSRRefH13x_0)</f>
        <v>2147</v>
      </c>
      <c r="I12" s="5"/>
      <c r="J12" s="13"/>
      <c r="K12" s="5"/>
      <c r="L12" s="5">
        <f t="shared" ref="L12:L25" si="0">+D12-H12</f>
        <v>16071.639999999996</v>
      </c>
      <c r="M12" s="5"/>
      <c r="N12" s="13">
        <f t="shared" ref="N12:N25" si="1">IF(H12=0,0,L12/H12)</f>
        <v>7.485626455519327</v>
      </c>
      <c r="O12" s="11"/>
      <c r="P12" s="5">
        <f>SUM(OSRRefP13x_0)</f>
        <v>164634.62</v>
      </c>
      <c r="Q12" s="5"/>
      <c r="R12" s="13"/>
      <c r="S12" s="5"/>
      <c r="T12" s="5">
        <f>SUM(OSRRefT13x_0)</f>
        <v>110995.03</v>
      </c>
      <c r="U12" s="5"/>
      <c r="V12" s="13"/>
      <c r="W12" s="5"/>
      <c r="X12" s="5">
        <f t="shared" ref="X12:X25" si="2">+P12-T12</f>
        <v>53639.59</v>
      </c>
      <c r="Y12" s="5"/>
      <c r="Z12" s="13">
        <f t="shared" ref="Z12:Z25" si="3">IF(T12=0,0,X12/T12)</f>
        <v>0.48326118746037544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--10589.72</f>
        <v>10589.72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10589.72</v>
      </c>
      <c r="M13" s="3"/>
      <c r="N13" s="20">
        <f t="shared" si="1"/>
        <v>0</v>
      </c>
      <c r="O13" s="12"/>
      <c r="P13" s="3">
        <f>--128105.83</f>
        <v>128105.83</v>
      </c>
      <c r="Q13" s="3"/>
      <c r="R13" s="20"/>
      <c r="S13" s="3"/>
      <c r="T13" s="3">
        <f>-9.28</f>
        <v>-9.2799999999999994</v>
      </c>
      <c r="U13" s="3"/>
      <c r="V13" s="20"/>
      <c r="W13" s="3"/>
      <c r="X13" s="3">
        <f t="shared" si="2"/>
        <v>128115.11</v>
      </c>
      <c r="Y13" s="3"/>
      <c r="Z13" s="20">
        <f t="shared" si="3"/>
        <v>-13805.507543103449</v>
      </c>
    </row>
    <row r="14" spans="1:26" s="69" customFormat="1" ht="15" hidden="1" customHeight="1" outlineLevel="1" x14ac:dyDescent="0.3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--591.75</f>
        <v>591.75</v>
      </c>
      <c r="I14" s="3"/>
      <c r="J14" s="20"/>
      <c r="K14" s="3"/>
      <c r="L14" s="3">
        <f t="shared" si="0"/>
        <v>-591.75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--92657.97</f>
        <v>92657.97</v>
      </c>
      <c r="U14" s="3"/>
      <c r="V14" s="20"/>
      <c r="W14" s="3"/>
      <c r="X14" s="3">
        <f t="shared" si="2"/>
        <v>-92657.97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--671.32</f>
        <v>671.32</v>
      </c>
      <c r="I15" s="3"/>
      <c r="J15" s="20"/>
      <c r="K15" s="3"/>
      <c r="L15" s="3">
        <f t="shared" si="0"/>
        <v>-671.32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--15819.95</f>
        <v>15819.95</v>
      </c>
      <c r="U15" s="3"/>
      <c r="V15" s="20"/>
      <c r="W15" s="3"/>
      <c r="X15" s="3">
        <f t="shared" si="2"/>
        <v>-15819.95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--14.9</f>
        <v>14.9</v>
      </c>
      <c r="I16" s="3"/>
      <c r="J16" s="20"/>
      <c r="K16" s="3"/>
      <c r="L16" s="3">
        <f t="shared" si="0"/>
        <v>-14.9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--52.68</f>
        <v>52.68</v>
      </c>
      <c r="U16" s="3"/>
      <c r="V16" s="20"/>
      <c r="W16" s="3"/>
      <c r="X16" s="3">
        <f t="shared" si="2"/>
        <v>-52.68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--775.28</f>
        <v>775.28</v>
      </c>
      <c r="I17" s="3"/>
      <c r="J17" s="20"/>
      <c r="K17" s="3"/>
      <c r="L17" s="3">
        <f t="shared" si="0"/>
        <v>-775.28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--915.13</f>
        <v>915.13</v>
      </c>
      <c r="U17" s="3"/>
      <c r="V17" s="20"/>
      <c r="W17" s="3"/>
      <c r="X17" s="3">
        <f t="shared" si="2"/>
        <v>-915.13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--7630.91</f>
        <v>7630.91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7630.91</v>
      </c>
      <c r="M18" s="3"/>
      <c r="N18" s="20">
        <f t="shared" si="1"/>
        <v>0</v>
      </c>
      <c r="O18" s="12"/>
      <c r="P18" s="3">
        <f>--37217.53</f>
        <v>37217.53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37217.53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--1278.64</f>
        <v>1278.6400000000001</v>
      </c>
      <c r="U19" s="3"/>
      <c r="V19" s="20"/>
      <c r="W19" s="3"/>
      <c r="X19" s="3">
        <f t="shared" si="2"/>
        <v>-1278.6400000000001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--1110.59</f>
        <v>1110.5899999999999</v>
      </c>
      <c r="U20" s="3"/>
      <c r="V20" s="20"/>
      <c r="W20" s="3"/>
      <c r="X20" s="3">
        <f t="shared" si="2"/>
        <v>-1110.5899999999999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--90.7</f>
        <v>90.7</v>
      </c>
      <c r="I21" s="3"/>
      <c r="J21" s="20"/>
      <c r="K21" s="3"/>
      <c r="L21" s="3">
        <f t="shared" si="0"/>
        <v>-90.7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--299.1</f>
        <v>299.10000000000002</v>
      </c>
      <c r="U21" s="3"/>
      <c r="V21" s="20"/>
      <c r="W21" s="3"/>
      <c r="X21" s="3">
        <f t="shared" si="2"/>
        <v>-299.10000000000002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--11</f>
        <v>11</v>
      </c>
      <c r="I22" s="3"/>
      <c r="J22" s="20"/>
      <c r="K22" s="3"/>
      <c r="L22" s="3">
        <f t="shared" si="0"/>
        <v>-11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--143.5</f>
        <v>143.5</v>
      </c>
      <c r="U22" s="3"/>
      <c r="V22" s="20"/>
      <c r="W22" s="3"/>
      <c r="X22" s="3">
        <f t="shared" si="2"/>
        <v>-143.5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-1.99</f>
        <v>-1.99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-1.99</v>
      </c>
      <c r="M23" s="3"/>
      <c r="N23" s="20">
        <f t="shared" si="1"/>
        <v>0</v>
      </c>
      <c r="O23" s="12"/>
      <c r="P23" s="3">
        <f>-688.74</f>
        <v>-688.74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-688.74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-7.95</f>
        <v>-7.95</v>
      </c>
      <c r="I24" s="3"/>
      <c r="J24" s="20"/>
      <c r="K24" s="3"/>
      <c r="L24" s="3">
        <f t="shared" si="0"/>
        <v>7.95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-1262.05</f>
        <v>-1262.05</v>
      </c>
      <c r="U24" s="3"/>
      <c r="V24" s="20"/>
      <c r="W24" s="3"/>
      <c r="X24" s="3">
        <f t="shared" si="2"/>
        <v>1262.05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-11.2</f>
        <v>-11.2</v>
      </c>
      <c r="U25" s="3"/>
      <c r="V25" s="20"/>
      <c r="W25" s="3"/>
      <c r="X25" s="3">
        <f t="shared" si="2"/>
        <v>11.2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8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5.0171707505991149E-5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>
        <v>8.26</v>
      </c>
      <c r="Q28" s="3"/>
      <c r="R28" s="20">
        <f>IF(P$12=0,0,P28/P$12)</f>
        <v>5.0171707505991149E-5</v>
      </c>
      <c r="S28" s="3"/>
      <c r="T28" s="3"/>
      <c r="U28" s="3"/>
      <c r="V28" s="20">
        <f>IF(T$12=0,0,T28/T$12)</f>
        <v>0</v>
      </c>
      <c r="W28" s="3"/>
      <c r="X28" s="3">
        <f>+P28-T28</f>
        <v>8.26</v>
      </c>
      <c r="Y28" s="3"/>
      <c r="Z28" s="20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7" t="s">
        <v>288</v>
      </c>
      <c r="C30" s="27"/>
      <c r="D30" s="22">
        <f>D12-D27</f>
        <v>18218.639999999996</v>
      </c>
      <c r="E30" s="15"/>
      <c r="F30" s="21">
        <f>IF(D$12=0,0,D30/D$12)</f>
        <v>1</v>
      </c>
      <c r="G30" s="15"/>
      <c r="H30" s="22">
        <f>H12-H27</f>
        <v>2147</v>
      </c>
      <c r="I30" s="15"/>
      <c r="J30" s="21">
        <f>IF(H$12=0,0,H30/H$12)</f>
        <v>1</v>
      </c>
      <c r="K30" s="17"/>
      <c r="L30" s="22">
        <f>+D30-H30</f>
        <v>16071.639999999996</v>
      </c>
      <c r="M30" s="17"/>
      <c r="N30" s="21">
        <f>IF(H30=0,0,L30/H30)</f>
        <v>7.485626455519327</v>
      </c>
      <c r="O30" s="28"/>
      <c r="P30" s="22">
        <f>P12-P27</f>
        <v>164626.35999999999</v>
      </c>
      <c r="Q30" s="15"/>
      <c r="R30" s="21">
        <f>IF(P$12=0,0,P30/P$12)</f>
        <v>0.9999498282924939</v>
      </c>
      <c r="S30" s="15"/>
      <c r="T30" s="22">
        <f>T12-T27</f>
        <v>110995.03</v>
      </c>
      <c r="U30" s="15"/>
      <c r="V30" s="21">
        <f>IF(T$12=0,0,T30/T$12)</f>
        <v>1</v>
      </c>
      <c r="W30" s="17"/>
      <c r="X30" s="22">
        <f>+P30-T30</f>
        <v>53631.329999999987</v>
      </c>
      <c r="Y30" s="17"/>
      <c r="Z30" s="21">
        <f>IF(T30=0,0,X30/T30)</f>
        <v>0.4831867697139231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3">
      <c r="A32" s="11"/>
      <c r="B32" s="28" t="s">
        <v>289</v>
      </c>
      <c r="C32" s="11"/>
      <c r="D32" s="23" cm="1">
        <f t="array" ref="D32">SUM(OSRRefD22x_0)</f>
        <v>33901.689999999995</v>
      </c>
      <c r="E32" s="23"/>
      <c r="F32" s="35">
        <f t="shared" ref="F32:F76" si="4">IF(D$12=0,0,D32/D$12)</f>
        <v>1.860824408408092</v>
      </c>
      <c r="G32" s="23"/>
      <c r="H32" s="23" cm="1">
        <f t="array" ref="H32">SUM(OSRRefH22x_0)</f>
        <v>19440.499999999989</v>
      </c>
      <c r="I32" s="23"/>
      <c r="J32" s="35">
        <f t="shared" ref="J32:J76" si="5">IF(H$12=0,0,H32/H$12)</f>
        <v>9.0547275267815515</v>
      </c>
      <c r="K32" s="5"/>
      <c r="L32" s="23">
        <f t="shared" ref="L32:L76" si="6">+D32-H32</f>
        <v>14461.190000000006</v>
      </c>
      <c r="M32" s="5"/>
      <c r="N32" s="35">
        <f t="shared" ref="N32:N76" si="7">IF(H32=0,0,L32/H32)</f>
        <v>0.74386924204624438</v>
      </c>
      <c r="O32" s="11"/>
      <c r="P32" s="23" cm="1">
        <f t="array" ref="P32">SUM(OSRRefP22x_0)</f>
        <v>216887.65000000002</v>
      </c>
      <c r="Q32" s="23"/>
      <c r="R32" s="35">
        <f t="shared" ref="R32:R76" si="8">IF(P$12=0,0,P32/P$12)</f>
        <v>1.3173878616781818</v>
      </c>
      <c r="S32" s="23"/>
      <c r="T32" s="23" cm="1">
        <f t="array" ref="T32">SUM(OSRRefT22x_0)</f>
        <v>257264.91</v>
      </c>
      <c r="U32" s="23"/>
      <c r="V32" s="35">
        <f t="shared" ref="V32:V76" si="9">IF(T$12=0,0,T32/T$12)</f>
        <v>2.317805671118788</v>
      </c>
      <c r="W32" s="5"/>
      <c r="X32" s="23">
        <f t="shared" ref="X32:X76" si="10">+P32-T32</f>
        <v>-40377.25999999998</v>
      </c>
      <c r="Y32" s="5"/>
      <c r="Z32" s="35">
        <f t="shared" ref="Z32:Z76" si="11">IF(T32=0,0,X32/T32)</f>
        <v>-0.15694818232303806</v>
      </c>
    </row>
    <row r="33" spans="1:26" s="68" customFormat="1" ht="15" customHeight="1" outlineLevel="1" collapsed="1" x14ac:dyDescent="0.3">
      <c r="A33" s="26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4409.54</v>
      </c>
      <c r="E33" s="2"/>
      <c r="F33" s="6">
        <f t="shared" si="4"/>
        <v>0.24203453166646913</v>
      </c>
      <c r="G33" s="2"/>
      <c r="H33" s="2">
        <f>SUM(OSRRefH22_0x_0)</f>
        <v>8898.1500000000015</v>
      </c>
      <c r="I33" s="2"/>
      <c r="J33" s="6">
        <f t="shared" si="5"/>
        <v>4.1444573823940392</v>
      </c>
      <c r="K33" s="2"/>
      <c r="L33" s="2">
        <f t="shared" si="6"/>
        <v>-4488.6100000000015</v>
      </c>
      <c r="M33" s="2"/>
      <c r="N33" s="6">
        <f t="shared" si="7"/>
        <v>-0.50444305838854153</v>
      </c>
      <c r="O33" s="14"/>
      <c r="P33" s="2">
        <f>SUM(OSRRefP22_0x_0)</f>
        <v>67168.75</v>
      </c>
      <c r="Q33" s="2"/>
      <c r="R33" s="6">
        <f t="shared" si="8"/>
        <v>0.40798678916985992</v>
      </c>
      <c r="S33" s="2"/>
      <c r="T33" s="2">
        <f>SUM(OSRRefT22_0x_0)</f>
        <v>84386.12000000001</v>
      </c>
      <c r="U33" s="2"/>
      <c r="V33" s="6">
        <f t="shared" si="9"/>
        <v>0.76026935620450764</v>
      </c>
      <c r="W33" s="2"/>
      <c r="X33" s="2">
        <f t="shared" si="10"/>
        <v>-17217.37000000001</v>
      </c>
      <c r="Y33" s="2"/>
      <c r="Z33" s="6">
        <f t="shared" si="11"/>
        <v>-0.20403082876662665</v>
      </c>
    </row>
    <row r="34" spans="1:26" s="69" customFormat="1" ht="15" hidden="1" customHeight="1" outlineLevel="2" x14ac:dyDescent="0.3">
      <c r="A34" s="25"/>
      <c r="B34" s="12" t="str">
        <f>CONCATENATE("          ","6111"," - ","F.I.C.A.")</f>
        <v xml:space="preserve">          6111 - F.I.C.A.</v>
      </c>
      <c r="C34" s="12"/>
      <c r="D34" s="8">
        <v>671.98</v>
      </c>
      <c r="E34" s="3"/>
      <c r="F34" s="7">
        <f t="shared" si="4"/>
        <v>3.6884202113878981E-2</v>
      </c>
      <c r="G34" s="3"/>
      <c r="H34" s="8">
        <v>1213.6400000000001</v>
      </c>
      <c r="I34" s="3"/>
      <c r="J34" s="7">
        <f t="shared" si="5"/>
        <v>0.56527247321844443</v>
      </c>
      <c r="K34" s="3"/>
      <c r="L34" s="8">
        <f t="shared" si="6"/>
        <v>-541.66000000000008</v>
      </c>
      <c r="M34" s="3"/>
      <c r="N34" s="7">
        <f t="shared" si="7"/>
        <v>-0.44631027322764577</v>
      </c>
      <c r="O34" s="12"/>
      <c r="P34" s="8">
        <v>11181.19</v>
      </c>
      <c r="Q34" s="3"/>
      <c r="R34" s="7">
        <f t="shared" si="8"/>
        <v>6.7915180901805469E-2</v>
      </c>
      <c r="S34" s="3"/>
      <c r="T34" s="8">
        <v>11467.69</v>
      </c>
      <c r="U34" s="3"/>
      <c r="V34" s="7">
        <f t="shared" si="9"/>
        <v>0.10331714852457809</v>
      </c>
      <c r="W34" s="3"/>
      <c r="X34" s="8">
        <f t="shared" si="10"/>
        <v>-286.5</v>
      </c>
      <c r="Y34" s="3"/>
      <c r="Z34" s="7">
        <f t="shared" si="11"/>
        <v>-2.4983235507761371E-2</v>
      </c>
    </row>
    <row r="35" spans="1:26" s="69" customFormat="1" ht="15" hidden="1" customHeight="1" outlineLevel="2" x14ac:dyDescent="0.3">
      <c r="A35" s="25"/>
      <c r="B35" s="12" t="str">
        <f>CONCATENATE("          ","6112"," - ","COMPENSATION INSURANCE")</f>
        <v xml:space="preserve">          6112 - COMPENSATION INSURANCE</v>
      </c>
      <c r="C35" s="12"/>
      <c r="D35" s="8">
        <v>181</v>
      </c>
      <c r="E35" s="3"/>
      <c r="F35" s="7">
        <f t="shared" si="4"/>
        <v>9.9348798812644648E-3</v>
      </c>
      <c r="G35" s="3"/>
      <c r="H35" s="8">
        <v>311.66000000000003</v>
      </c>
      <c r="I35" s="3"/>
      <c r="J35" s="7">
        <f t="shared" si="5"/>
        <v>0.14516068933395437</v>
      </c>
      <c r="K35" s="3"/>
      <c r="L35" s="8">
        <f t="shared" si="6"/>
        <v>-130.66000000000003</v>
      </c>
      <c r="M35" s="3"/>
      <c r="N35" s="7">
        <f t="shared" si="7"/>
        <v>-0.41923891420137332</v>
      </c>
      <c r="O35" s="12"/>
      <c r="P35" s="8">
        <v>2535.13</v>
      </c>
      <c r="Q35" s="3"/>
      <c r="R35" s="7">
        <f t="shared" si="8"/>
        <v>1.5398523105286119E-2</v>
      </c>
      <c r="S35" s="3"/>
      <c r="T35" s="8">
        <v>3030.26</v>
      </c>
      <c r="U35" s="3"/>
      <c r="V35" s="7">
        <f t="shared" si="9"/>
        <v>2.7300862029588174E-2</v>
      </c>
      <c r="W35" s="3"/>
      <c r="X35" s="8">
        <f t="shared" si="10"/>
        <v>-495.13000000000011</v>
      </c>
      <c r="Y35" s="3"/>
      <c r="Z35" s="7">
        <f t="shared" si="11"/>
        <v>-0.16339522021212705</v>
      </c>
    </row>
    <row r="36" spans="1:26" s="69" customFormat="1" ht="15" hidden="1" customHeight="1" outlineLevel="2" x14ac:dyDescent="0.3">
      <c r="A36" s="25"/>
      <c r="B36" s="12" t="str">
        <f>CONCATENATE("          ","6113"," - ","GROUP INSURANCE")</f>
        <v xml:space="preserve">          6113 - GROUP INSURANCE</v>
      </c>
      <c r="C36" s="12"/>
      <c r="D36" s="8">
        <v>1287</v>
      </c>
      <c r="E36" s="3"/>
      <c r="F36" s="7">
        <f t="shared" si="4"/>
        <v>7.0641935951311421E-2</v>
      </c>
      <c r="G36" s="3"/>
      <c r="H36" s="8">
        <v>3421.48</v>
      </c>
      <c r="I36" s="3"/>
      <c r="J36" s="7">
        <f t="shared" si="5"/>
        <v>1.5936096879366559</v>
      </c>
      <c r="K36" s="3"/>
      <c r="L36" s="8">
        <f t="shared" si="6"/>
        <v>-2134.48</v>
      </c>
      <c r="M36" s="3"/>
      <c r="N36" s="7">
        <f t="shared" si="7"/>
        <v>-0.62384699019137912</v>
      </c>
      <c r="O36" s="12"/>
      <c r="P36" s="8">
        <v>21747.02</v>
      </c>
      <c r="Q36" s="3"/>
      <c r="R36" s="7">
        <f t="shared" si="8"/>
        <v>0.13209263033498059</v>
      </c>
      <c r="S36" s="3"/>
      <c r="T36" s="8">
        <v>32635.77</v>
      </c>
      <c r="U36" s="3"/>
      <c r="V36" s="7">
        <f t="shared" si="9"/>
        <v>0.2940291110331697</v>
      </c>
      <c r="W36" s="3"/>
      <c r="X36" s="8">
        <f t="shared" si="10"/>
        <v>-10888.75</v>
      </c>
      <c r="Y36" s="3"/>
      <c r="Z36" s="7">
        <f t="shared" si="11"/>
        <v>-0.33364464818816897</v>
      </c>
    </row>
    <row r="37" spans="1:26" s="69" customFormat="1" ht="15" hidden="1" customHeight="1" outlineLevel="2" x14ac:dyDescent="0.3">
      <c r="A37" s="25"/>
      <c r="B37" s="12" t="str">
        <f>CONCATENATE("          ","6114"," - ","STATE UNEMPLOYMENT INSURANCE")</f>
        <v xml:space="preserve">          6114 - STATE UNEMPLOYMENT INSURANCE</v>
      </c>
      <c r="C37" s="12"/>
      <c r="D37" s="8">
        <v>31.8</v>
      </c>
      <c r="E37" s="3"/>
      <c r="F37" s="7">
        <f t="shared" si="4"/>
        <v>1.7454650841116576E-3</v>
      </c>
      <c r="G37" s="3"/>
      <c r="H37" s="8">
        <v>43.8</v>
      </c>
      <c r="I37" s="3"/>
      <c r="J37" s="7">
        <f t="shared" si="5"/>
        <v>2.0400558919422447E-2</v>
      </c>
      <c r="K37" s="3"/>
      <c r="L37" s="8">
        <f t="shared" si="6"/>
        <v>-11.999999999999996</v>
      </c>
      <c r="M37" s="3"/>
      <c r="N37" s="7">
        <f t="shared" si="7"/>
        <v>-0.27397260273972596</v>
      </c>
      <c r="O37" s="12"/>
      <c r="P37" s="8">
        <v>445.36</v>
      </c>
      <c r="Q37" s="3"/>
      <c r="R37" s="7">
        <f t="shared" si="8"/>
        <v>2.7051418468363462E-3</v>
      </c>
      <c r="S37" s="3"/>
      <c r="T37" s="8">
        <v>425.86</v>
      </c>
      <c r="U37" s="3"/>
      <c r="V37" s="7">
        <f t="shared" si="9"/>
        <v>3.8367483661205372E-3</v>
      </c>
      <c r="W37" s="3"/>
      <c r="X37" s="8">
        <f t="shared" si="10"/>
        <v>19.5</v>
      </c>
      <c r="Y37" s="3"/>
      <c r="Z37" s="7">
        <f t="shared" si="11"/>
        <v>4.5789696144272765E-2</v>
      </c>
    </row>
    <row r="38" spans="1:26" s="69" customFormat="1" ht="15" hidden="1" customHeight="1" outlineLevel="2" x14ac:dyDescent="0.3">
      <c r="A38" s="25"/>
      <c r="B38" s="12" t="str">
        <f>CONCATENATE("          ","6115"," - ","P.E.R.S.")</f>
        <v xml:space="preserve">          6115 - P.E.R.S.</v>
      </c>
      <c r="C38" s="12"/>
      <c r="D38" s="8">
        <v>793.49</v>
      </c>
      <c r="E38" s="3"/>
      <c r="F38" s="7">
        <f t="shared" si="4"/>
        <v>4.3553744955715692E-2</v>
      </c>
      <c r="G38" s="3"/>
      <c r="H38" s="8">
        <v>1614.45</v>
      </c>
      <c r="I38" s="3"/>
      <c r="J38" s="7">
        <f t="shared" si="5"/>
        <v>0.75195621797857481</v>
      </c>
      <c r="K38" s="3"/>
      <c r="L38" s="8">
        <f t="shared" si="6"/>
        <v>-820.96</v>
      </c>
      <c r="M38" s="3"/>
      <c r="N38" s="7">
        <f t="shared" si="7"/>
        <v>-0.50850754126792408</v>
      </c>
      <c r="O38" s="12"/>
      <c r="P38" s="8">
        <v>14085.32</v>
      </c>
      <c r="Q38" s="3"/>
      <c r="R38" s="7">
        <f t="shared" si="8"/>
        <v>8.5555030892044456E-2</v>
      </c>
      <c r="S38" s="3"/>
      <c r="T38" s="8">
        <v>15714.79</v>
      </c>
      <c r="U38" s="3"/>
      <c r="V38" s="7">
        <f t="shared" si="9"/>
        <v>0.14158102394314412</v>
      </c>
      <c r="W38" s="3"/>
      <c r="X38" s="8">
        <f t="shared" si="10"/>
        <v>-1629.4700000000012</v>
      </c>
      <c r="Y38" s="3"/>
      <c r="Z38" s="7">
        <f t="shared" si="11"/>
        <v>-0.10369021794118796</v>
      </c>
    </row>
    <row r="39" spans="1:26" s="69" customFormat="1" ht="15" hidden="1" customHeight="1" outlineLevel="2" x14ac:dyDescent="0.3">
      <c r="A39" s="25"/>
      <c r="B39" s="12" t="str">
        <f>CONCATENATE("          ","6118"," - ","VACATION")</f>
        <v xml:space="preserve">          6118 - VACATION</v>
      </c>
      <c r="C39" s="12"/>
      <c r="D39" s="8">
        <v>640.52</v>
      </c>
      <c r="E39" s="3"/>
      <c r="F39" s="7">
        <f t="shared" si="4"/>
        <v>3.5157399235069144E-2</v>
      </c>
      <c r="G39" s="3"/>
      <c r="H39" s="8">
        <v>1216.0999999999999</v>
      </c>
      <c r="I39" s="3"/>
      <c r="J39" s="7">
        <f t="shared" si="5"/>
        <v>0.56641825803446666</v>
      </c>
      <c r="K39" s="3"/>
      <c r="L39" s="8">
        <f t="shared" si="6"/>
        <v>-575.57999999999993</v>
      </c>
      <c r="M39" s="3"/>
      <c r="N39" s="7">
        <f t="shared" si="7"/>
        <v>-0.47329989310089626</v>
      </c>
      <c r="O39" s="12"/>
      <c r="P39" s="8">
        <v>7525.19</v>
      </c>
      <c r="Q39" s="3"/>
      <c r="R39" s="7">
        <f t="shared" si="8"/>
        <v>4.5708429976635531E-2</v>
      </c>
      <c r="S39" s="3"/>
      <c r="T39" s="8">
        <v>11315.73</v>
      </c>
      <c r="U39" s="3"/>
      <c r="V39" s="7">
        <f t="shared" si="9"/>
        <v>0.10194807821575434</v>
      </c>
      <c r="W39" s="3"/>
      <c r="X39" s="8">
        <f t="shared" si="10"/>
        <v>-3790.54</v>
      </c>
      <c r="Y39" s="3"/>
      <c r="Z39" s="7">
        <f t="shared" si="11"/>
        <v>-0.3349797140794275</v>
      </c>
    </row>
    <row r="40" spans="1:26" s="69" customFormat="1" ht="15" hidden="1" customHeight="1" outlineLevel="2" x14ac:dyDescent="0.3">
      <c r="A40" s="25"/>
      <c r="B40" s="12" t="str">
        <f>CONCATENATE("          ","6119"," - ","SICK LEAVE")</f>
        <v xml:space="preserve">          6119 - SICK LEAVE</v>
      </c>
      <c r="C40" s="12"/>
      <c r="D40" s="8">
        <v>411.06</v>
      </c>
      <c r="E40" s="3"/>
      <c r="F40" s="7">
        <f t="shared" si="4"/>
        <v>2.2562606209903708E-2</v>
      </c>
      <c r="G40" s="3"/>
      <c r="H40" s="8">
        <v>738.5</v>
      </c>
      <c r="I40" s="3"/>
      <c r="J40" s="7">
        <f t="shared" si="5"/>
        <v>0.34396832789939452</v>
      </c>
      <c r="K40" s="3"/>
      <c r="L40" s="8">
        <f t="shared" si="6"/>
        <v>-327.44</v>
      </c>
      <c r="M40" s="3"/>
      <c r="N40" s="7">
        <f t="shared" si="7"/>
        <v>-0.443385240352065</v>
      </c>
      <c r="O40" s="12"/>
      <c r="P40" s="8">
        <v>5786.78</v>
      </c>
      <c r="Q40" s="3"/>
      <c r="R40" s="7">
        <f t="shared" si="8"/>
        <v>3.5149229244736006E-2</v>
      </c>
      <c r="S40" s="3"/>
      <c r="T40" s="8">
        <v>6909.77</v>
      </c>
      <c r="U40" s="3"/>
      <c r="V40" s="7">
        <f t="shared" si="9"/>
        <v>6.2252967542780972E-2</v>
      </c>
      <c r="W40" s="3"/>
      <c r="X40" s="8">
        <f t="shared" si="10"/>
        <v>-1122.9900000000007</v>
      </c>
      <c r="Y40" s="3"/>
      <c r="Z40" s="7">
        <f t="shared" si="11"/>
        <v>-0.1625220521088257</v>
      </c>
    </row>
    <row r="41" spans="1:26" s="69" customFormat="1" ht="15" hidden="1" customHeight="1" outlineLevel="2" x14ac:dyDescent="0.3">
      <c r="A41" s="25"/>
      <c r="B41" s="12" t="str">
        <f>CONCATENATE("          ","6156"," - ","EMPLOYEE MEALS")</f>
        <v xml:space="preserve">          6156 - EMPLOYEE MEALS</v>
      </c>
      <c r="C41" s="12"/>
      <c r="D41" s="8">
        <v>392.69</v>
      </c>
      <c r="E41" s="3"/>
      <c r="F41" s="7">
        <f t="shared" si="4"/>
        <v>2.1554298235214049E-2</v>
      </c>
      <c r="G41" s="3"/>
      <c r="H41" s="8">
        <v>338.52</v>
      </c>
      <c r="I41" s="3"/>
      <c r="J41" s="7">
        <f t="shared" si="5"/>
        <v>0.15767116907312528</v>
      </c>
      <c r="K41" s="3"/>
      <c r="L41" s="8">
        <f t="shared" si="6"/>
        <v>54.170000000000016</v>
      </c>
      <c r="M41" s="3"/>
      <c r="N41" s="7">
        <f t="shared" si="7"/>
        <v>0.16002008743944232</v>
      </c>
      <c r="O41" s="12"/>
      <c r="P41" s="8">
        <v>3862.76</v>
      </c>
      <c r="Q41" s="3"/>
      <c r="R41" s="7">
        <f t="shared" si="8"/>
        <v>2.3462622867535397E-2</v>
      </c>
      <c r="S41" s="3"/>
      <c r="T41" s="8">
        <v>2886.25</v>
      </c>
      <c r="U41" s="3"/>
      <c r="V41" s="7">
        <f t="shared" si="9"/>
        <v>2.6003416549371626E-2</v>
      </c>
      <c r="W41" s="3"/>
      <c r="X41" s="8">
        <f t="shared" si="10"/>
        <v>976.51000000000022</v>
      </c>
      <c r="Y41" s="3"/>
      <c r="Z41" s="7">
        <f t="shared" si="11"/>
        <v>0.33833174534430499</v>
      </c>
    </row>
    <row r="42" spans="1:26" s="68" customFormat="1" ht="15" customHeight="1" outlineLevel="1" collapsed="1" x14ac:dyDescent="0.3">
      <c r="A42" s="26"/>
      <c r="B42" s="14" t="str">
        <f>CONCATENATE("     ","*Payroll                                          ")</f>
        <v xml:space="preserve">     *Payroll                                          </v>
      </c>
      <c r="C42" s="14"/>
      <c r="D42" s="2">
        <f>SUM(OSRRefD22_1x_0)</f>
        <v>13661.55</v>
      </c>
      <c r="E42" s="2"/>
      <c r="F42" s="6">
        <f t="shared" si="4"/>
        <v>0.74986662012093119</v>
      </c>
      <c r="G42" s="2"/>
      <c r="H42" s="2">
        <f>SUM(OSRRefH22_1x_0)</f>
        <v>14970.33</v>
      </c>
      <c r="I42" s="2"/>
      <c r="J42" s="6">
        <f t="shared" si="5"/>
        <v>6.9726734979040526</v>
      </c>
      <c r="K42" s="2"/>
      <c r="L42" s="2">
        <f t="shared" si="6"/>
        <v>-1308.7800000000007</v>
      </c>
      <c r="M42" s="2"/>
      <c r="N42" s="6">
        <f t="shared" si="7"/>
        <v>-8.7424926504626188E-2</v>
      </c>
      <c r="O42" s="14"/>
      <c r="P42" s="2">
        <f>SUM(OSRRefP22_1x_0)</f>
        <v>126860.69</v>
      </c>
      <c r="Q42" s="2"/>
      <c r="R42" s="6">
        <f t="shared" si="8"/>
        <v>0.77055901122133363</v>
      </c>
      <c r="S42" s="2"/>
      <c r="T42" s="2">
        <f>SUM(OSRRefT22_1x_0)</f>
        <v>138818.57</v>
      </c>
      <c r="U42" s="2"/>
      <c r="V42" s="6">
        <f t="shared" si="9"/>
        <v>1.2506737463830588</v>
      </c>
      <c r="W42" s="2"/>
      <c r="X42" s="2">
        <f t="shared" si="10"/>
        <v>-11957.880000000005</v>
      </c>
      <c r="Y42" s="2"/>
      <c r="Z42" s="6">
        <f t="shared" si="11"/>
        <v>-8.6140348513891213E-2</v>
      </c>
    </row>
    <row r="43" spans="1:26" s="69" customFormat="1" ht="15" hidden="1" customHeight="1" outlineLevel="2" x14ac:dyDescent="0.3">
      <c r="A43" s="25"/>
      <c r="B43" s="12" t="str">
        <f>CONCATENATE("          ","6002"," - ","STAFF SALARIES")</f>
        <v xml:space="preserve">          6002 - STAFF SALARIES</v>
      </c>
      <c r="C43" s="12"/>
      <c r="D43" s="8">
        <v>9955.57</v>
      </c>
      <c r="E43" s="3"/>
      <c r="F43" s="7">
        <f t="shared" si="4"/>
        <v>0.54644968010784567</v>
      </c>
      <c r="G43" s="3"/>
      <c r="H43" s="8">
        <v>14462.41</v>
      </c>
      <c r="I43" s="3"/>
      <c r="J43" s="7">
        <f t="shared" si="5"/>
        <v>6.7361015370284116</v>
      </c>
      <c r="K43" s="3"/>
      <c r="L43" s="8">
        <f t="shared" si="6"/>
        <v>-4506.84</v>
      </c>
      <c r="M43" s="3"/>
      <c r="N43" s="7">
        <f t="shared" si="7"/>
        <v>-0.3116244111458602</v>
      </c>
      <c r="O43" s="12"/>
      <c r="P43" s="8">
        <v>103037.42</v>
      </c>
      <c r="Q43" s="3"/>
      <c r="R43" s="7">
        <f t="shared" si="8"/>
        <v>0.6258551208731189</v>
      </c>
      <c r="S43" s="3"/>
      <c r="T43" s="8">
        <v>132471.79</v>
      </c>
      <c r="U43" s="3"/>
      <c r="V43" s="7">
        <f t="shared" si="9"/>
        <v>1.1934929879292795</v>
      </c>
      <c r="W43" s="3"/>
      <c r="X43" s="8">
        <f t="shared" si="10"/>
        <v>-29434.37000000001</v>
      </c>
      <c r="Y43" s="3"/>
      <c r="Z43" s="7">
        <f t="shared" si="11"/>
        <v>-0.2221934949320154</v>
      </c>
    </row>
    <row r="44" spans="1:26" s="69" customFormat="1" ht="15" hidden="1" customHeight="1" outlineLevel="2" x14ac:dyDescent="0.3">
      <c r="A44" s="25"/>
      <c r="B44" s="12" t="str">
        <f>CONCATENATE("          ","6005"," - ","TEMPORARY WAGES-HOURLY")</f>
        <v xml:space="preserve">          6005 - TEMPORARY WAGES-HOURLY</v>
      </c>
      <c r="C44" s="12"/>
      <c r="D44" s="8"/>
      <c r="E44" s="3"/>
      <c r="F44" s="7">
        <f t="shared" si="4"/>
        <v>0</v>
      </c>
      <c r="G44" s="3"/>
      <c r="H44" s="8"/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383.25</v>
      </c>
      <c r="U44" s="3"/>
      <c r="V44" s="7">
        <f t="shared" si="9"/>
        <v>3.4528573036108011E-3</v>
      </c>
      <c r="W44" s="3"/>
      <c r="X44" s="8">
        <f t="shared" si="10"/>
        <v>-383.25</v>
      </c>
      <c r="Y44" s="3"/>
      <c r="Z44" s="7">
        <f t="shared" si="11"/>
        <v>-1</v>
      </c>
    </row>
    <row r="45" spans="1:26" s="69" customFormat="1" ht="15" hidden="1" customHeight="1" outlineLevel="2" x14ac:dyDescent="0.3">
      <c r="A45" s="25"/>
      <c r="B45" s="12" t="str">
        <f>CONCATENATE("          ","6007"," - ","STUDENT HOURLY")</f>
        <v xml:space="preserve">          6007 - STUDENT HOURLY</v>
      </c>
      <c r="C45" s="12"/>
      <c r="D45" s="8">
        <v>3705.98</v>
      </c>
      <c r="E45" s="3"/>
      <c r="F45" s="7">
        <f t="shared" si="4"/>
        <v>0.20341694001308555</v>
      </c>
      <c r="G45" s="3"/>
      <c r="H45" s="8">
        <v>507.92</v>
      </c>
      <c r="I45" s="3"/>
      <c r="J45" s="7">
        <f t="shared" si="5"/>
        <v>0.23657196087564045</v>
      </c>
      <c r="K45" s="3"/>
      <c r="L45" s="8">
        <f t="shared" si="6"/>
        <v>3198.06</v>
      </c>
      <c r="M45" s="3"/>
      <c r="N45" s="7">
        <f t="shared" si="7"/>
        <v>6.2963852575208694</v>
      </c>
      <c r="O45" s="12"/>
      <c r="P45" s="8">
        <v>23823.27</v>
      </c>
      <c r="Q45" s="3"/>
      <c r="R45" s="7">
        <f t="shared" si="8"/>
        <v>0.14470389034821474</v>
      </c>
      <c r="S45" s="3"/>
      <c r="T45" s="8">
        <v>5963.53</v>
      </c>
      <c r="U45" s="3"/>
      <c r="V45" s="7">
        <f t="shared" si="9"/>
        <v>5.3727901150168615E-2</v>
      </c>
      <c r="W45" s="3"/>
      <c r="X45" s="8">
        <f t="shared" si="10"/>
        <v>17859.740000000002</v>
      </c>
      <c r="Y45" s="3"/>
      <c r="Z45" s="7">
        <f t="shared" si="11"/>
        <v>2.9948268894429981</v>
      </c>
    </row>
    <row r="46" spans="1:26" s="68" customFormat="1" ht="15" customHeight="1" outlineLevel="1" collapsed="1" x14ac:dyDescent="0.3">
      <c r="A46" s="26"/>
      <c r="B46" s="14" t="str">
        <f>CONCATENATE("     ","Advertising/Promo                                 ")</f>
        <v xml:space="preserve">     Advertising/Promo                                 </v>
      </c>
      <c r="C46" s="14"/>
      <c r="D46" s="2">
        <f>SUM(OSRRefD22_2x_0)</f>
        <v>0</v>
      </c>
      <c r="E46" s="2"/>
      <c r="F46" s="6">
        <f t="shared" si="4"/>
        <v>0</v>
      </c>
      <c r="G46" s="2"/>
      <c r="H46" s="2">
        <f>SUM(OSRRefH22_2x_0)</f>
        <v>0</v>
      </c>
      <c r="I46" s="2"/>
      <c r="J46" s="6">
        <f t="shared" si="5"/>
        <v>0</v>
      </c>
      <c r="K46" s="2"/>
      <c r="L46" s="2">
        <f t="shared" si="6"/>
        <v>0</v>
      </c>
      <c r="M46" s="2"/>
      <c r="N46" s="6">
        <f t="shared" si="7"/>
        <v>0</v>
      </c>
      <c r="O46" s="14"/>
      <c r="P46" s="2">
        <f>SUM(OSRRefP22_2x_0)</f>
        <v>151.85</v>
      </c>
      <c r="Q46" s="2"/>
      <c r="R46" s="6">
        <f t="shared" si="8"/>
        <v>9.2234549452599945E-4</v>
      </c>
      <c r="S46" s="2"/>
      <c r="T46" s="2">
        <f>SUM(OSRRefT22_2x_0)</f>
        <v>0</v>
      </c>
      <c r="U46" s="2"/>
      <c r="V46" s="6">
        <f t="shared" si="9"/>
        <v>0</v>
      </c>
      <c r="W46" s="2"/>
      <c r="X46" s="2">
        <f t="shared" si="10"/>
        <v>151.85</v>
      </c>
      <c r="Y46" s="2"/>
      <c r="Z46" s="6">
        <f t="shared" si="11"/>
        <v>0</v>
      </c>
    </row>
    <row r="47" spans="1:26" s="69" customFormat="1" ht="15" hidden="1" customHeight="1" outlineLevel="2" x14ac:dyDescent="0.3">
      <c r="A47" s="25"/>
      <c r="B47" s="12" t="str">
        <f>CONCATENATE("          ","6362"," - ","ADVERTISING EXPENSE")</f>
        <v xml:space="preserve">          6362 - ADVERTISING EXPENSE</v>
      </c>
      <c r="C47" s="12"/>
      <c r="D47" s="8"/>
      <c r="E47" s="3"/>
      <c r="F47" s="7">
        <f t="shared" si="4"/>
        <v>0</v>
      </c>
      <c r="G47" s="3"/>
      <c r="H47" s="8"/>
      <c r="I47" s="3"/>
      <c r="J47" s="7">
        <f t="shared" si="5"/>
        <v>0</v>
      </c>
      <c r="K47" s="3"/>
      <c r="L47" s="8">
        <f t="shared" si="6"/>
        <v>0</v>
      </c>
      <c r="M47" s="3"/>
      <c r="N47" s="7">
        <f t="shared" si="7"/>
        <v>0</v>
      </c>
      <c r="O47" s="12"/>
      <c r="P47" s="8">
        <v>151.85</v>
      </c>
      <c r="Q47" s="3"/>
      <c r="R47" s="7">
        <f t="shared" si="8"/>
        <v>9.2234549452599945E-4</v>
      </c>
      <c r="S47" s="3"/>
      <c r="T47" s="8"/>
      <c r="U47" s="3"/>
      <c r="V47" s="7">
        <f t="shared" si="9"/>
        <v>0</v>
      </c>
      <c r="W47" s="3"/>
      <c r="X47" s="8">
        <f t="shared" si="10"/>
        <v>151.85</v>
      </c>
      <c r="Y47" s="3"/>
      <c r="Z47" s="7">
        <f t="shared" si="11"/>
        <v>0</v>
      </c>
    </row>
    <row r="48" spans="1:26" s="68" customFormat="1" ht="15" customHeight="1" outlineLevel="1" collapsed="1" x14ac:dyDescent="0.3">
      <c r="A48" s="26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SUM(OSRRefD22_3x_0)</f>
        <v>169.88</v>
      </c>
      <c r="E48" s="2"/>
      <c r="F48" s="6">
        <f t="shared" si="4"/>
        <v>9.3245159902166155E-3</v>
      </c>
      <c r="G48" s="2"/>
      <c r="H48" s="2">
        <f>SUM(OSRRefH22_3x_0)</f>
        <v>169.88</v>
      </c>
      <c r="I48" s="2"/>
      <c r="J48" s="6">
        <f t="shared" si="5"/>
        <v>7.9124359571495106E-2</v>
      </c>
      <c r="K48" s="2"/>
      <c r="L48" s="2">
        <f t="shared" si="6"/>
        <v>0</v>
      </c>
      <c r="M48" s="2"/>
      <c r="N48" s="6">
        <f t="shared" si="7"/>
        <v>0</v>
      </c>
      <c r="O48" s="14"/>
      <c r="P48" s="2">
        <f>SUM(OSRRefP22_3x_0)</f>
        <v>1528.92</v>
      </c>
      <c r="Q48" s="2"/>
      <c r="R48" s="6">
        <f t="shared" si="8"/>
        <v>9.286746615019369E-3</v>
      </c>
      <c r="S48" s="2"/>
      <c r="T48" s="2">
        <f>SUM(OSRRefT22_3x_0)</f>
        <v>1528.92</v>
      </c>
      <c r="U48" s="2"/>
      <c r="V48" s="6">
        <f t="shared" si="9"/>
        <v>1.3774670811837251E-2</v>
      </c>
      <c r="W48" s="2"/>
      <c r="X48" s="2">
        <f t="shared" si="10"/>
        <v>0</v>
      </c>
      <c r="Y48" s="2"/>
      <c r="Z48" s="6">
        <f t="shared" si="11"/>
        <v>0</v>
      </c>
    </row>
    <row r="49" spans="1:26" s="69" customFormat="1" ht="15" hidden="1" customHeight="1" outlineLevel="2" x14ac:dyDescent="0.3">
      <c r="A49" s="25"/>
      <c r="B49" s="12" t="str">
        <f>CONCATENATE("          ","6322"," - ","EQUIPMENT DEPRECIATION EXPENSE")</f>
        <v xml:space="preserve">          6322 - EQUIPMENT DEPRECIATION EXPENSE</v>
      </c>
      <c r="C49" s="12"/>
      <c r="D49" s="8">
        <v>169.88</v>
      </c>
      <c r="E49" s="3"/>
      <c r="F49" s="7">
        <f t="shared" si="4"/>
        <v>9.3245159902166155E-3</v>
      </c>
      <c r="G49" s="3"/>
      <c r="H49" s="8">
        <v>169.88</v>
      </c>
      <c r="I49" s="3"/>
      <c r="J49" s="7">
        <f t="shared" si="5"/>
        <v>7.9124359571495106E-2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>
        <v>1528.92</v>
      </c>
      <c r="Q49" s="3"/>
      <c r="R49" s="7">
        <f t="shared" si="8"/>
        <v>9.286746615019369E-3</v>
      </c>
      <c r="S49" s="3"/>
      <c r="T49" s="8">
        <v>1528.92</v>
      </c>
      <c r="U49" s="3"/>
      <c r="V49" s="7">
        <f t="shared" si="9"/>
        <v>1.3774670811837251E-2</v>
      </c>
      <c r="W49" s="3"/>
      <c r="X49" s="8">
        <f t="shared" si="10"/>
        <v>0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6"/>
      <c r="B50" s="14" t="str">
        <f>CONCATENATE("     ","Discounts and Markdowns                           ")</f>
        <v xml:space="preserve">     Discounts and Markdowns                           </v>
      </c>
      <c r="C50" s="14"/>
      <c r="D50" s="2">
        <f>SUM(OSRRefD22_4x_0)</f>
        <v>0</v>
      </c>
      <c r="E50" s="2"/>
      <c r="F50" s="6">
        <f t="shared" si="4"/>
        <v>0</v>
      </c>
      <c r="G50" s="2"/>
      <c r="H50" s="2">
        <f>SUM(OSRRefH22_4x_0)</f>
        <v>0</v>
      </c>
      <c r="I50" s="2"/>
      <c r="J50" s="6">
        <f t="shared" si="5"/>
        <v>0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SUM(OSRRefP22_4x_0)</f>
        <v>0</v>
      </c>
      <c r="Q50" s="2"/>
      <c r="R50" s="6">
        <f t="shared" si="8"/>
        <v>0</v>
      </c>
      <c r="S50" s="2"/>
      <c r="T50" s="2">
        <f>SUM(OSRRefT22_4x_0)</f>
        <v>0</v>
      </c>
      <c r="U50" s="2"/>
      <c r="V50" s="6">
        <f t="shared" si="9"/>
        <v>0</v>
      </c>
      <c r="W50" s="2"/>
      <c r="X50" s="2">
        <f t="shared" si="10"/>
        <v>0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5"/>
      <c r="B51" s="12" t="str">
        <f>CONCATENATE("          ","6382"," - ","DISCOUNTS/MARK DOWNS")</f>
        <v xml:space="preserve">          6382 - DISCOUNTS/MARK DOWNS</v>
      </c>
      <c r="C51" s="12"/>
      <c r="D51" s="8"/>
      <c r="E51" s="3"/>
      <c r="F51" s="7">
        <f t="shared" si="4"/>
        <v>0</v>
      </c>
      <c r="G51" s="3"/>
      <c r="H51" s="8"/>
      <c r="I51" s="3"/>
      <c r="J51" s="7">
        <f t="shared" si="5"/>
        <v>0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/>
      <c r="Q51" s="3"/>
      <c r="R51" s="7">
        <f t="shared" si="8"/>
        <v>0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0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6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SUM(OSRRefD22_5x_0)</f>
        <v>1205.6400000000001</v>
      </c>
      <c r="E52" s="2"/>
      <c r="F52" s="6">
        <f t="shared" si="4"/>
        <v>6.6176180000263485E-2</v>
      </c>
      <c r="G52" s="2"/>
      <c r="H52" s="2">
        <f>SUM(OSRRefH22_5x_0)</f>
        <v>1205.6400000000001</v>
      </c>
      <c r="I52" s="2"/>
      <c r="J52" s="6">
        <f t="shared" si="5"/>
        <v>0.56154634373544488</v>
      </c>
      <c r="K52" s="2"/>
      <c r="L52" s="2">
        <f t="shared" si="6"/>
        <v>0</v>
      </c>
      <c r="M52" s="2"/>
      <c r="N52" s="6">
        <f t="shared" si="7"/>
        <v>0</v>
      </c>
      <c r="O52" s="14"/>
      <c r="P52" s="2">
        <f>SUM(OSRRefP22_5x_0)</f>
        <v>10942.02</v>
      </c>
      <c r="Q52" s="2"/>
      <c r="R52" s="6">
        <f t="shared" si="8"/>
        <v>6.6462448785073278E-2</v>
      </c>
      <c r="S52" s="2"/>
      <c r="T52" s="2">
        <f>SUM(OSRRefT22_5x_0)</f>
        <v>10850.76</v>
      </c>
      <c r="U52" s="2"/>
      <c r="V52" s="6">
        <f t="shared" si="9"/>
        <v>9.7758971730536048E-2</v>
      </c>
      <c r="W52" s="2"/>
      <c r="X52" s="2">
        <f t="shared" si="10"/>
        <v>91.260000000000218</v>
      </c>
      <c r="Y52" s="2"/>
      <c r="Z52" s="6">
        <f t="shared" si="11"/>
        <v>8.4104707872997113E-3</v>
      </c>
    </row>
    <row r="53" spans="1:26" s="69" customFormat="1" ht="15" hidden="1" customHeight="1" outlineLevel="2" x14ac:dyDescent="0.3">
      <c r="A53" s="25"/>
      <c r="B53" s="12" t="str">
        <f>CONCATENATE("          ","6351"," - ","EQUIPMENT RENTAL")</f>
        <v xml:space="preserve">          6351 - EQUIPMENT RENTAL</v>
      </c>
      <c r="C53" s="12"/>
      <c r="D53" s="8">
        <v>1205.6400000000001</v>
      </c>
      <c r="E53" s="3"/>
      <c r="F53" s="7">
        <f t="shared" si="4"/>
        <v>6.6176180000263485E-2</v>
      </c>
      <c r="G53" s="3"/>
      <c r="H53" s="8">
        <v>1205.6400000000001</v>
      </c>
      <c r="I53" s="3"/>
      <c r="J53" s="7">
        <f t="shared" si="5"/>
        <v>0.56154634373544488</v>
      </c>
      <c r="K53" s="3"/>
      <c r="L53" s="8">
        <f t="shared" si="6"/>
        <v>0</v>
      </c>
      <c r="M53" s="3"/>
      <c r="N53" s="7">
        <f t="shared" si="7"/>
        <v>0</v>
      </c>
      <c r="O53" s="12"/>
      <c r="P53" s="8">
        <v>10942.02</v>
      </c>
      <c r="Q53" s="3"/>
      <c r="R53" s="7">
        <f t="shared" si="8"/>
        <v>6.6462448785073278E-2</v>
      </c>
      <c r="S53" s="3"/>
      <c r="T53" s="8">
        <v>10850.76</v>
      </c>
      <c r="U53" s="3"/>
      <c r="V53" s="7">
        <f t="shared" si="9"/>
        <v>9.7758971730536048E-2</v>
      </c>
      <c r="W53" s="3"/>
      <c r="X53" s="8">
        <f t="shared" si="10"/>
        <v>91.260000000000218</v>
      </c>
      <c r="Y53" s="3"/>
      <c r="Z53" s="7">
        <f t="shared" si="11"/>
        <v>8.4104707872997113E-3</v>
      </c>
    </row>
    <row r="54" spans="1:26" s="68" customFormat="1" ht="15" customHeight="1" outlineLevel="1" collapsed="1" x14ac:dyDescent="0.3">
      <c r="A54" s="26"/>
      <c r="B54" s="14" t="str">
        <f>CONCATENATE("     ","Freight out/Postage                               ")</f>
        <v xml:space="preserve">     Freight out/Postage                               </v>
      </c>
      <c r="C54" s="14"/>
      <c r="D54" s="2">
        <f>SUM(OSRRefD22_6x_0)</f>
        <v>1763.2199999999993</v>
      </c>
      <c r="E54" s="2"/>
      <c r="F54" s="6">
        <f t="shared" si="4"/>
        <v>9.6781098918470296E-2</v>
      </c>
      <c r="G54" s="2"/>
      <c r="H54" s="2">
        <f>SUM(OSRRefH22_6x_0)</f>
        <v>-8583.6000000000022</v>
      </c>
      <c r="I54" s="2"/>
      <c r="J54" s="6">
        <f t="shared" si="5"/>
        <v>-3.9979506287843511</v>
      </c>
      <c r="K54" s="2"/>
      <c r="L54" s="2">
        <f t="shared" si="6"/>
        <v>10346.820000000002</v>
      </c>
      <c r="M54" s="2"/>
      <c r="N54" s="6">
        <f t="shared" si="7"/>
        <v>-1.2054173074234587</v>
      </c>
      <c r="O54" s="14"/>
      <c r="P54" s="2">
        <f>SUM(OSRRefP22_6x_0)</f>
        <v>-62599.829999999987</v>
      </c>
      <c r="Q54" s="2"/>
      <c r="R54" s="6">
        <f t="shared" si="8"/>
        <v>-0.38023491049452413</v>
      </c>
      <c r="S54" s="2"/>
      <c r="T54" s="2">
        <f>SUM(OSRRefT22_6x_0)</f>
        <v>-54006.010000000009</v>
      </c>
      <c r="U54" s="2"/>
      <c r="V54" s="6">
        <f t="shared" si="9"/>
        <v>-0.48656241635323683</v>
      </c>
      <c r="W54" s="2"/>
      <c r="X54" s="2">
        <f t="shared" si="10"/>
        <v>-8593.8199999999779</v>
      </c>
      <c r="Y54" s="2"/>
      <c r="Z54" s="6">
        <f t="shared" si="11"/>
        <v>0.15912710455743678</v>
      </c>
    </row>
    <row r="55" spans="1:26" s="69" customFormat="1" ht="15" hidden="1" customHeight="1" outlineLevel="2" x14ac:dyDescent="0.3">
      <c r="A55" s="25"/>
      <c r="B55" s="12" t="str">
        <f>CONCATENATE("          ","6305"," - ","FREIGHT OUT")</f>
        <v xml:space="preserve">          6305 - FREIGHT OUT</v>
      </c>
      <c r="C55" s="12"/>
      <c r="D55" s="8">
        <v>10386.42</v>
      </c>
      <c r="E55" s="3"/>
      <c r="F55" s="7">
        <f t="shared" si="4"/>
        <v>0.57009853644399378</v>
      </c>
      <c r="G55" s="3"/>
      <c r="H55" s="8">
        <v>10582.48</v>
      </c>
      <c r="I55" s="3"/>
      <c r="J55" s="7">
        <f t="shared" si="5"/>
        <v>4.9289613414066134</v>
      </c>
      <c r="K55" s="3"/>
      <c r="L55" s="8">
        <f t="shared" si="6"/>
        <v>-196.05999999999949</v>
      </c>
      <c r="M55" s="3"/>
      <c r="N55" s="7">
        <f t="shared" si="7"/>
        <v>-1.8526848149016062E-2</v>
      </c>
      <c r="O55" s="12"/>
      <c r="P55" s="8">
        <v>105602.41</v>
      </c>
      <c r="Q55" s="3"/>
      <c r="R55" s="7">
        <f t="shared" si="8"/>
        <v>0.64143501530844493</v>
      </c>
      <c r="S55" s="3"/>
      <c r="T55" s="8">
        <v>161479.19</v>
      </c>
      <c r="U55" s="3"/>
      <c r="V55" s="7">
        <f t="shared" si="9"/>
        <v>1.4548326172802513</v>
      </c>
      <c r="W55" s="3"/>
      <c r="X55" s="8">
        <f t="shared" si="10"/>
        <v>-55876.78</v>
      </c>
      <c r="Y55" s="3"/>
      <c r="Z55" s="7">
        <f t="shared" si="11"/>
        <v>-0.34603084149728519</v>
      </c>
    </row>
    <row r="56" spans="1:26" s="69" customFormat="1" ht="15" hidden="1" customHeight="1" outlineLevel="2" x14ac:dyDescent="0.3">
      <c r="A56" s="25"/>
      <c r="B56" s="12" t="str">
        <f>CONCATENATE("          ","6307"," - ","POSTAGE")</f>
        <v xml:space="preserve">          6307 - POSTAGE</v>
      </c>
      <c r="C56" s="12"/>
      <c r="D56" s="8">
        <v>-8623.2000000000007</v>
      </c>
      <c r="E56" s="3"/>
      <c r="F56" s="7">
        <f t="shared" si="4"/>
        <v>-0.47331743752552347</v>
      </c>
      <c r="G56" s="3"/>
      <c r="H56" s="8">
        <v>-19166.080000000002</v>
      </c>
      <c r="I56" s="3"/>
      <c r="J56" s="7">
        <f t="shared" si="5"/>
        <v>-8.9269119701909645</v>
      </c>
      <c r="K56" s="3"/>
      <c r="L56" s="8">
        <f t="shared" si="6"/>
        <v>10542.880000000001</v>
      </c>
      <c r="M56" s="3"/>
      <c r="N56" s="7">
        <f t="shared" si="7"/>
        <v>-0.55008014158346408</v>
      </c>
      <c r="O56" s="12"/>
      <c r="P56" s="8">
        <v>-168202.23999999999</v>
      </c>
      <c r="Q56" s="3"/>
      <c r="R56" s="7">
        <f t="shared" si="8"/>
        <v>-1.0216699258029689</v>
      </c>
      <c r="S56" s="3"/>
      <c r="T56" s="8">
        <v>-215485.2</v>
      </c>
      <c r="U56" s="3"/>
      <c r="V56" s="7">
        <f t="shared" si="9"/>
        <v>-1.941395033633488</v>
      </c>
      <c r="W56" s="3"/>
      <c r="X56" s="8">
        <f t="shared" si="10"/>
        <v>47282.960000000021</v>
      </c>
      <c r="Y56" s="3"/>
      <c r="Z56" s="7">
        <f t="shared" si="11"/>
        <v>-0.21942555683638607</v>
      </c>
    </row>
    <row r="57" spans="1:26" s="68" customFormat="1" ht="15" customHeight="1" outlineLevel="1" collapsed="1" x14ac:dyDescent="0.3">
      <c r="A57" s="26"/>
      <c r="B57" s="14" t="str">
        <f>CONCATENATE("     ","General                                           ")</f>
        <v xml:space="preserve">     General                                           </v>
      </c>
      <c r="C57" s="14"/>
      <c r="D57" s="2">
        <f>SUM(OSRRefD22_7x_0)</f>
        <v>0</v>
      </c>
      <c r="E57" s="2"/>
      <c r="F57" s="6">
        <f t="shared" si="4"/>
        <v>0</v>
      </c>
      <c r="G57" s="2"/>
      <c r="H57" s="2">
        <f>SUM(OSRRefH22_7x_0)</f>
        <v>0</v>
      </c>
      <c r="I57" s="2"/>
      <c r="J57" s="6">
        <f t="shared" si="5"/>
        <v>0</v>
      </c>
      <c r="K57" s="2"/>
      <c r="L57" s="2">
        <f t="shared" si="6"/>
        <v>0</v>
      </c>
      <c r="M57" s="2"/>
      <c r="N57" s="6">
        <f t="shared" si="7"/>
        <v>0</v>
      </c>
      <c r="O57" s="14"/>
      <c r="P57" s="2">
        <f>SUM(OSRRefP22_7x_0)</f>
        <v>91.31</v>
      </c>
      <c r="Q57" s="2"/>
      <c r="R57" s="6">
        <f t="shared" si="8"/>
        <v>5.546221080353573E-4</v>
      </c>
      <c r="S57" s="2"/>
      <c r="T57" s="2">
        <f>SUM(OSRRefT22_7x_0)</f>
        <v>0</v>
      </c>
      <c r="U57" s="2"/>
      <c r="V57" s="6">
        <f t="shared" si="9"/>
        <v>0</v>
      </c>
      <c r="W57" s="2"/>
      <c r="X57" s="2">
        <f t="shared" si="10"/>
        <v>91.31</v>
      </c>
      <c r="Y57" s="2"/>
      <c r="Z57" s="6">
        <f t="shared" si="11"/>
        <v>0</v>
      </c>
    </row>
    <row r="58" spans="1:26" s="69" customFormat="1" ht="15" hidden="1" customHeight="1" outlineLevel="2" x14ac:dyDescent="0.3">
      <c r="A58" s="25"/>
      <c r="B58" s="12" t="str">
        <f>CONCATENATE("          ","6279"," - ","GENERAL EXPENSE")</f>
        <v xml:space="preserve">          6279 - GENERAL EXPENSE</v>
      </c>
      <c r="C58" s="12"/>
      <c r="D58" s="8"/>
      <c r="E58" s="3"/>
      <c r="F58" s="7">
        <f t="shared" si="4"/>
        <v>0</v>
      </c>
      <c r="G58" s="3"/>
      <c r="H58" s="8"/>
      <c r="I58" s="3"/>
      <c r="J58" s="7">
        <f t="shared" si="5"/>
        <v>0</v>
      </c>
      <c r="K58" s="3"/>
      <c r="L58" s="8">
        <f t="shared" si="6"/>
        <v>0</v>
      </c>
      <c r="M58" s="3"/>
      <c r="N58" s="7">
        <f t="shared" si="7"/>
        <v>0</v>
      </c>
      <c r="O58" s="12"/>
      <c r="P58" s="8">
        <v>91.31</v>
      </c>
      <c r="Q58" s="3"/>
      <c r="R58" s="7">
        <f t="shared" si="8"/>
        <v>5.546221080353573E-4</v>
      </c>
      <c r="S58" s="3"/>
      <c r="T58" s="8"/>
      <c r="U58" s="3"/>
      <c r="V58" s="7">
        <f t="shared" si="9"/>
        <v>0</v>
      </c>
      <c r="W58" s="3"/>
      <c r="X58" s="8">
        <f t="shared" si="10"/>
        <v>91.31</v>
      </c>
      <c r="Y58" s="3"/>
      <c r="Z58" s="7">
        <f t="shared" si="11"/>
        <v>0</v>
      </c>
    </row>
    <row r="59" spans="1:26" s="68" customFormat="1" ht="15" customHeight="1" outlineLevel="1" collapsed="1" x14ac:dyDescent="0.3">
      <c r="A59" s="26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SUM(OSRRefD22_8x_0)</f>
        <v>2724.17</v>
      </c>
      <c r="E59" s="2"/>
      <c r="F59" s="6">
        <f t="shared" si="4"/>
        <v>0.14952652887372497</v>
      </c>
      <c r="G59" s="2"/>
      <c r="H59" s="2">
        <f>SUM(OSRRefH22_8x_0)</f>
        <v>85.78</v>
      </c>
      <c r="I59" s="2"/>
      <c r="J59" s="6">
        <f t="shared" si="5"/>
        <v>3.9953423381462509E-2</v>
      </c>
      <c r="K59" s="2"/>
      <c r="L59" s="2">
        <f t="shared" si="6"/>
        <v>2638.39</v>
      </c>
      <c r="M59" s="2"/>
      <c r="N59" s="6">
        <f t="shared" si="7"/>
        <v>30.757635812543715</v>
      </c>
      <c r="O59" s="14"/>
      <c r="P59" s="2">
        <f>SUM(OSRRefP22_8x_0)</f>
        <v>26095.590000000004</v>
      </c>
      <c r="Q59" s="2"/>
      <c r="R59" s="6">
        <f t="shared" si="8"/>
        <v>0.15850609063877333</v>
      </c>
      <c r="S59" s="2"/>
      <c r="T59" s="2">
        <f>SUM(OSRRefT22_8x_0)</f>
        <v>30991.34</v>
      </c>
      <c r="U59" s="2"/>
      <c r="V59" s="6">
        <f t="shared" si="9"/>
        <v>0.27921376299461337</v>
      </c>
      <c r="W59" s="2"/>
      <c r="X59" s="2">
        <f t="shared" si="10"/>
        <v>-4895.7499999999964</v>
      </c>
      <c r="Y59" s="2"/>
      <c r="Z59" s="6">
        <f t="shared" si="11"/>
        <v>-0.15797154947156195</v>
      </c>
    </row>
    <row r="60" spans="1:26" s="69" customFormat="1" ht="15" hidden="1" customHeight="1" outlineLevel="2" x14ac:dyDescent="0.3">
      <c r="A60" s="25"/>
      <c r="B60" s="12" t="str">
        <f>CONCATENATE("          ","6371"," - ","COMPUTER SOFTWARE MAINTENANCE")</f>
        <v xml:space="preserve">          6371 - COMPUTER SOFTWARE MAINTENANCE</v>
      </c>
      <c r="C60" s="12"/>
      <c r="D60" s="8"/>
      <c r="E60" s="3"/>
      <c r="F60" s="7">
        <f t="shared" si="4"/>
        <v>0</v>
      </c>
      <c r="G60" s="3"/>
      <c r="H60" s="8"/>
      <c r="I60" s="3"/>
      <c r="J60" s="7">
        <f t="shared" si="5"/>
        <v>0</v>
      </c>
      <c r="K60" s="3"/>
      <c r="L60" s="8">
        <f t="shared" si="6"/>
        <v>0</v>
      </c>
      <c r="M60" s="3"/>
      <c r="N60" s="7">
        <f t="shared" si="7"/>
        <v>0</v>
      </c>
      <c r="O60" s="12"/>
      <c r="P60" s="8"/>
      <c r="Q60" s="3"/>
      <c r="R60" s="7">
        <f t="shared" si="8"/>
        <v>0</v>
      </c>
      <c r="S60" s="3"/>
      <c r="T60" s="8">
        <v>7.69</v>
      </c>
      <c r="U60" s="3"/>
      <c r="V60" s="7">
        <f t="shared" si="9"/>
        <v>6.9282381382301532E-5</v>
      </c>
      <c r="W60" s="3"/>
      <c r="X60" s="8">
        <f t="shared" si="10"/>
        <v>-7.69</v>
      </c>
      <c r="Y60" s="3"/>
      <c r="Z60" s="7">
        <f t="shared" si="11"/>
        <v>-1</v>
      </c>
    </row>
    <row r="61" spans="1:26" s="69" customFormat="1" ht="15" hidden="1" customHeight="1" outlineLevel="2" x14ac:dyDescent="0.3">
      <c r="A61" s="25"/>
      <c r="B61" s="12" t="str">
        <f>CONCATENATE("          ","6373"," - ","MAINTENANCE CONTRACTS")</f>
        <v xml:space="preserve">          6373 - MAINTENANCE CONTRACTS</v>
      </c>
      <c r="C61" s="12"/>
      <c r="D61" s="8">
        <v>964.58</v>
      </c>
      <c r="E61" s="3"/>
      <c r="F61" s="7">
        <f t="shared" si="4"/>
        <v>5.2944676441271155E-2</v>
      </c>
      <c r="G61" s="3"/>
      <c r="H61" s="8">
        <v>85.78</v>
      </c>
      <c r="I61" s="3"/>
      <c r="J61" s="7">
        <f t="shared" si="5"/>
        <v>3.9953423381462509E-2</v>
      </c>
      <c r="K61" s="3"/>
      <c r="L61" s="8">
        <f t="shared" si="6"/>
        <v>878.80000000000007</v>
      </c>
      <c r="M61" s="3"/>
      <c r="N61" s="7">
        <f t="shared" si="7"/>
        <v>10.244812310561903</v>
      </c>
      <c r="O61" s="12"/>
      <c r="P61" s="8">
        <v>8477.85</v>
      </c>
      <c r="Q61" s="3"/>
      <c r="R61" s="7">
        <f t="shared" si="8"/>
        <v>5.1494940736037172E-2</v>
      </c>
      <c r="S61" s="3"/>
      <c r="T61" s="8">
        <v>30983.65</v>
      </c>
      <c r="U61" s="3"/>
      <c r="V61" s="7">
        <f t="shared" si="9"/>
        <v>0.27914448061323105</v>
      </c>
      <c r="W61" s="3"/>
      <c r="X61" s="8">
        <f t="shared" si="10"/>
        <v>-22505.800000000003</v>
      </c>
      <c r="Y61" s="3"/>
      <c r="Z61" s="7">
        <f t="shared" si="11"/>
        <v>-0.72637665349305203</v>
      </c>
    </row>
    <row r="62" spans="1:26" s="69" customFormat="1" ht="15" hidden="1" customHeight="1" outlineLevel="2" x14ac:dyDescent="0.3">
      <c r="A62" s="25"/>
      <c r="B62" s="12" t="str">
        <f>CONCATENATE("          ","6375"," - ","OUTSIDE REPAIRS &amp; MAINTENANCE")</f>
        <v xml:space="preserve">          6375 - OUTSIDE REPAIRS &amp; MAINTENANCE</v>
      </c>
      <c r="C62" s="12"/>
      <c r="D62" s="8">
        <v>1759.59</v>
      </c>
      <c r="E62" s="3"/>
      <c r="F62" s="7">
        <f t="shared" si="4"/>
        <v>9.6581852432453819E-2</v>
      </c>
      <c r="G62" s="3"/>
      <c r="H62" s="8"/>
      <c r="I62" s="3"/>
      <c r="J62" s="7">
        <f t="shared" si="5"/>
        <v>0</v>
      </c>
      <c r="K62" s="3"/>
      <c r="L62" s="8">
        <f t="shared" si="6"/>
        <v>1759.59</v>
      </c>
      <c r="M62" s="3"/>
      <c r="N62" s="7">
        <f t="shared" si="7"/>
        <v>0</v>
      </c>
      <c r="O62" s="12"/>
      <c r="P62" s="8">
        <v>17617.740000000002</v>
      </c>
      <c r="Q62" s="3"/>
      <c r="R62" s="7">
        <f t="shared" si="8"/>
        <v>0.10701114990273615</v>
      </c>
      <c r="S62" s="3"/>
      <c r="T62" s="8"/>
      <c r="U62" s="3"/>
      <c r="V62" s="7">
        <f t="shared" si="9"/>
        <v>0</v>
      </c>
      <c r="W62" s="3"/>
      <c r="X62" s="8">
        <f t="shared" si="10"/>
        <v>17617.740000000002</v>
      </c>
      <c r="Y62" s="3"/>
      <c r="Z62" s="7">
        <f t="shared" si="11"/>
        <v>0</v>
      </c>
    </row>
    <row r="63" spans="1:26" s="68" customFormat="1" ht="15" customHeight="1" outlineLevel="1" collapsed="1" x14ac:dyDescent="0.3">
      <c r="A63" s="26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2">
        <f>SUM(OSRRefD22_9x_0)</f>
        <v>2502.14</v>
      </c>
      <c r="E63" s="2"/>
      <c r="F63" s="6">
        <f t="shared" si="4"/>
        <v>0.13733955992324348</v>
      </c>
      <c r="G63" s="2"/>
      <c r="H63" s="2">
        <f>SUM(OSRRefH22_9x_0)</f>
        <v>27.21</v>
      </c>
      <c r="I63" s="2"/>
      <c r="J63" s="6">
        <f t="shared" si="5"/>
        <v>1.2673497904052167E-2</v>
      </c>
      <c r="K63" s="2"/>
      <c r="L63" s="2">
        <f t="shared" si="6"/>
        <v>2474.9299999999998</v>
      </c>
      <c r="M63" s="2"/>
      <c r="N63" s="6">
        <f t="shared" si="7"/>
        <v>90.956633590591679</v>
      </c>
      <c r="O63" s="14"/>
      <c r="P63" s="2">
        <f>SUM(OSRRefP22_9x_0)</f>
        <v>10005.620000000001</v>
      </c>
      <c r="Q63" s="2"/>
      <c r="R63" s="6">
        <f t="shared" si="8"/>
        <v>6.0774702185967942E-2</v>
      </c>
      <c r="S63" s="2"/>
      <c r="T63" s="2">
        <f>SUM(OSRRefT22_9x_0)</f>
        <v>10663.62</v>
      </c>
      <c r="U63" s="2"/>
      <c r="V63" s="6">
        <f t="shared" si="9"/>
        <v>9.6072950293359993E-2</v>
      </c>
      <c r="W63" s="2"/>
      <c r="X63" s="2">
        <f t="shared" si="10"/>
        <v>-658</v>
      </c>
      <c r="Y63" s="2"/>
      <c r="Z63" s="6">
        <f t="shared" si="11"/>
        <v>-6.1705124526192791E-2</v>
      </c>
    </row>
    <row r="64" spans="1:26" s="69" customFormat="1" ht="15" hidden="1" customHeight="1" outlineLevel="2" x14ac:dyDescent="0.3">
      <c r="A64" s="25"/>
      <c r="B64" s="12" t="str">
        <f>CONCATENATE("          ","6259"," - ","ROYALTY &amp; COMMISSIONS")</f>
        <v xml:space="preserve">          6259 - ROYALTY &amp; COMMISSIONS</v>
      </c>
      <c r="C64" s="12"/>
      <c r="D64" s="8">
        <v>2502.14</v>
      </c>
      <c r="E64" s="3"/>
      <c r="F64" s="7">
        <f t="shared" si="4"/>
        <v>0.13733955992324348</v>
      </c>
      <c r="G64" s="3"/>
      <c r="H64" s="8">
        <v>27.21</v>
      </c>
      <c r="I64" s="3"/>
      <c r="J64" s="7">
        <f t="shared" si="5"/>
        <v>1.2673497904052167E-2</v>
      </c>
      <c r="K64" s="3"/>
      <c r="L64" s="8">
        <f t="shared" si="6"/>
        <v>2474.9299999999998</v>
      </c>
      <c r="M64" s="3"/>
      <c r="N64" s="7">
        <f t="shared" si="7"/>
        <v>90.956633590591679</v>
      </c>
      <c r="O64" s="12"/>
      <c r="P64" s="8">
        <v>10005.620000000001</v>
      </c>
      <c r="Q64" s="3"/>
      <c r="R64" s="7">
        <f t="shared" si="8"/>
        <v>6.0774702185967942E-2</v>
      </c>
      <c r="S64" s="3"/>
      <c r="T64" s="8">
        <v>10663.62</v>
      </c>
      <c r="U64" s="3"/>
      <c r="V64" s="7">
        <f t="shared" si="9"/>
        <v>9.6072950293359993E-2</v>
      </c>
      <c r="W64" s="3"/>
      <c r="X64" s="8">
        <f t="shared" si="10"/>
        <v>-658</v>
      </c>
      <c r="Y64" s="3"/>
      <c r="Z64" s="7">
        <f t="shared" si="11"/>
        <v>-6.1705124526192791E-2</v>
      </c>
    </row>
    <row r="65" spans="1:26" s="68" customFormat="1" ht="15" customHeight="1" outlineLevel="1" collapsed="1" x14ac:dyDescent="0.3">
      <c r="A65" s="26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2">
        <f>SUM(OSRRefD22_10x_0)</f>
        <v>5.28</v>
      </c>
      <c r="E65" s="2"/>
      <c r="F65" s="6">
        <f t="shared" si="4"/>
        <v>2.8981307056948275E-4</v>
      </c>
      <c r="G65" s="2"/>
      <c r="H65" s="2">
        <f>SUM(OSRRefH22_10x_0)</f>
        <v>0</v>
      </c>
      <c r="I65" s="2"/>
      <c r="J65" s="6">
        <f t="shared" si="5"/>
        <v>0</v>
      </c>
      <c r="K65" s="2"/>
      <c r="L65" s="2">
        <f t="shared" si="6"/>
        <v>5.28</v>
      </c>
      <c r="M65" s="2"/>
      <c r="N65" s="6">
        <f t="shared" si="7"/>
        <v>0</v>
      </c>
      <c r="O65" s="14"/>
      <c r="P65" s="2">
        <f>SUM(OSRRefP22_10x_0)</f>
        <v>5.28</v>
      </c>
      <c r="Q65" s="2"/>
      <c r="R65" s="6">
        <f t="shared" si="8"/>
        <v>3.2071018841602091E-5</v>
      </c>
      <c r="S65" s="2"/>
      <c r="T65" s="2">
        <f>SUM(OSRRefT22_10x_0)</f>
        <v>0</v>
      </c>
      <c r="U65" s="2"/>
      <c r="V65" s="6">
        <f t="shared" si="9"/>
        <v>0</v>
      </c>
      <c r="W65" s="2"/>
      <c r="X65" s="2">
        <f t="shared" si="10"/>
        <v>5.28</v>
      </c>
      <c r="Y65" s="2"/>
      <c r="Z65" s="6">
        <f t="shared" si="11"/>
        <v>0</v>
      </c>
    </row>
    <row r="66" spans="1:26" s="69" customFormat="1" ht="15" hidden="1" customHeight="1" outlineLevel="2" x14ac:dyDescent="0.3">
      <c r="A66" s="25"/>
      <c r="B66" s="12" t="str">
        <f>CONCATENATE("          ","6258"," - ","MEMBERSHIP DUES")</f>
        <v xml:space="preserve">          6258 - MEMBERSHIP DUES</v>
      </c>
      <c r="C66" s="12"/>
      <c r="D66" s="8">
        <v>5.28</v>
      </c>
      <c r="E66" s="3"/>
      <c r="F66" s="7">
        <f t="shared" si="4"/>
        <v>2.8981307056948275E-4</v>
      </c>
      <c r="G66" s="3"/>
      <c r="H66" s="8"/>
      <c r="I66" s="3"/>
      <c r="J66" s="7">
        <f t="shared" si="5"/>
        <v>0</v>
      </c>
      <c r="K66" s="3"/>
      <c r="L66" s="8">
        <f t="shared" si="6"/>
        <v>5.28</v>
      </c>
      <c r="M66" s="3"/>
      <c r="N66" s="7">
        <f t="shared" si="7"/>
        <v>0</v>
      </c>
      <c r="O66" s="12"/>
      <c r="P66" s="8">
        <v>5.28</v>
      </c>
      <c r="Q66" s="3"/>
      <c r="R66" s="7">
        <f t="shared" si="8"/>
        <v>3.2071018841602091E-5</v>
      </c>
      <c r="S66" s="3"/>
      <c r="T66" s="8"/>
      <c r="U66" s="3"/>
      <c r="V66" s="7">
        <f t="shared" si="9"/>
        <v>0</v>
      </c>
      <c r="W66" s="3"/>
      <c r="X66" s="8">
        <f t="shared" si="10"/>
        <v>5.28</v>
      </c>
      <c r="Y66" s="3"/>
      <c r="Z66" s="7">
        <f t="shared" si="11"/>
        <v>0</v>
      </c>
    </row>
    <row r="67" spans="1:26" s="68" customFormat="1" ht="15" customHeight="1" outlineLevel="1" collapsed="1" x14ac:dyDescent="0.3">
      <c r="A67" s="26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SUM(OSRRefD22_11x_0)</f>
        <v>7414.27</v>
      </c>
      <c r="E67" s="2"/>
      <c r="F67" s="6">
        <f t="shared" si="4"/>
        <v>0.40696067324454527</v>
      </c>
      <c r="G67" s="2"/>
      <c r="H67" s="2">
        <f>SUM(OSRRefH22_11x_0)</f>
        <v>2585.0099999999998</v>
      </c>
      <c r="I67" s="2"/>
      <c r="J67" s="6">
        <f t="shared" si="5"/>
        <v>1.204010246856078</v>
      </c>
      <c r="K67" s="2"/>
      <c r="L67" s="2">
        <f t="shared" si="6"/>
        <v>4829.26</v>
      </c>
      <c r="M67" s="2"/>
      <c r="N67" s="6">
        <f t="shared" si="7"/>
        <v>1.8681784596577966</v>
      </c>
      <c r="O67" s="14"/>
      <c r="P67" s="2">
        <f>SUM(OSRRefP22_11x_0)</f>
        <v>35707.050000000003</v>
      </c>
      <c r="Q67" s="2"/>
      <c r="R67" s="6">
        <f t="shared" si="8"/>
        <v>0.21688664267576288</v>
      </c>
      <c r="S67" s="2"/>
      <c r="T67" s="2">
        <f>SUM(OSRRefT22_11x_0)</f>
        <v>32513.17</v>
      </c>
      <c r="U67" s="2"/>
      <c r="V67" s="6">
        <f t="shared" si="9"/>
        <v>0.29292455707251036</v>
      </c>
      <c r="W67" s="2"/>
      <c r="X67" s="2">
        <f t="shared" si="10"/>
        <v>3193.8800000000047</v>
      </c>
      <c r="Y67" s="2"/>
      <c r="Z67" s="6">
        <f t="shared" si="11"/>
        <v>9.8233423563436131E-2</v>
      </c>
    </row>
    <row r="68" spans="1:26" s="69" customFormat="1" ht="15" hidden="1" customHeight="1" outlineLevel="2" x14ac:dyDescent="0.3">
      <c r="A68" s="25"/>
      <c r="B68" s="12" t="str">
        <f>CONCATENATE("          ","6235"," - ","COVID-19 EXPENSES")</f>
        <v xml:space="preserve">          6235 - COVID-19 EXPENSES</v>
      </c>
      <c r="C68" s="12"/>
      <c r="D68" s="8"/>
      <c r="E68" s="3"/>
      <c r="F68" s="7">
        <f t="shared" si="4"/>
        <v>0</v>
      </c>
      <c r="G68" s="3"/>
      <c r="H68" s="8"/>
      <c r="I68" s="3"/>
      <c r="J68" s="7">
        <f t="shared" si="5"/>
        <v>0</v>
      </c>
      <c r="K68" s="3"/>
      <c r="L68" s="8">
        <f t="shared" si="6"/>
        <v>0</v>
      </c>
      <c r="M68" s="3"/>
      <c r="N68" s="7">
        <f t="shared" si="7"/>
        <v>0</v>
      </c>
      <c r="O68" s="12"/>
      <c r="P68" s="8"/>
      <c r="Q68" s="3"/>
      <c r="R68" s="7">
        <f t="shared" si="8"/>
        <v>0</v>
      </c>
      <c r="S68" s="3"/>
      <c r="T68" s="8">
        <v>310.91000000000003</v>
      </c>
      <c r="U68" s="3"/>
      <c r="V68" s="7">
        <f t="shared" si="9"/>
        <v>2.8011164103473826E-3</v>
      </c>
      <c r="W68" s="3"/>
      <c r="X68" s="8">
        <f t="shared" si="10"/>
        <v>-310.91000000000003</v>
      </c>
      <c r="Y68" s="3"/>
      <c r="Z68" s="7">
        <f t="shared" si="11"/>
        <v>-1</v>
      </c>
    </row>
    <row r="69" spans="1:26" s="69" customFormat="1" ht="15" hidden="1" customHeight="1" outlineLevel="2" x14ac:dyDescent="0.3">
      <c r="A69" s="25"/>
      <c r="B69" s="12" t="str">
        <f>CONCATENATE("          ","6241"," - ","OFFICE EXPENSE")</f>
        <v xml:space="preserve">          6241 - OFFICE EXPENSE</v>
      </c>
      <c r="C69" s="12"/>
      <c r="D69" s="8">
        <v>1063.92</v>
      </c>
      <c r="E69" s="3"/>
      <c r="F69" s="7">
        <f t="shared" si="4"/>
        <v>5.8397333719750776E-2</v>
      </c>
      <c r="G69" s="3"/>
      <c r="H69" s="8">
        <v>46.64</v>
      </c>
      <c r="I69" s="3"/>
      <c r="J69" s="7">
        <f t="shared" si="5"/>
        <v>2.1723334885887284E-2</v>
      </c>
      <c r="K69" s="3"/>
      <c r="L69" s="8">
        <f t="shared" si="6"/>
        <v>1017.2800000000001</v>
      </c>
      <c r="M69" s="3"/>
      <c r="N69" s="7">
        <f t="shared" si="7"/>
        <v>21.811320754716984</v>
      </c>
      <c r="O69" s="12"/>
      <c r="P69" s="8">
        <v>9221.3799999999992</v>
      </c>
      <c r="Q69" s="3"/>
      <c r="R69" s="7">
        <f t="shared" si="8"/>
        <v>5.6011184038934216E-2</v>
      </c>
      <c r="S69" s="3"/>
      <c r="T69" s="8">
        <v>4651.21</v>
      </c>
      <c r="U69" s="3"/>
      <c r="V69" s="7">
        <f t="shared" si="9"/>
        <v>4.1904669064912185E-2</v>
      </c>
      <c r="W69" s="3"/>
      <c r="X69" s="8">
        <f t="shared" si="10"/>
        <v>4570.1699999999992</v>
      </c>
      <c r="Y69" s="3"/>
      <c r="Z69" s="7">
        <f t="shared" si="11"/>
        <v>0.9825765768477448</v>
      </c>
    </row>
    <row r="70" spans="1:26" s="69" customFormat="1" ht="15" hidden="1" customHeight="1" outlineLevel="2" x14ac:dyDescent="0.3">
      <c r="A70" s="25"/>
      <c r="B70" s="12" t="str">
        <f>CONCATENATE("          ","6243"," - ","PAPER SUPPLIES")</f>
        <v xml:space="preserve">          6243 - PAPER SUPPLIES</v>
      </c>
      <c r="C70" s="12"/>
      <c r="D70" s="8">
        <v>1213.21</v>
      </c>
      <c r="E70" s="3"/>
      <c r="F70" s="7">
        <f t="shared" si="4"/>
        <v>6.6591688512424654E-2</v>
      </c>
      <c r="G70" s="3"/>
      <c r="H70" s="8">
        <v>309.25</v>
      </c>
      <c r="I70" s="3"/>
      <c r="J70" s="7">
        <f t="shared" si="5"/>
        <v>0.14403819282720073</v>
      </c>
      <c r="K70" s="3"/>
      <c r="L70" s="8">
        <f t="shared" si="6"/>
        <v>903.96</v>
      </c>
      <c r="M70" s="3"/>
      <c r="N70" s="7">
        <f t="shared" si="7"/>
        <v>2.9230719482619243</v>
      </c>
      <c r="O70" s="12"/>
      <c r="P70" s="8">
        <v>6835.14</v>
      </c>
      <c r="Q70" s="3"/>
      <c r="R70" s="7">
        <f t="shared" si="8"/>
        <v>4.151702722064169E-2</v>
      </c>
      <c r="S70" s="3"/>
      <c r="T70" s="8">
        <v>6482.65</v>
      </c>
      <c r="U70" s="3"/>
      <c r="V70" s="7">
        <f t="shared" si="9"/>
        <v>5.8404867317032122E-2</v>
      </c>
      <c r="W70" s="3"/>
      <c r="X70" s="8">
        <f t="shared" si="10"/>
        <v>352.49000000000069</v>
      </c>
      <c r="Y70" s="3"/>
      <c r="Z70" s="7">
        <f t="shared" si="11"/>
        <v>5.4374368506706475E-2</v>
      </c>
    </row>
    <row r="71" spans="1:26" s="69" customFormat="1" ht="15" hidden="1" customHeight="1" outlineLevel="2" x14ac:dyDescent="0.3">
      <c r="A71" s="25"/>
      <c r="B71" s="12" t="str">
        <f>CONCATENATE("          ","6245"," - ","PRINTING")</f>
        <v xml:space="preserve">          6245 - PRINTING</v>
      </c>
      <c r="C71" s="12"/>
      <c r="D71" s="8">
        <v>3671.2</v>
      </c>
      <c r="E71" s="3"/>
      <c r="F71" s="7">
        <f t="shared" si="4"/>
        <v>0.20150790618838732</v>
      </c>
      <c r="G71" s="3"/>
      <c r="H71" s="8">
        <v>447.27</v>
      </c>
      <c r="I71" s="3"/>
      <c r="J71" s="7">
        <f t="shared" si="5"/>
        <v>0.20832324173265021</v>
      </c>
      <c r="K71" s="3"/>
      <c r="L71" s="8">
        <f t="shared" si="6"/>
        <v>3223.93</v>
      </c>
      <c r="M71" s="3"/>
      <c r="N71" s="7">
        <f t="shared" si="7"/>
        <v>7.2080175285621664</v>
      </c>
      <c r="O71" s="12"/>
      <c r="P71" s="8">
        <v>5332.53</v>
      </c>
      <c r="Q71" s="3"/>
      <c r="R71" s="7">
        <f t="shared" si="8"/>
        <v>3.2390089034736433E-2</v>
      </c>
      <c r="S71" s="3"/>
      <c r="T71" s="8">
        <v>1285.55</v>
      </c>
      <c r="U71" s="3"/>
      <c r="V71" s="7">
        <f t="shared" si="9"/>
        <v>1.1582050115216871E-2</v>
      </c>
      <c r="W71" s="3"/>
      <c r="X71" s="8">
        <f t="shared" si="10"/>
        <v>4046.9799999999996</v>
      </c>
      <c r="Y71" s="3"/>
      <c r="Z71" s="7">
        <f t="shared" si="11"/>
        <v>3.148053362374081</v>
      </c>
    </row>
    <row r="72" spans="1:26" s="69" customFormat="1" ht="15" hidden="1" customHeight="1" outlineLevel="2" x14ac:dyDescent="0.3">
      <c r="A72" s="25"/>
      <c r="B72" s="12" t="str">
        <f>CONCATENATE("          ","6247"," - ","STORE SUPPLIES")</f>
        <v xml:space="preserve">          6247 - STORE SUPPLIES</v>
      </c>
      <c r="C72" s="12"/>
      <c r="D72" s="8">
        <v>1465.94</v>
      </c>
      <c r="E72" s="3"/>
      <c r="F72" s="7">
        <f t="shared" si="4"/>
        <v>8.0463744823982497E-2</v>
      </c>
      <c r="G72" s="3"/>
      <c r="H72" s="8">
        <v>1781.85</v>
      </c>
      <c r="I72" s="3"/>
      <c r="J72" s="7">
        <f t="shared" si="5"/>
        <v>0.82992547741033995</v>
      </c>
      <c r="K72" s="3"/>
      <c r="L72" s="8">
        <f t="shared" si="6"/>
        <v>-315.90999999999985</v>
      </c>
      <c r="M72" s="3"/>
      <c r="N72" s="7">
        <f t="shared" si="7"/>
        <v>-0.17729326262031028</v>
      </c>
      <c r="O72" s="12"/>
      <c r="P72" s="8">
        <v>14318</v>
      </c>
      <c r="Q72" s="3"/>
      <c r="R72" s="7">
        <f t="shared" si="8"/>
        <v>8.6968342381450514E-2</v>
      </c>
      <c r="S72" s="3"/>
      <c r="T72" s="8">
        <v>19782.849999999999</v>
      </c>
      <c r="U72" s="3"/>
      <c r="V72" s="7">
        <f t="shared" si="9"/>
        <v>0.17823185416500179</v>
      </c>
      <c r="W72" s="3"/>
      <c r="X72" s="8">
        <f t="shared" si="10"/>
        <v>-5464.8499999999985</v>
      </c>
      <c r="Y72" s="3"/>
      <c r="Z72" s="7">
        <f t="shared" si="11"/>
        <v>-0.27624179529238702</v>
      </c>
    </row>
    <row r="73" spans="1:26" s="68" customFormat="1" ht="15" customHeight="1" outlineLevel="1" collapsed="1" x14ac:dyDescent="0.3">
      <c r="A73" s="26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SUM(OSRRefD22_12x_0)</f>
        <v>46</v>
      </c>
      <c r="E73" s="2"/>
      <c r="F73" s="6">
        <f t="shared" si="4"/>
        <v>2.5248865996583725E-3</v>
      </c>
      <c r="G73" s="2"/>
      <c r="H73" s="2">
        <f>SUM(OSRRefH22_12x_0)</f>
        <v>82.1</v>
      </c>
      <c r="I73" s="2"/>
      <c r="J73" s="6">
        <f t="shared" si="5"/>
        <v>3.8239403819282716E-2</v>
      </c>
      <c r="K73" s="2"/>
      <c r="L73" s="2">
        <f t="shared" si="6"/>
        <v>-36.099999999999994</v>
      </c>
      <c r="M73" s="2"/>
      <c r="N73" s="6">
        <f t="shared" si="7"/>
        <v>-0.43970767356881846</v>
      </c>
      <c r="O73" s="14"/>
      <c r="P73" s="2">
        <f>SUM(OSRRefP22_12x_0)</f>
        <v>930.4</v>
      </c>
      <c r="Q73" s="2"/>
      <c r="R73" s="6">
        <f t="shared" si="8"/>
        <v>5.6513022595126106E-3</v>
      </c>
      <c r="S73" s="2"/>
      <c r="T73" s="2">
        <f>SUM(OSRRefT22_12x_0)</f>
        <v>1503.4</v>
      </c>
      <c r="U73" s="2"/>
      <c r="V73" s="6">
        <f t="shared" si="9"/>
        <v>1.3544750607301967E-2</v>
      </c>
      <c r="W73" s="2"/>
      <c r="X73" s="2">
        <f t="shared" si="10"/>
        <v>-573.00000000000011</v>
      </c>
      <c r="Y73" s="2"/>
      <c r="Z73" s="6">
        <f t="shared" si="11"/>
        <v>-0.38113609152587474</v>
      </c>
    </row>
    <row r="74" spans="1:26" s="69" customFormat="1" ht="15" hidden="1" customHeight="1" outlineLevel="2" x14ac:dyDescent="0.3">
      <c r="A74" s="25"/>
      <c r="B74" s="12" t="str">
        <f>CONCATENATE("          ","6309"," - ","TELEPHONE")</f>
        <v xml:space="preserve">          6309 - TELEPHONE</v>
      </c>
      <c r="C74" s="12"/>
      <c r="D74" s="8">
        <v>46</v>
      </c>
      <c r="E74" s="3"/>
      <c r="F74" s="7">
        <f t="shared" si="4"/>
        <v>2.5248865996583725E-3</v>
      </c>
      <c r="G74" s="3"/>
      <c r="H74" s="8">
        <v>82.1</v>
      </c>
      <c r="I74" s="3"/>
      <c r="J74" s="7">
        <f t="shared" si="5"/>
        <v>3.8239403819282716E-2</v>
      </c>
      <c r="K74" s="3"/>
      <c r="L74" s="8">
        <f t="shared" si="6"/>
        <v>-36.099999999999994</v>
      </c>
      <c r="M74" s="3"/>
      <c r="N74" s="7">
        <f t="shared" si="7"/>
        <v>-0.43970767356881846</v>
      </c>
      <c r="O74" s="12"/>
      <c r="P74" s="8">
        <v>930.4</v>
      </c>
      <c r="Q74" s="3"/>
      <c r="R74" s="7">
        <f t="shared" si="8"/>
        <v>5.6513022595126106E-3</v>
      </c>
      <c r="S74" s="3"/>
      <c r="T74" s="8">
        <v>1503.4</v>
      </c>
      <c r="U74" s="3"/>
      <c r="V74" s="7">
        <f t="shared" si="9"/>
        <v>1.3544750607301967E-2</v>
      </c>
      <c r="W74" s="3"/>
      <c r="X74" s="8">
        <f t="shared" si="10"/>
        <v>-573.00000000000011</v>
      </c>
      <c r="Y74" s="3"/>
      <c r="Z74" s="7">
        <f t="shared" si="11"/>
        <v>-0.38113609152587474</v>
      </c>
    </row>
    <row r="75" spans="1:26" s="68" customFormat="1" ht="15" customHeight="1" outlineLevel="1" collapsed="1" x14ac:dyDescent="0.3">
      <c r="A75" s="26"/>
      <c r="B75" s="14" t="str">
        <f>CONCATENATE("     ","Utilities                                         ")</f>
        <v xml:space="preserve">     Utilities                                         </v>
      </c>
      <c r="C75" s="14"/>
      <c r="D75" s="2">
        <f>SUM(OSRRefD22_13x_0)</f>
        <v>0</v>
      </c>
      <c r="E75" s="2"/>
      <c r="F75" s="6">
        <f t="shared" si="4"/>
        <v>0</v>
      </c>
      <c r="G75" s="2"/>
      <c r="H75" s="2">
        <f>SUM(OSRRefH22_13x_0)</f>
        <v>0</v>
      </c>
      <c r="I75" s="2"/>
      <c r="J75" s="6">
        <f t="shared" si="5"/>
        <v>0</v>
      </c>
      <c r="K75" s="2"/>
      <c r="L75" s="2">
        <f t="shared" si="6"/>
        <v>0</v>
      </c>
      <c r="M75" s="2"/>
      <c r="N75" s="6">
        <f t="shared" si="7"/>
        <v>0</v>
      </c>
      <c r="O75" s="14"/>
      <c r="P75" s="2">
        <f>SUM(OSRRefP22_13x_0)</f>
        <v>0</v>
      </c>
      <c r="Q75" s="2"/>
      <c r="R75" s="6">
        <f t="shared" si="8"/>
        <v>0</v>
      </c>
      <c r="S75" s="2"/>
      <c r="T75" s="2">
        <f>SUM(OSRRefT22_13x_0)</f>
        <v>15.02</v>
      </c>
      <c r="U75" s="2"/>
      <c r="V75" s="6">
        <f t="shared" si="9"/>
        <v>1.3532137429937178E-4</v>
      </c>
      <c r="W75" s="2"/>
      <c r="X75" s="2">
        <f t="shared" si="10"/>
        <v>-15.02</v>
      </c>
      <c r="Y75" s="2"/>
      <c r="Z75" s="6">
        <f t="shared" si="11"/>
        <v>-1</v>
      </c>
    </row>
    <row r="76" spans="1:26" s="69" customFormat="1" ht="15" hidden="1" customHeight="1" outlineLevel="2" x14ac:dyDescent="0.3">
      <c r="A76" s="25"/>
      <c r="B76" s="12" t="str">
        <f>CONCATENATE("          ","6274"," - ","UTILITIES")</f>
        <v xml:space="preserve">          6274 - UTILITIES</v>
      </c>
      <c r="C76" s="12"/>
      <c r="D76" s="8"/>
      <c r="E76" s="3"/>
      <c r="F76" s="7">
        <f t="shared" si="4"/>
        <v>0</v>
      </c>
      <c r="G76" s="3"/>
      <c r="H76" s="8"/>
      <c r="I76" s="3"/>
      <c r="J76" s="7">
        <f t="shared" si="5"/>
        <v>0</v>
      </c>
      <c r="K76" s="3"/>
      <c r="L76" s="8">
        <f t="shared" si="6"/>
        <v>0</v>
      </c>
      <c r="M76" s="3"/>
      <c r="N76" s="7">
        <f t="shared" si="7"/>
        <v>0</v>
      </c>
      <c r="O76" s="12"/>
      <c r="P76" s="8"/>
      <c r="Q76" s="3"/>
      <c r="R76" s="7">
        <f t="shared" si="8"/>
        <v>0</v>
      </c>
      <c r="S76" s="3"/>
      <c r="T76" s="8">
        <v>15.02</v>
      </c>
      <c r="U76" s="3"/>
      <c r="V76" s="7">
        <f t="shared" si="9"/>
        <v>1.3532137429937178E-4</v>
      </c>
      <c r="W76" s="3"/>
      <c r="X76" s="8">
        <f t="shared" si="10"/>
        <v>-15.02</v>
      </c>
      <c r="Y76" s="3"/>
      <c r="Z76" s="7">
        <f t="shared" si="11"/>
        <v>-1</v>
      </c>
    </row>
    <row r="77" spans="1:26" s="64" customFormat="1" ht="15" customHeight="1" x14ac:dyDescent="0.3">
      <c r="A77" s="36"/>
      <c r="B77" s="36"/>
      <c r="C77" s="36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3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62" customFormat="1" ht="15" customHeight="1" collapsed="1" x14ac:dyDescent="0.3">
      <c r="A78" s="11"/>
      <c r="B78" s="28" t="s">
        <v>290</v>
      </c>
      <c r="C78" s="11"/>
      <c r="D78" s="5">
        <f>SUM(OSRRefD25x_0)</f>
        <v>0</v>
      </c>
      <c r="E78" s="5"/>
      <c r="F78" s="13">
        <f>IF(D$12=0,0,D78/D$12)</f>
        <v>0</v>
      </c>
      <c r="G78" s="5"/>
      <c r="H78" s="5">
        <f>SUM(OSRRefH25x_0)</f>
        <v>6782</v>
      </c>
      <c r="I78" s="5"/>
      <c r="J78" s="13">
        <f>IF(H$12=0,0,H78/H$12)</f>
        <v>3.158826269212855</v>
      </c>
      <c r="K78" s="5"/>
      <c r="L78" s="5">
        <f>+D78-H78</f>
        <v>-6782</v>
      </c>
      <c r="M78" s="5"/>
      <c r="N78" s="13">
        <f>IF(H78=0,0,L78/H78)</f>
        <v>-1</v>
      </c>
      <c r="O78" s="11"/>
      <c r="P78" s="5">
        <f>SUM(OSRRefP25x_0)</f>
        <v>15135.44</v>
      </c>
      <c r="Q78" s="5"/>
      <c r="R78" s="13">
        <f>IF(P$12=0,0,P78/P$12)</f>
        <v>9.1933519207563999E-2</v>
      </c>
      <c r="S78" s="5"/>
      <c r="T78" s="5">
        <f>SUM(OSRRefT25x_0)</f>
        <v>61038</v>
      </c>
      <c r="U78" s="5"/>
      <c r="V78" s="13">
        <f>IF(T$12=0,0,T78/T$12)</f>
        <v>0.54991651427996369</v>
      </c>
      <c r="W78" s="5"/>
      <c r="X78" s="5">
        <f>+P78-T78</f>
        <v>-45902.559999999998</v>
      </c>
      <c r="Y78" s="5"/>
      <c r="Z78" s="13">
        <f>IF(T78=0,0,X78/T78)</f>
        <v>-0.75203250434155766</v>
      </c>
    </row>
    <row r="79" spans="1:26" s="69" customFormat="1" ht="15" hidden="1" customHeight="1" outlineLevel="1" x14ac:dyDescent="0.3">
      <c r="A79" s="42"/>
      <c r="B79" s="12" t="str">
        <f>CONCATENATE("          ","9150"," - ","MISC. INCOME")</f>
        <v xml:space="preserve">          9150 - MISC. INCOME</v>
      </c>
      <c r="C79" s="12"/>
      <c r="D79" s="3">
        <f>0</f>
        <v>0</v>
      </c>
      <c r="E79" s="3"/>
      <c r="F79" s="20">
        <f>IF(D$12=0,0,D79/D$12)</f>
        <v>0</v>
      </c>
      <c r="G79" s="3"/>
      <c r="H79" s="3">
        <f>--6782</f>
        <v>6782</v>
      </c>
      <c r="I79" s="3"/>
      <c r="J79" s="20">
        <f>IF(H$12=0,0,H79/H$12)</f>
        <v>3.158826269212855</v>
      </c>
      <c r="K79" s="3"/>
      <c r="L79" s="3">
        <f>+D79-H79</f>
        <v>-6782</v>
      </c>
      <c r="M79" s="3"/>
      <c r="N79" s="20">
        <f>IF(H79=0,0,L79/H79)</f>
        <v>-1</v>
      </c>
      <c r="O79" s="12"/>
      <c r="P79" s="3">
        <f>--15135.44</f>
        <v>15135.44</v>
      </c>
      <c r="Q79" s="3"/>
      <c r="R79" s="20">
        <f>IF(P$12=0,0,P79/P$12)</f>
        <v>9.1933519207563999E-2</v>
      </c>
      <c r="S79" s="3"/>
      <c r="T79" s="3">
        <f>--61038</f>
        <v>61038</v>
      </c>
      <c r="U79" s="3"/>
      <c r="V79" s="20">
        <f>IF(T$12=0,0,T79/T$12)</f>
        <v>0.54991651427996369</v>
      </c>
      <c r="W79" s="3"/>
      <c r="X79" s="3">
        <f>+P79-T79</f>
        <v>-45902.559999999998</v>
      </c>
      <c r="Y79" s="3"/>
      <c r="Z79" s="20">
        <f>IF(T79=0,0,X79/T79)</f>
        <v>-0.75203250434155766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7" t="s">
        <v>291</v>
      </c>
      <c r="C81" s="27"/>
      <c r="D81" s="22">
        <f>+D30-D32+D78</f>
        <v>-15683.05</v>
      </c>
      <c r="E81" s="15"/>
      <c r="F81" s="21">
        <f>IF(D$12=0,0,D81/D$12)</f>
        <v>-0.86082440840809205</v>
      </c>
      <c r="G81" s="15"/>
      <c r="H81" s="22">
        <f>+H30-H32+H78</f>
        <v>-10511.499999999989</v>
      </c>
      <c r="I81" s="15"/>
      <c r="J81" s="21">
        <f>IF(H$12=0,0,H81/H$12)</f>
        <v>-4.8959012575686955</v>
      </c>
      <c r="K81" s="17"/>
      <c r="L81" s="22">
        <f>+D81-H81</f>
        <v>-5171.5500000000102</v>
      </c>
      <c r="M81" s="17"/>
      <c r="N81" s="21">
        <f>IF(H81=0,0,L81/H81)</f>
        <v>0.49198972553869719</v>
      </c>
      <c r="O81" s="28"/>
      <c r="P81" s="22">
        <f>+P30-P32+P78</f>
        <v>-37125.850000000035</v>
      </c>
      <c r="Q81" s="15"/>
      <c r="R81" s="21">
        <f>IF(P$12=0,0,P81/P$12)</f>
        <v>-0.22550451417812387</v>
      </c>
      <c r="S81" s="15"/>
      <c r="T81" s="22">
        <f>+T30-T32+T78</f>
        <v>-85231.88</v>
      </c>
      <c r="U81" s="15"/>
      <c r="V81" s="21">
        <f>IF(T$12=0,0,T81/T$12)</f>
        <v>-0.7678891568388243</v>
      </c>
      <c r="W81" s="17"/>
      <c r="X81" s="22">
        <f>+P81-T81</f>
        <v>48106.02999999997</v>
      </c>
      <c r="Y81" s="17"/>
      <c r="Z81" s="21">
        <f>IF(T81=0,0,X81/T81)</f>
        <v>-0.56441357388808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48"/>
      <c r="B83" s="11" t="s">
        <v>292</v>
      </c>
      <c r="C83" s="11"/>
      <c r="D83" s="5">
        <v>1372.7</v>
      </c>
      <c r="E83" s="5"/>
      <c r="F83" s="13">
        <f>IF(D$12=0,0,D83/D$12)</f>
        <v>7.5345909464153218E-2</v>
      </c>
      <c r="G83" s="5"/>
      <c r="H83" s="5">
        <v>1319.33</v>
      </c>
      <c r="I83" s="5"/>
      <c r="J83" s="13">
        <f>IF(H$12=0,0,H83/H$12)</f>
        <v>0.61449930135072195</v>
      </c>
      <c r="K83" s="5"/>
      <c r="L83" s="5">
        <f>+D83-H83</f>
        <v>53.370000000000118</v>
      </c>
      <c r="M83" s="5"/>
      <c r="N83" s="13">
        <f>IF(H83=0,0,L83/H83)</f>
        <v>4.0452350814428627E-2</v>
      </c>
      <c r="O83" s="11"/>
      <c r="P83" s="5">
        <v>19648.740000000002</v>
      </c>
      <c r="Q83" s="5"/>
      <c r="R83" s="13">
        <f>IF(P$12=0,0,P83/P$12)</f>
        <v>0.11934755885487514</v>
      </c>
      <c r="S83" s="5"/>
      <c r="T83" s="5">
        <v>22875.13</v>
      </c>
      <c r="U83" s="5"/>
      <c r="V83" s="13">
        <f>IF(T$12=0,0,T83/T$12)</f>
        <v>0.20609147995185012</v>
      </c>
      <c r="W83" s="5"/>
      <c r="X83" s="5">
        <f>+P83-T83</f>
        <v>-3226.3899999999994</v>
      </c>
      <c r="Y83" s="5"/>
      <c r="Z83" s="13">
        <f>IF(T83=0,0,X83/T83)</f>
        <v>-0.14104357002561294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7" t="s">
        <v>293</v>
      </c>
      <c r="C85" s="27"/>
      <c r="D85" s="34">
        <f>+D81-D83</f>
        <v>-17055.75</v>
      </c>
      <c r="E85" s="15"/>
      <c r="F85" s="33">
        <f>IF(D$12=0,0,D85/D$12)</f>
        <v>-0.93617031787224536</v>
      </c>
      <c r="G85" s="15"/>
      <c r="H85" s="34">
        <f>+H81-H83</f>
        <v>-11830.829999999989</v>
      </c>
      <c r="I85" s="15"/>
      <c r="J85" s="33">
        <f>IF(H$12=0,0,H85/H$12)</f>
        <v>-5.5104005589194172</v>
      </c>
      <c r="K85" s="17"/>
      <c r="L85" s="34">
        <f>D85-H85</f>
        <v>-5224.920000000011</v>
      </c>
      <c r="M85" s="17"/>
      <c r="N85" s="33">
        <f>IF(H85=0,0,L85/H85)</f>
        <v>0.44163596298822788</v>
      </c>
      <c r="O85" s="28"/>
      <c r="P85" s="34">
        <f>+P81-P83</f>
        <v>-56774.59000000004</v>
      </c>
      <c r="Q85" s="15"/>
      <c r="R85" s="33">
        <f>IF(P$12=0,0,P85/P$12)</f>
        <v>-0.34485207303299903</v>
      </c>
      <c r="S85" s="15"/>
      <c r="T85" s="34">
        <f>+T81-T83</f>
        <v>-108107.01000000001</v>
      </c>
      <c r="U85" s="15"/>
      <c r="V85" s="33">
        <f>IF(T$12=0,0,T85/T$12)</f>
        <v>-0.97398063679067437</v>
      </c>
      <c r="W85" s="17"/>
      <c r="X85" s="34">
        <f>P85-T85</f>
        <v>51332.419999999969</v>
      </c>
      <c r="Y85" s="17"/>
      <c r="Z85" s="33">
        <f>IF(T85=0,0,X85/T85)</f>
        <v>-0.47482970808275954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7" t="s">
        <v>296</v>
      </c>
      <c r="C88" s="27"/>
      <c r="D88" s="31">
        <f>SUM(D85:D87)</f>
        <v>-17055.75</v>
      </c>
      <c r="E88" s="15"/>
      <c r="F88" s="32">
        <f>IF(D$12=0,0,D88/D$12)</f>
        <v>-0.93617031787224536</v>
      </c>
      <c r="G88" s="15"/>
      <c r="H88" s="31">
        <f>SUM(H85:H87)</f>
        <v>-11830.829999999989</v>
      </c>
      <c r="I88" s="15"/>
      <c r="J88" s="32">
        <f>IF(H$12=0,0,H88/H$12)</f>
        <v>-5.5104005589194172</v>
      </c>
      <c r="K88" s="17"/>
      <c r="L88" s="31">
        <f>+D88-H88</f>
        <v>-5224.920000000011</v>
      </c>
      <c r="M88" s="17"/>
      <c r="N88" s="32">
        <f>IF(H88=0,0,L88/H88)</f>
        <v>0.44163596298822788</v>
      </c>
      <c r="O88" s="28"/>
      <c r="P88" s="31">
        <f>SUM(P85:P87)</f>
        <v>-56774.59000000004</v>
      </c>
      <c r="Q88" s="15"/>
      <c r="R88" s="32">
        <f>IF(P$12=0,0,P88/P$12)</f>
        <v>-0.34485207303299903</v>
      </c>
      <c r="S88" s="15"/>
      <c r="T88" s="31">
        <f>SUM(T85:T87)</f>
        <v>-108107.01000000001</v>
      </c>
      <c r="U88" s="15"/>
      <c r="V88" s="32">
        <f>IF(T$12=0,0,T88/T$12)</f>
        <v>-0.97398063679067437</v>
      </c>
      <c r="W88" s="17"/>
      <c r="X88" s="31">
        <f>+P88-T88</f>
        <v>51332.419999999969</v>
      </c>
      <c r="Y88" s="17"/>
      <c r="Z88" s="32">
        <f>IF(T88=0,0,X88/T88)</f>
        <v>-0.47482970808275954</v>
      </c>
    </row>
    <row r="89" spans="1:26" ht="15" customHeight="1" x14ac:dyDescent="0.3">
      <c r="A89" s="10"/>
      <c r="C89" s="10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6">
        <v>44663.03859679398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7" t="s">
        <v>297</v>
      </c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A92" s="10"/>
      <c r="B92" s="58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84745-59AD-886A-B0C8-BD4238D0541B}">
  <sheetPr>
    <tabColor rgb="FFFFC000"/>
    <outlinePr summaryBelow="0" summaryRight="0"/>
  </sheetPr>
  <dimension ref="A2:Z11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314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456695.52</v>
      </c>
      <c r="E12" s="5"/>
      <c r="F12" s="13"/>
      <c r="G12" s="5"/>
      <c r="H12" s="5">
        <f>SUM(OSRRefH13x_0)</f>
        <v>429085.26</v>
      </c>
      <c r="I12" s="5"/>
      <c r="J12" s="13"/>
      <c r="K12" s="5"/>
      <c r="L12" s="5">
        <f t="shared" ref="L12:L33" si="0">+D12-H12</f>
        <v>27610.260000000009</v>
      </c>
      <c r="M12" s="5"/>
      <c r="N12" s="13">
        <f t="shared" ref="N12:N33" si="1">IF(H12=0,0,L12/H12)</f>
        <v>6.434679205713105E-2</v>
      </c>
      <c r="O12" s="11"/>
      <c r="P12" s="5">
        <f>SUM(OSRRefP13x_0)</f>
        <v>1750471.85</v>
      </c>
      <c r="Q12" s="5"/>
      <c r="R12" s="13"/>
      <c r="S12" s="5"/>
      <c r="T12" s="5">
        <f>SUM(OSRRefT13x_0)</f>
        <v>2019556.4600000002</v>
      </c>
      <c r="U12" s="5"/>
      <c r="V12" s="13"/>
      <c r="W12" s="5"/>
      <c r="X12" s="5">
        <f t="shared" ref="X12:X33" si="2">+P12-T12</f>
        <v>-269084.6100000001</v>
      </c>
      <c r="Y12" s="5"/>
      <c r="Z12" s="13">
        <f t="shared" ref="Z12:Z33" si="3">IF(T12=0,0,X12/T12)</f>
        <v>-0.13323945892555045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--432065</f>
        <v>432065</v>
      </c>
      <c r="E13" s="3"/>
      <c r="F13" s="20"/>
      <c r="G13" s="3"/>
      <c r="H13" s="3">
        <f>-36.19</f>
        <v>-36.19</v>
      </c>
      <c r="I13" s="3"/>
      <c r="J13" s="20"/>
      <c r="K13" s="3"/>
      <c r="L13" s="3">
        <f t="shared" si="0"/>
        <v>432101.19</v>
      </c>
      <c r="M13" s="3"/>
      <c r="N13" s="20">
        <f t="shared" si="1"/>
        <v>-11939.795247305887</v>
      </c>
      <c r="O13" s="12"/>
      <c r="P13" s="3">
        <f>--1458675.68</f>
        <v>1458675.68</v>
      </c>
      <c r="Q13" s="3"/>
      <c r="R13" s="20"/>
      <c r="S13" s="3"/>
      <c r="T13" s="3">
        <f>-2733.15</f>
        <v>-2733.15</v>
      </c>
      <c r="U13" s="3"/>
      <c r="V13" s="20"/>
      <c r="W13" s="3"/>
      <c r="X13" s="3">
        <f t="shared" si="2"/>
        <v>1461408.8299999998</v>
      </c>
      <c r="Y13" s="3"/>
      <c r="Z13" s="20">
        <f t="shared" si="3"/>
        <v>-534.6976309386605</v>
      </c>
    </row>
    <row r="14" spans="1:26" s="69" customFormat="1" ht="15" hidden="1" customHeight="1" outlineLevel="1" x14ac:dyDescent="0.3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--1204.4</f>
        <v>1204.4000000000001</v>
      </c>
      <c r="I14" s="3"/>
      <c r="J14" s="20"/>
      <c r="K14" s="3"/>
      <c r="L14" s="3">
        <f t="shared" si="0"/>
        <v>-1204.4000000000001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--60467.25</f>
        <v>60467.25</v>
      </c>
      <c r="U14" s="3"/>
      <c r="V14" s="20"/>
      <c r="W14" s="3"/>
      <c r="X14" s="3">
        <f t="shared" si="2"/>
        <v>-60467.25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--407027.89</f>
        <v>407027.89</v>
      </c>
      <c r="I15" s="3"/>
      <c r="J15" s="20"/>
      <c r="K15" s="3"/>
      <c r="L15" s="3">
        <f t="shared" si="0"/>
        <v>-407027.89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--1657866.36</f>
        <v>1657866.36</v>
      </c>
      <c r="U15" s="3"/>
      <c r="V15" s="20"/>
      <c r="W15" s="3"/>
      <c r="X15" s="3">
        <f t="shared" si="2"/>
        <v>-1657866.36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--22860.44</f>
        <v>22860.44</v>
      </c>
      <c r="I16" s="3"/>
      <c r="J16" s="20"/>
      <c r="K16" s="3"/>
      <c r="L16" s="3">
        <f t="shared" si="0"/>
        <v>-22860.44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--119659.27</f>
        <v>119659.27</v>
      </c>
      <c r="U16" s="3"/>
      <c r="V16" s="20"/>
      <c r="W16" s="3"/>
      <c r="X16" s="3">
        <f t="shared" si="2"/>
        <v>-119659.27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--219.98</f>
        <v>219.98</v>
      </c>
      <c r="I17" s="3"/>
      <c r="J17" s="20"/>
      <c r="K17" s="3"/>
      <c r="L17" s="3">
        <f t="shared" si="0"/>
        <v>-219.98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--3098.91</f>
        <v>3098.91</v>
      </c>
      <c r="U17" s="3"/>
      <c r="V17" s="20"/>
      <c r="W17" s="3"/>
      <c r="X17" s="3">
        <f t="shared" si="2"/>
        <v>-3098.91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--503.73</f>
        <v>503.73</v>
      </c>
      <c r="I18" s="3"/>
      <c r="J18" s="20"/>
      <c r="K18" s="3"/>
      <c r="L18" s="3">
        <f t="shared" si="0"/>
        <v>-503.73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--59450.9</f>
        <v>59450.9</v>
      </c>
      <c r="U18" s="3"/>
      <c r="V18" s="20"/>
      <c r="W18" s="3"/>
      <c r="X18" s="3">
        <f t="shared" si="2"/>
        <v>-59450.9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--80322.45</f>
        <v>80322.45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80322.45</v>
      </c>
      <c r="M19" s="3"/>
      <c r="N19" s="20">
        <f t="shared" si="1"/>
        <v>0</v>
      </c>
      <c r="O19" s="12"/>
      <c r="P19" s="3">
        <f>--573579.32</f>
        <v>573579.31999999995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573579.31999999995</v>
      </c>
      <c r="Y19" s="3"/>
      <c r="Z19" s="20">
        <f t="shared" si="3"/>
        <v>0</v>
      </c>
    </row>
    <row r="20" spans="1:26" s="69" customFormat="1" ht="15" hidden="1" customHeight="1" outlineLevel="1" x14ac:dyDescent="0.3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--285.97</f>
        <v>285.97000000000003</v>
      </c>
      <c r="I20" s="3"/>
      <c r="J20" s="20"/>
      <c r="K20" s="3"/>
      <c r="L20" s="3">
        <f t="shared" si="0"/>
        <v>-285.97000000000003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--12478.63</f>
        <v>12478.63</v>
      </c>
      <c r="U20" s="3"/>
      <c r="V20" s="20"/>
      <c r="W20" s="3"/>
      <c r="X20" s="3">
        <f t="shared" si="2"/>
        <v>-12478.63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--33767.84</f>
        <v>33767.839999999997</v>
      </c>
      <c r="I21" s="3"/>
      <c r="J21" s="20"/>
      <c r="K21" s="3"/>
      <c r="L21" s="3">
        <f t="shared" si="0"/>
        <v>-33767.839999999997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--253414.83</f>
        <v>253414.83</v>
      </c>
      <c r="U21" s="3"/>
      <c r="V21" s="20"/>
      <c r="W21" s="3"/>
      <c r="X21" s="3">
        <f t="shared" si="2"/>
        <v>-253414.83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--2983.61</f>
        <v>2983.61</v>
      </c>
      <c r="I22" s="3"/>
      <c r="J22" s="20"/>
      <c r="K22" s="3"/>
      <c r="L22" s="3">
        <f t="shared" si="0"/>
        <v>-2983.61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--16606.43</f>
        <v>16606.43</v>
      </c>
      <c r="U22" s="3"/>
      <c r="V22" s="20"/>
      <c r="W22" s="3"/>
      <c r="X22" s="3">
        <f t="shared" si="2"/>
        <v>-16606.43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--3559.59</f>
        <v>3559.59</v>
      </c>
      <c r="I23" s="3"/>
      <c r="J23" s="20"/>
      <c r="K23" s="3"/>
      <c r="L23" s="3">
        <f t="shared" si="0"/>
        <v>-3559.59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--38686.78</f>
        <v>38686.78</v>
      </c>
      <c r="U23" s="3"/>
      <c r="V23" s="20"/>
      <c r="W23" s="3"/>
      <c r="X23" s="3">
        <f t="shared" si="2"/>
        <v>-38686.78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--424.94</f>
        <v>424.94</v>
      </c>
      <c r="I24" s="3"/>
      <c r="J24" s="20"/>
      <c r="K24" s="3"/>
      <c r="L24" s="3">
        <f t="shared" si="0"/>
        <v>-424.94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--3255.2</f>
        <v>3255.2</v>
      </c>
      <c r="U24" s="3"/>
      <c r="V24" s="20"/>
      <c r="W24" s="3"/>
      <c r="X24" s="3">
        <f t="shared" si="2"/>
        <v>-3255.2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","4200"," - ","TAXABLE RETURNS")</f>
        <v xml:space="preserve">          4200 - TAXABLE RETURNS</v>
      </c>
      <c r="C25" s="12"/>
      <c r="D25" s="3">
        <f>-55451.11</f>
        <v>-55451.11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-55451.11</v>
      </c>
      <c r="M25" s="3"/>
      <c r="N25" s="20">
        <f t="shared" si="1"/>
        <v>0</v>
      </c>
      <c r="O25" s="12"/>
      <c r="P25" s="3">
        <f>-279510.21</f>
        <v>-279510.21000000002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-279510.21000000002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-14762.14</f>
        <v>-14762.14</v>
      </c>
      <c r="U26" s="3"/>
      <c r="V26" s="20"/>
      <c r="W26" s="3"/>
      <c r="X26" s="3">
        <f t="shared" si="2"/>
        <v>14762.14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-43137</f>
        <v>-43137</v>
      </c>
      <c r="I27" s="3"/>
      <c r="J27" s="20"/>
      <c r="K27" s="3"/>
      <c r="L27" s="3">
        <f t="shared" si="0"/>
        <v>43137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-172765.16</f>
        <v>-172765.16</v>
      </c>
      <c r="U27" s="3"/>
      <c r="V27" s="20"/>
      <c r="W27" s="3"/>
      <c r="X27" s="3">
        <f t="shared" si="2"/>
        <v>172765.16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-389.97</f>
        <v>-389.97</v>
      </c>
      <c r="I28" s="3"/>
      <c r="J28" s="20"/>
      <c r="K28" s="3"/>
      <c r="L28" s="3">
        <f t="shared" si="0"/>
        <v>389.97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-3749.25</f>
        <v>-3749.25</v>
      </c>
      <c r="U28" s="3"/>
      <c r="V28" s="20"/>
      <c r="W28" s="3"/>
      <c r="X28" s="3">
        <f t="shared" si="2"/>
        <v>3749.25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-149.99</f>
        <v>-149.99</v>
      </c>
      <c r="I29" s="3"/>
      <c r="J29" s="20"/>
      <c r="K29" s="3"/>
      <c r="L29" s="3">
        <f t="shared" si="0"/>
        <v>149.99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-991.96</f>
        <v>-991.96</v>
      </c>
      <c r="U29" s="3"/>
      <c r="V29" s="20"/>
      <c r="W29" s="3"/>
      <c r="X29" s="3">
        <f t="shared" si="2"/>
        <v>991.96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-39.98</f>
        <v>-39.979999999999997</v>
      </c>
      <c r="I30" s="3"/>
      <c r="J30" s="20"/>
      <c r="K30" s="3"/>
      <c r="L30" s="3">
        <f t="shared" si="0"/>
        <v>39.979999999999997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-4802.29</f>
        <v>-4802.29</v>
      </c>
      <c r="U30" s="3"/>
      <c r="V30" s="20"/>
      <c r="W30" s="3"/>
      <c r="X30" s="3">
        <f t="shared" si="2"/>
        <v>4802.29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","4300"," - ","NON-TAX RETURNS")</f>
        <v xml:space="preserve">          4300 - NON-TAX RETURNS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3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","4500"," - ","SALES DISCOUNT")</f>
        <v xml:space="preserve">          4500 - SALES DISCOUNT</v>
      </c>
      <c r="C33" s="12"/>
      <c r="D33" s="3">
        <f>-240.82</f>
        <v>-240.82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-240.82</v>
      </c>
      <c r="M33" s="3"/>
      <c r="N33" s="20">
        <f t="shared" si="1"/>
        <v>0</v>
      </c>
      <c r="O33" s="12"/>
      <c r="P33" s="3">
        <f>-1158.42</f>
        <v>-1158.42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-1158.42</v>
      </c>
      <c r="Y33" s="3"/>
      <c r="Z33" s="20">
        <f t="shared" si="3"/>
        <v>0</v>
      </c>
    </row>
    <row r="34" spans="1:26" ht="15" customHeight="1" x14ac:dyDescent="0.3">
      <c r="A34" s="10"/>
      <c r="B34" s="11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collapsed="1" x14ac:dyDescent="0.3">
      <c r="A35" s="11"/>
      <c r="B35" s="28" t="s">
        <v>287</v>
      </c>
      <c r="C35" s="11"/>
      <c r="D35" s="5">
        <f>SUM(OSRRefD16x_0)</f>
        <v>370733.42</v>
      </c>
      <c r="E35" s="5"/>
      <c r="F35" s="13">
        <f t="shared" ref="F35:F49" si="4">IF(D$12=0,0,D35/D$12)</f>
        <v>0.81177371742118243</v>
      </c>
      <c r="G35" s="5"/>
      <c r="H35" s="5">
        <f>SUM(OSRRefH16x_0)</f>
        <v>356026</v>
      </c>
      <c r="I35" s="5"/>
      <c r="J35" s="13">
        <f t="shared" ref="J35:J49" si="5">IF(H$12=0,0,H35/H$12)</f>
        <v>0.82973253380924805</v>
      </c>
      <c r="K35" s="5"/>
      <c r="L35" s="5">
        <f t="shared" ref="L35:L49" si="6">+D35-H35</f>
        <v>14707.419999999984</v>
      </c>
      <c r="M35" s="5"/>
      <c r="N35" s="13">
        <f t="shared" ref="N35:N49" si="7">IF(H35=0,0,L35/H35)</f>
        <v>4.1309960508502143E-2</v>
      </c>
      <c r="O35" s="11"/>
      <c r="P35" s="5">
        <f>SUM(OSRRefP16x_0)</f>
        <v>1476772.33</v>
      </c>
      <c r="Q35" s="5"/>
      <c r="R35" s="13">
        <f t="shared" ref="R35:R49" si="8">IF(P$12=0,0,P35/P$12)</f>
        <v>0.84364243275320305</v>
      </c>
      <c r="S35" s="5"/>
      <c r="T35" s="5">
        <f>SUM(OSRRefT16x_0)</f>
        <v>1864521.84</v>
      </c>
      <c r="U35" s="5"/>
      <c r="V35" s="13">
        <f t="shared" ref="V35:V49" si="9">IF(T$12=0,0,T35/T$12)</f>
        <v>0.92323333213472025</v>
      </c>
      <c r="W35" s="5"/>
      <c r="X35" s="5">
        <f t="shared" ref="X35:X49" si="10">+P35-T35</f>
        <v>-387749.51</v>
      </c>
      <c r="Y35" s="5"/>
      <c r="Z35" s="13">
        <f t="shared" ref="Z35:Z49" si="11">IF(T35=0,0,X35/T35)</f>
        <v>-0.20796190298312622</v>
      </c>
    </row>
    <row r="36" spans="1:26" s="69" customFormat="1" ht="15" hidden="1" customHeight="1" outlineLevel="1" x14ac:dyDescent="0.3">
      <c r="A36" s="42"/>
      <c r="B36" s="12" t="str">
        <f>CONCATENATE("          ","5000"," - ","PURCHASES @ COST")</f>
        <v xml:space="preserve">          5000 - PURCHASES @ COST</v>
      </c>
      <c r="C36" s="12"/>
      <c r="D36" s="3">
        <v>375710.61</v>
      </c>
      <c r="E36" s="3"/>
      <c r="F36" s="20">
        <f t="shared" si="4"/>
        <v>0.82267198504596661</v>
      </c>
      <c r="G36" s="3"/>
      <c r="H36" s="3"/>
      <c r="I36" s="3"/>
      <c r="J36" s="20">
        <f t="shared" si="5"/>
        <v>0</v>
      </c>
      <c r="K36" s="3"/>
      <c r="L36" s="3">
        <f t="shared" si="6"/>
        <v>375710.61</v>
      </c>
      <c r="M36" s="3"/>
      <c r="N36" s="20">
        <f t="shared" si="7"/>
        <v>0</v>
      </c>
      <c r="O36" s="12"/>
      <c r="P36" s="3">
        <v>1550025.54</v>
      </c>
      <c r="Q36" s="3"/>
      <c r="R36" s="20">
        <f t="shared" si="8"/>
        <v>0.88549012656216086</v>
      </c>
      <c r="S36" s="3"/>
      <c r="T36" s="3">
        <v>0</v>
      </c>
      <c r="U36" s="3"/>
      <c r="V36" s="20">
        <f t="shared" si="9"/>
        <v>0</v>
      </c>
      <c r="W36" s="3"/>
      <c r="X36" s="3">
        <f t="shared" si="10"/>
        <v>1550025.54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","5081"," - ","PURCHASES @ COST-ELECTRONICS")</f>
        <v xml:space="preserve">          5081 - PURCHASES @ COST-ELECTRONICS</v>
      </c>
      <c r="C37" s="12"/>
      <c r="D37" s="3"/>
      <c r="E37" s="3"/>
      <c r="F37" s="20">
        <f t="shared" si="4"/>
        <v>0</v>
      </c>
      <c r="G37" s="3"/>
      <c r="H37" s="3">
        <v>309.97000000000003</v>
      </c>
      <c r="I37" s="3"/>
      <c r="J37" s="20">
        <f t="shared" si="5"/>
        <v>7.2239722240750013E-4</v>
      </c>
      <c r="K37" s="3"/>
      <c r="L37" s="3">
        <f t="shared" si="6"/>
        <v>-309.97000000000003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32467.87</v>
      </c>
      <c r="U37" s="3"/>
      <c r="V37" s="20">
        <f t="shared" si="9"/>
        <v>1.6076733007008872E-2</v>
      </c>
      <c r="W37" s="3"/>
      <c r="X37" s="3">
        <f t="shared" si="10"/>
        <v>-32467.87</v>
      </c>
      <c r="Y37" s="3"/>
      <c r="Z37" s="20">
        <f t="shared" si="11"/>
        <v>-1</v>
      </c>
    </row>
    <row r="38" spans="1:26" s="69" customFormat="1" ht="15" hidden="1" customHeight="1" outlineLevel="1" x14ac:dyDescent="0.3">
      <c r="A38" s="42"/>
      <c r="B38" s="12" t="str">
        <f>CONCATENATE("          ","5082"," - ","PURCHASES @ COST-COMPUTER HARD")</f>
        <v xml:space="preserve">          5082 - PURCHASES @ COST-COMPUTER HARD</v>
      </c>
      <c r="C38" s="12"/>
      <c r="D38" s="3">
        <v>-16384.86</v>
      </c>
      <c r="E38" s="3"/>
      <c r="F38" s="20">
        <f t="shared" si="4"/>
        <v>-3.5876988677270141E-2</v>
      </c>
      <c r="G38" s="3"/>
      <c r="H38" s="3">
        <v>132715.92000000001</v>
      </c>
      <c r="I38" s="3"/>
      <c r="J38" s="20">
        <f t="shared" si="5"/>
        <v>0.30929964827969159</v>
      </c>
      <c r="K38" s="3"/>
      <c r="L38" s="3">
        <f t="shared" si="6"/>
        <v>-149100.78000000003</v>
      </c>
      <c r="M38" s="3"/>
      <c r="N38" s="20">
        <f t="shared" si="7"/>
        <v>-1.1234581352410473</v>
      </c>
      <c r="O38" s="12"/>
      <c r="P38" s="3">
        <v>-110193.26</v>
      </c>
      <c r="Q38" s="3"/>
      <c r="R38" s="20">
        <f t="shared" si="8"/>
        <v>-6.2950603861467405E-2</v>
      </c>
      <c r="S38" s="3"/>
      <c r="T38" s="3">
        <v>1396293.76</v>
      </c>
      <c r="U38" s="3"/>
      <c r="V38" s="20">
        <f t="shared" si="9"/>
        <v>0.69138634529682819</v>
      </c>
      <c r="W38" s="3"/>
      <c r="X38" s="3">
        <f t="shared" si="10"/>
        <v>-1506487.02</v>
      </c>
      <c r="Y38" s="3"/>
      <c r="Z38" s="20">
        <f t="shared" si="11"/>
        <v>-1.0789183932183439</v>
      </c>
    </row>
    <row r="39" spans="1:26" s="69" customFormat="1" ht="15" hidden="1" customHeight="1" outlineLevel="1" x14ac:dyDescent="0.3">
      <c r="A39" s="42"/>
      <c r="B39" s="12" t="str">
        <f>CONCATENATE("          ","5083"," - ","PURCHASES @ COST-COMPUTER EQUI")</f>
        <v xml:space="preserve">          5083 - PURCHASES @ COST-COMPUTER EQUI</v>
      </c>
      <c r="C39" s="12"/>
      <c r="D39" s="3"/>
      <c r="E39" s="3"/>
      <c r="F39" s="20">
        <f t="shared" si="4"/>
        <v>0</v>
      </c>
      <c r="G39" s="3"/>
      <c r="H39" s="3">
        <v>6015.06</v>
      </c>
      <c r="I39" s="3"/>
      <c r="J39" s="20">
        <f t="shared" si="5"/>
        <v>1.4018332860000831E-2</v>
      </c>
      <c r="K39" s="3"/>
      <c r="L39" s="3">
        <f t="shared" si="6"/>
        <v>-6015.06</v>
      </c>
      <c r="M39" s="3"/>
      <c r="N39" s="20">
        <f t="shared" si="7"/>
        <v>-1</v>
      </c>
      <c r="O39" s="12"/>
      <c r="P39" s="3">
        <v>0</v>
      </c>
      <c r="Q39" s="3"/>
      <c r="R39" s="20">
        <f t="shared" si="8"/>
        <v>0</v>
      </c>
      <c r="S39" s="3"/>
      <c r="T39" s="3">
        <v>105203.33</v>
      </c>
      <c r="U39" s="3"/>
      <c r="V39" s="20">
        <f t="shared" si="9"/>
        <v>5.2092294562539734E-2</v>
      </c>
      <c r="W39" s="3"/>
      <c r="X39" s="3">
        <f t="shared" si="10"/>
        <v>-105203.33</v>
      </c>
      <c r="Y39" s="3"/>
      <c r="Z39" s="20">
        <f t="shared" si="11"/>
        <v>-1</v>
      </c>
    </row>
    <row r="40" spans="1:26" s="69" customFormat="1" ht="15" hidden="1" customHeight="1" outlineLevel="1" x14ac:dyDescent="0.3">
      <c r="A40" s="42"/>
      <c r="B40" s="12" t="str">
        <f>CONCATENATE("          ","5085"," - ","PURCHASES @ COST-SOFTWARE")</f>
        <v xml:space="preserve">          5085 - PURCHASES @ COST-SOFTWARE</v>
      </c>
      <c r="C40" s="12"/>
      <c r="D40" s="3"/>
      <c r="E40" s="3"/>
      <c r="F40" s="20">
        <f t="shared" si="4"/>
        <v>0</v>
      </c>
      <c r="G40" s="3"/>
      <c r="H40" s="3">
        <v>3753.26</v>
      </c>
      <c r="I40" s="3"/>
      <c r="J40" s="20">
        <f t="shared" si="5"/>
        <v>8.7471193953388201E-3</v>
      </c>
      <c r="K40" s="3"/>
      <c r="L40" s="3">
        <f t="shared" si="6"/>
        <v>-3753.26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33898.71</v>
      </c>
      <c r="U40" s="3"/>
      <c r="V40" s="20">
        <f t="shared" si="9"/>
        <v>1.6785225207321015E-2</v>
      </c>
      <c r="W40" s="3"/>
      <c r="X40" s="3">
        <f t="shared" si="10"/>
        <v>-33898.71</v>
      </c>
      <c r="Y40" s="3"/>
      <c r="Z40" s="20">
        <f t="shared" si="11"/>
        <v>-1</v>
      </c>
    </row>
    <row r="41" spans="1:26" s="69" customFormat="1" ht="15" hidden="1" customHeight="1" outlineLevel="1" x14ac:dyDescent="0.3">
      <c r="A41" s="42"/>
      <c r="B41" s="12" t="str">
        <f>CONCATENATE("          ","5086"," - ","PURCHASES @ COST-COMPUTER SUPP")</f>
        <v xml:space="preserve">          5086 - PURCHASES @ COST-COMPUTER SUPP</v>
      </c>
      <c r="C41" s="12"/>
      <c r="D41" s="3"/>
      <c r="E41" s="3"/>
      <c r="F41" s="20">
        <f t="shared" si="4"/>
        <v>0</v>
      </c>
      <c r="G41" s="3"/>
      <c r="H41" s="3">
        <v>525.71</v>
      </c>
      <c r="I41" s="3"/>
      <c r="J41" s="20">
        <f t="shared" si="5"/>
        <v>1.2251877400775782E-3</v>
      </c>
      <c r="K41" s="3"/>
      <c r="L41" s="3">
        <f t="shared" si="6"/>
        <v>-525.71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23650.99</v>
      </c>
      <c r="U41" s="3"/>
      <c r="V41" s="20">
        <f t="shared" si="9"/>
        <v>1.1710982321336041E-2</v>
      </c>
      <c r="W41" s="3"/>
      <c r="X41" s="3">
        <f t="shared" si="10"/>
        <v>-23650.99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-375789.52</v>
      </c>
      <c r="E42" s="3"/>
      <c r="F42" s="20">
        <f t="shared" si="4"/>
        <v>-0.82284476974943832</v>
      </c>
      <c r="G42" s="3"/>
      <c r="H42" s="3">
        <v>-143329.32999999999</v>
      </c>
      <c r="I42" s="3"/>
      <c r="J42" s="20">
        <f t="shared" si="5"/>
        <v>-0.33403461587098093</v>
      </c>
      <c r="K42" s="3"/>
      <c r="L42" s="3">
        <f t="shared" si="6"/>
        <v>-232460.19000000003</v>
      </c>
      <c r="M42" s="3"/>
      <c r="N42" s="20">
        <f t="shared" si="7"/>
        <v>1.6218605780128885</v>
      </c>
      <c r="O42" s="12"/>
      <c r="P42" s="3">
        <v>-1550197.09</v>
      </c>
      <c r="Q42" s="3"/>
      <c r="R42" s="20">
        <f t="shared" si="8"/>
        <v>-0.8855881287094105</v>
      </c>
      <c r="S42" s="3"/>
      <c r="T42" s="3">
        <v>-1588000.81</v>
      </c>
      <c r="U42" s="3"/>
      <c r="V42" s="20">
        <f t="shared" si="9"/>
        <v>-0.78631166865223456</v>
      </c>
      <c r="W42" s="3"/>
      <c r="X42" s="3">
        <f t="shared" si="10"/>
        <v>37803.719999999972</v>
      </c>
      <c r="Y42" s="3"/>
      <c r="Z42" s="20">
        <f t="shared" si="11"/>
        <v>-2.3805856874846286E-2</v>
      </c>
    </row>
    <row r="43" spans="1:26" s="69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387118.28</v>
      </c>
      <c r="E43" s="3"/>
      <c r="F43" s="20">
        <f t="shared" si="4"/>
        <v>0.84765070609845272</v>
      </c>
      <c r="G43" s="3"/>
      <c r="H43" s="3">
        <v>356026</v>
      </c>
      <c r="I43" s="3"/>
      <c r="J43" s="20">
        <f t="shared" si="5"/>
        <v>0.82973253380924805</v>
      </c>
      <c r="K43" s="3"/>
      <c r="L43" s="3">
        <f t="shared" si="6"/>
        <v>31092.280000000028</v>
      </c>
      <c r="M43" s="3"/>
      <c r="N43" s="20">
        <f t="shared" si="7"/>
        <v>8.7331487026228505E-2</v>
      </c>
      <c r="O43" s="12"/>
      <c r="P43" s="3">
        <v>1586965.59</v>
      </c>
      <c r="Q43" s="3"/>
      <c r="R43" s="20">
        <f t="shared" si="8"/>
        <v>0.9065930366146705</v>
      </c>
      <c r="S43" s="3"/>
      <c r="T43" s="3">
        <v>1860576</v>
      </c>
      <c r="U43" s="3"/>
      <c r="V43" s="20">
        <f t="shared" si="9"/>
        <v>0.92127951698859656</v>
      </c>
      <c r="W43" s="3"/>
      <c r="X43" s="3">
        <f t="shared" si="10"/>
        <v>-273610.40999999992</v>
      </c>
      <c r="Y43" s="3"/>
      <c r="Z43" s="20">
        <f t="shared" si="11"/>
        <v>-0.14705683078788501</v>
      </c>
    </row>
    <row r="44" spans="1:26" s="69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78.91</v>
      </c>
      <c r="E44" s="3"/>
      <c r="F44" s="20">
        <f t="shared" si="4"/>
        <v>1.7278470347158211E-4</v>
      </c>
      <c r="G44" s="3"/>
      <c r="H44" s="3"/>
      <c r="I44" s="3"/>
      <c r="J44" s="20">
        <f t="shared" si="5"/>
        <v>0</v>
      </c>
      <c r="K44" s="3"/>
      <c r="L44" s="3">
        <f t="shared" si="6"/>
        <v>78.91</v>
      </c>
      <c r="M44" s="3"/>
      <c r="N44" s="20">
        <f t="shared" si="7"/>
        <v>0</v>
      </c>
      <c r="O44" s="12"/>
      <c r="P44" s="3">
        <v>171.55</v>
      </c>
      <c r="Q44" s="3"/>
      <c r="R44" s="20">
        <f t="shared" si="8"/>
        <v>9.800214724961158E-5</v>
      </c>
      <c r="S44" s="3"/>
      <c r="T44" s="3">
        <v>0</v>
      </c>
      <c r="U44" s="3"/>
      <c r="V44" s="20">
        <f t="shared" si="9"/>
        <v>0</v>
      </c>
      <c r="W44" s="3"/>
      <c r="X44" s="3">
        <f t="shared" si="10"/>
        <v>171.55</v>
      </c>
      <c r="Y44" s="3"/>
      <c r="Z44" s="20">
        <f t="shared" si="11"/>
        <v>0</v>
      </c>
    </row>
    <row r="45" spans="1:26" s="69" customFormat="1" ht="15" hidden="1" customHeight="1" outlineLevel="1" x14ac:dyDescent="0.3">
      <c r="A45" s="42"/>
      <c r="B45" s="12" t="str">
        <f>CONCATENATE("          ","5581"," - ","FREIGHT-IN-ELECTRONICS")</f>
        <v xml:space="preserve">          5581 - FREIGHT-IN-ELECTRONICS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/>
      <c r="Q45" s="3"/>
      <c r="R45" s="20">
        <f t="shared" si="8"/>
        <v>0</v>
      </c>
      <c r="S45" s="3"/>
      <c r="T45" s="3">
        <v>31</v>
      </c>
      <c r="U45" s="3"/>
      <c r="V45" s="20">
        <f t="shared" si="9"/>
        <v>1.534990509747868E-5</v>
      </c>
      <c r="W45" s="3"/>
      <c r="X45" s="3">
        <f t="shared" si="10"/>
        <v>-31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","5582"," - ","FREIGHT-IN-COMPUTER HARDWARE")</f>
        <v xml:space="preserve">          5582 - FREIGHT-IN-COMPUTER HARDWARE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125</v>
      </c>
      <c r="U46" s="3"/>
      <c r="V46" s="20">
        <f t="shared" si="9"/>
        <v>6.1894778618865645E-5</v>
      </c>
      <c r="W46" s="3"/>
      <c r="X46" s="3">
        <f t="shared" si="10"/>
        <v>-125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","5583"," - ","FREIGHT-IN-COMPUTER EQUIPMENT")</f>
        <v xml:space="preserve">          5583 - FREIGHT-IN-COMPUTER EQUIPMENT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>
        <v>242.46</v>
      </c>
      <c r="U47" s="3"/>
      <c r="V47" s="20">
        <f t="shared" si="9"/>
        <v>1.2005606419144131E-4</v>
      </c>
      <c r="W47" s="3"/>
      <c r="X47" s="3">
        <f t="shared" si="10"/>
        <v>-242.46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","5585"," - ","FREIGHT-IN-SOFTWARE")</f>
        <v xml:space="preserve">          5585 - FREIGHT-IN-SOFTWARE</v>
      </c>
      <c r="C48" s="12"/>
      <c r="D48" s="3"/>
      <c r="E48" s="3"/>
      <c r="F48" s="20">
        <f t="shared" si="4"/>
        <v>0</v>
      </c>
      <c r="G48" s="3"/>
      <c r="H48" s="3">
        <v>9.41</v>
      </c>
      <c r="I48" s="3"/>
      <c r="J48" s="20">
        <f t="shared" si="5"/>
        <v>2.1930373464704893E-5</v>
      </c>
      <c r="K48" s="3"/>
      <c r="L48" s="3">
        <f t="shared" si="6"/>
        <v>-9.41</v>
      </c>
      <c r="M48" s="3"/>
      <c r="N48" s="20">
        <f t="shared" si="7"/>
        <v>-1</v>
      </c>
      <c r="O48" s="12"/>
      <c r="P48" s="3"/>
      <c r="Q48" s="3"/>
      <c r="R48" s="20">
        <f t="shared" si="8"/>
        <v>0</v>
      </c>
      <c r="S48" s="3"/>
      <c r="T48" s="3">
        <v>9.41</v>
      </c>
      <c r="U48" s="3"/>
      <c r="V48" s="20">
        <f t="shared" si="9"/>
        <v>4.6594389344282054E-6</v>
      </c>
      <c r="W48" s="3"/>
      <c r="X48" s="3">
        <f t="shared" si="10"/>
        <v>-9.41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","5586"," - ","FREIGHT-IN-COMPUTER SUPPLIES")</f>
        <v xml:space="preserve">          5586 - FREIGHT-IN-COMPUTER SUPPLIES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24.12</v>
      </c>
      <c r="U49" s="3"/>
      <c r="V49" s="20">
        <f t="shared" si="9"/>
        <v>1.1943216482296315E-5</v>
      </c>
      <c r="W49" s="3"/>
      <c r="X49" s="3">
        <f t="shared" si="10"/>
        <v>-24.12</v>
      </c>
      <c r="Y49" s="3"/>
      <c r="Z49" s="20">
        <f t="shared" si="11"/>
        <v>-1</v>
      </c>
    </row>
    <row r="50" spans="1:26" ht="15" customHeight="1" x14ac:dyDescent="0.3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7" t="s">
        <v>288</v>
      </c>
      <c r="C51" s="27"/>
      <c r="D51" s="22">
        <f>D12-D35</f>
        <v>85962.100000000035</v>
      </c>
      <c r="E51" s="15"/>
      <c r="F51" s="21">
        <f>IF(D$12=0,0,D51/D$12)</f>
        <v>0.18822628257881757</v>
      </c>
      <c r="G51" s="15"/>
      <c r="H51" s="22">
        <f>H12-H35</f>
        <v>73059.260000000009</v>
      </c>
      <c r="I51" s="15"/>
      <c r="J51" s="21">
        <f>IF(H$12=0,0,H51/H$12)</f>
        <v>0.17026746619075195</v>
      </c>
      <c r="K51" s="17"/>
      <c r="L51" s="22">
        <f>+D51-H51</f>
        <v>12902.840000000026</v>
      </c>
      <c r="M51" s="17"/>
      <c r="N51" s="21">
        <f>IF(H51=0,0,L51/H51)</f>
        <v>0.17660786599809558</v>
      </c>
      <c r="O51" s="28"/>
      <c r="P51" s="22">
        <f>P12-P35</f>
        <v>273699.52</v>
      </c>
      <c r="Q51" s="15"/>
      <c r="R51" s="21">
        <f>IF(P$12=0,0,P51/P$12)</f>
        <v>0.15635756724679692</v>
      </c>
      <c r="S51" s="15"/>
      <c r="T51" s="22">
        <f>T12-T35</f>
        <v>155034.62000000011</v>
      </c>
      <c r="U51" s="15"/>
      <c r="V51" s="21">
        <f>IF(T$12=0,0,T51/T$12)</f>
        <v>7.6766667865279734E-2</v>
      </c>
      <c r="W51" s="17"/>
      <c r="X51" s="22">
        <f>+P51-T51</f>
        <v>118664.89999999991</v>
      </c>
      <c r="Y51" s="17"/>
      <c r="Z51" s="21">
        <f>IF(T51=0,0,X51/T51)</f>
        <v>0.76540904218683425</v>
      </c>
    </row>
    <row r="52" spans="1:26" ht="15" customHeight="1" x14ac:dyDescent="0.3">
      <c r="A52" s="10"/>
      <c r="B52" s="11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36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62" customFormat="1" ht="15" customHeight="1" x14ac:dyDescent="0.3">
      <c r="A53" s="11"/>
      <c r="B53" s="28" t="s">
        <v>289</v>
      </c>
      <c r="C53" s="11"/>
      <c r="D53" s="23" cm="1">
        <f t="array" ref="D53">SUM(OSRRefD22x_0)</f>
        <v>16839.859999999997</v>
      </c>
      <c r="E53" s="23"/>
      <c r="F53" s="35">
        <f t="shared" ref="F53:F93" si="12">IF(D$12=0,0,D53/D$12)</f>
        <v>3.6873276094322088E-2</v>
      </c>
      <c r="G53" s="23"/>
      <c r="H53" s="23" cm="1">
        <f t="array" ref="H53">SUM(OSRRefH22x_0)</f>
        <v>16950.63</v>
      </c>
      <c r="I53" s="23"/>
      <c r="J53" s="35">
        <f t="shared" ref="J53:J93" si="13">IF(H$12=0,0,H53/H$12)</f>
        <v>3.9504106946018143E-2</v>
      </c>
      <c r="K53" s="5"/>
      <c r="L53" s="23">
        <f t="shared" ref="L53:L93" si="14">+D53-H53</f>
        <v>-110.77000000000407</v>
      </c>
      <c r="M53" s="5"/>
      <c r="N53" s="35">
        <f t="shared" ref="N53:N93" si="15">IF(H53=0,0,L53/H53)</f>
        <v>-6.5348603562229877E-3</v>
      </c>
      <c r="O53" s="11"/>
      <c r="P53" s="23" cm="1">
        <f t="array" ref="P53">SUM(OSRRefP22x_0)</f>
        <v>132654.92000000001</v>
      </c>
      <c r="Q53" s="23"/>
      <c r="R53" s="35">
        <f t="shared" ref="R53:R93" si="16">IF(P$12=0,0,P53/P$12)</f>
        <v>7.5782378334161737E-2</v>
      </c>
      <c r="S53" s="23"/>
      <c r="T53" s="23" cm="1">
        <f t="array" ref="T53">SUM(OSRRefT22x_0)</f>
        <v>124058.65000000001</v>
      </c>
      <c r="U53" s="23"/>
      <c r="V53" s="35">
        <f t="shared" ref="V53:V93" si="17">IF(T$12=0,0,T53/T$12)</f>
        <v>6.1428661420042698E-2</v>
      </c>
      <c r="W53" s="5"/>
      <c r="X53" s="23">
        <f t="shared" ref="X53:X93" si="18">+P53-T53</f>
        <v>8596.2700000000041</v>
      </c>
      <c r="Y53" s="5"/>
      <c r="Z53" s="35">
        <f t="shared" ref="Z53:Z93" si="19">IF(T53=0,0,X53/T53)</f>
        <v>6.9291984073661966E-2</v>
      </c>
    </row>
    <row r="54" spans="1:26" s="68" customFormat="1" ht="15" customHeight="1" outlineLevel="1" collapsed="1" x14ac:dyDescent="0.3">
      <c r="A54" s="26"/>
      <c r="B54" s="14" t="str">
        <f>CONCATENATE("     ","*Benefits                                         ")</f>
        <v xml:space="preserve">     *Benefits                                         </v>
      </c>
      <c r="C54" s="14"/>
      <c r="D54" s="2">
        <f>SUM(OSRRefD22_0x_0)</f>
        <v>3279.8099999999995</v>
      </c>
      <c r="E54" s="2"/>
      <c r="F54" s="6">
        <f t="shared" si="12"/>
        <v>7.181611941365222E-3</v>
      </c>
      <c r="G54" s="2"/>
      <c r="H54" s="2">
        <f>SUM(OSRRefH22_0x_0)</f>
        <v>2924.3900000000003</v>
      </c>
      <c r="I54" s="2"/>
      <c r="J54" s="6">
        <f t="shared" si="13"/>
        <v>6.8154054045109829E-3</v>
      </c>
      <c r="K54" s="2"/>
      <c r="L54" s="2">
        <f t="shared" si="14"/>
        <v>355.41999999999916</v>
      </c>
      <c r="M54" s="2"/>
      <c r="N54" s="6">
        <f t="shared" si="15"/>
        <v>0.1215364571756842</v>
      </c>
      <c r="O54" s="14"/>
      <c r="P54" s="2">
        <f>SUM(OSRRefP22_0x_0)</f>
        <v>23248.16</v>
      </c>
      <c r="Q54" s="2"/>
      <c r="R54" s="6">
        <f t="shared" si="16"/>
        <v>1.3281081898003672E-2</v>
      </c>
      <c r="S54" s="2"/>
      <c r="T54" s="2">
        <f>SUM(OSRRefT22_0x_0)</f>
        <v>26222.32</v>
      </c>
      <c r="U54" s="2"/>
      <c r="V54" s="6">
        <f t="shared" si="17"/>
        <v>1.2984197530184424E-2</v>
      </c>
      <c r="W54" s="2"/>
      <c r="X54" s="2">
        <f t="shared" si="18"/>
        <v>-2974.16</v>
      </c>
      <c r="Y54" s="2"/>
      <c r="Z54" s="6">
        <f t="shared" si="19"/>
        <v>-0.11342093300669048</v>
      </c>
    </row>
    <row r="55" spans="1:26" s="69" customFormat="1" ht="15" hidden="1" customHeight="1" outlineLevel="2" x14ac:dyDescent="0.3">
      <c r="A55" s="25"/>
      <c r="B55" s="12" t="str">
        <f>CONCATENATE("          ","6111"," - ","F.I.C.A.")</f>
        <v xml:space="preserve">          6111 - F.I.C.A.</v>
      </c>
      <c r="C55" s="12"/>
      <c r="D55" s="8">
        <v>606.14</v>
      </c>
      <c r="E55" s="3"/>
      <c r="F55" s="7">
        <f t="shared" si="12"/>
        <v>1.3272300109271927E-3</v>
      </c>
      <c r="G55" s="3"/>
      <c r="H55" s="8">
        <v>449.24</v>
      </c>
      <c r="I55" s="3"/>
      <c r="J55" s="7">
        <f t="shared" si="13"/>
        <v>1.0469714107634459E-3</v>
      </c>
      <c r="K55" s="3"/>
      <c r="L55" s="8">
        <f t="shared" si="14"/>
        <v>156.89999999999998</v>
      </c>
      <c r="M55" s="3"/>
      <c r="N55" s="7">
        <f t="shared" si="15"/>
        <v>0.34925652212625763</v>
      </c>
      <c r="O55" s="12"/>
      <c r="P55" s="8">
        <v>4893.68</v>
      </c>
      <c r="Q55" s="3"/>
      <c r="R55" s="7">
        <f t="shared" si="16"/>
        <v>2.7956347884143351E-3</v>
      </c>
      <c r="S55" s="3"/>
      <c r="T55" s="8">
        <v>4738.08</v>
      </c>
      <c r="U55" s="3"/>
      <c r="V55" s="7">
        <f t="shared" si="17"/>
        <v>2.3460993014277993E-3</v>
      </c>
      <c r="W55" s="3"/>
      <c r="X55" s="8">
        <f t="shared" si="18"/>
        <v>155.60000000000036</v>
      </c>
      <c r="Y55" s="3"/>
      <c r="Z55" s="7">
        <f t="shared" si="19"/>
        <v>3.2840306622091725E-2</v>
      </c>
    </row>
    <row r="56" spans="1:26" s="69" customFormat="1" ht="15" hidden="1" customHeight="1" outlineLevel="2" x14ac:dyDescent="0.3">
      <c r="A56" s="25"/>
      <c r="B56" s="12" t="str">
        <f>CONCATENATE("          ","6112"," - ","COMPENSATION INSURANCE")</f>
        <v xml:space="preserve">          6112 - COMPENSATION INSURANCE</v>
      </c>
      <c r="C56" s="12"/>
      <c r="D56" s="8">
        <v>149.75</v>
      </c>
      <c r="E56" s="3"/>
      <c r="F56" s="7">
        <f t="shared" si="12"/>
        <v>3.2789899055720974E-4</v>
      </c>
      <c r="G56" s="3"/>
      <c r="H56" s="8">
        <v>184.54</v>
      </c>
      <c r="I56" s="3"/>
      <c r="J56" s="7">
        <f t="shared" si="13"/>
        <v>4.3007769598051444E-4</v>
      </c>
      <c r="K56" s="3"/>
      <c r="L56" s="8">
        <f t="shared" si="14"/>
        <v>-34.789999999999992</v>
      </c>
      <c r="M56" s="3"/>
      <c r="N56" s="7">
        <f t="shared" si="15"/>
        <v>-0.18852281348217184</v>
      </c>
      <c r="O56" s="12"/>
      <c r="P56" s="8">
        <v>1299.0999999999999</v>
      </c>
      <c r="Q56" s="3"/>
      <c r="R56" s="7">
        <f t="shared" si="16"/>
        <v>7.4214275425223196E-4</v>
      </c>
      <c r="S56" s="3"/>
      <c r="T56" s="8">
        <v>1358.75</v>
      </c>
      <c r="U56" s="3"/>
      <c r="V56" s="7">
        <f t="shared" si="17"/>
        <v>6.727962435870696E-4</v>
      </c>
      <c r="W56" s="3"/>
      <c r="X56" s="8">
        <f t="shared" si="18"/>
        <v>-59.650000000000091</v>
      </c>
      <c r="Y56" s="3"/>
      <c r="Z56" s="7">
        <f t="shared" si="19"/>
        <v>-4.3900643974241101E-2</v>
      </c>
    </row>
    <row r="57" spans="1:26" s="69" customFormat="1" ht="15" hidden="1" customHeight="1" outlineLevel="2" x14ac:dyDescent="0.3">
      <c r="A57" s="25"/>
      <c r="B57" s="12" t="str">
        <f>CONCATENATE("          ","6113"," - ","GROUP INSURANCE")</f>
        <v xml:space="preserve">          6113 - GROUP INSURANCE</v>
      </c>
      <c r="C57" s="12"/>
      <c r="D57" s="8">
        <v>1539.12</v>
      </c>
      <c r="E57" s="3"/>
      <c r="F57" s="7">
        <f t="shared" si="12"/>
        <v>3.3701228336989156E-3</v>
      </c>
      <c r="G57" s="3"/>
      <c r="H57" s="8">
        <v>1053.8499999999999</v>
      </c>
      <c r="I57" s="3"/>
      <c r="J57" s="7">
        <f t="shared" si="13"/>
        <v>2.4560386903059775E-3</v>
      </c>
      <c r="K57" s="3"/>
      <c r="L57" s="8">
        <f t="shared" si="14"/>
        <v>485.27</v>
      </c>
      <c r="M57" s="3"/>
      <c r="N57" s="7">
        <f t="shared" si="15"/>
        <v>0.46047350192152586</v>
      </c>
      <c r="O57" s="12"/>
      <c r="P57" s="8">
        <v>8367.77</v>
      </c>
      <c r="Q57" s="3"/>
      <c r="R57" s="7">
        <f t="shared" si="16"/>
        <v>4.7802939533132163E-3</v>
      </c>
      <c r="S57" s="3"/>
      <c r="T57" s="8">
        <v>9376.33</v>
      </c>
      <c r="U57" s="3"/>
      <c r="V57" s="7">
        <f t="shared" si="17"/>
        <v>4.6427669568594281E-3</v>
      </c>
      <c r="W57" s="3"/>
      <c r="X57" s="8">
        <f t="shared" si="18"/>
        <v>-1008.5599999999995</v>
      </c>
      <c r="Y57" s="3"/>
      <c r="Z57" s="7">
        <f t="shared" si="19"/>
        <v>-0.10756447352002324</v>
      </c>
    </row>
    <row r="58" spans="1:26" s="69" customFormat="1" ht="15" hidden="1" customHeight="1" outlineLevel="2" x14ac:dyDescent="0.3">
      <c r="A58" s="25"/>
      <c r="B58" s="12" t="str">
        <f>CONCATENATE("          ","6114"," - ","STATE UNEMPLOYMENT INSURANCE")</f>
        <v xml:space="preserve">          6114 - STATE UNEMPLOYMENT INSURANCE</v>
      </c>
      <c r="C58" s="12"/>
      <c r="D58" s="8">
        <v>26.31</v>
      </c>
      <c r="E58" s="3"/>
      <c r="F58" s="7">
        <f t="shared" si="12"/>
        <v>5.7609498775026296E-5</v>
      </c>
      <c r="G58" s="3"/>
      <c r="H58" s="8">
        <v>25.93</v>
      </c>
      <c r="I58" s="3"/>
      <c r="J58" s="7">
        <f t="shared" si="13"/>
        <v>6.0430880333666088E-5</v>
      </c>
      <c r="K58" s="3"/>
      <c r="L58" s="8">
        <f t="shared" si="14"/>
        <v>0.37999999999999901</v>
      </c>
      <c r="M58" s="3"/>
      <c r="N58" s="7">
        <f t="shared" si="15"/>
        <v>1.465483995372152E-2</v>
      </c>
      <c r="O58" s="12"/>
      <c r="P58" s="8">
        <v>228.23</v>
      </c>
      <c r="Q58" s="3"/>
      <c r="R58" s="7">
        <f t="shared" si="16"/>
        <v>1.303819881479385E-4</v>
      </c>
      <c r="S58" s="3"/>
      <c r="T58" s="8">
        <v>205.66</v>
      </c>
      <c r="U58" s="3"/>
      <c r="V58" s="7">
        <f t="shared" si="17"/>
        <v>1.0183424136604727E-4</v>
      </c>
      <c r="W58" s="3"/>
      <c r="X58" s="8">
        <f t="shared" si="18"/>
        <v>22.569999999999993</v>
      </c>
      <c r="Y58" s="3"/>
      <c r="Z58" s="7">
        <f t="shared" si="19"/>
        <v>0.1097442380628221</v>
      </c>
    </row>
    <row r="59" spans="1:26" s="69" customFormat="1" ht="15" hidden="1" customHeight="1" outlineLevel="2" x14ac:dyDescent="0.3">
      <c r="A59" s="25"/>
      <c r="B59" s="12" t="str">
        <f>CONCATENATE("          ","6115"," - ","P.E.R.S.")</f>
        <v xml:space="preserve">          6115 - P.E.R.S.</v>
      </c>
      <c r="C59" s="12"/>
      <c r="D59" s="8">
        <v>123.87</v>
      </c>
      <c r="E59" s="3"/>
      <c r="F59" s="7">
        <f t="shared" si="12"/>
        <v>2.7123103813236443E-4</v>
      </c>
      <c r="G59" s="3"/>
      <c r="H59" s="8">
        <v>176.42</v>
      </c>
      <c r="I59" s="3"/>
      <c r="J59" s="7">
        <f t="shared" si="13"/>
        <v>4.1115371802797419E-4</v>
      </c>
      <c r="K59" s="3"/>
      <c r="L59" s="8">
        <f t="shared" si="14"/>
        <v>-52.549999999999983</v>
      </c>
      <c r="M59" s="3"/>
      <c r="N59" s="7">
        <f t="shared" si="15"/>
        <v>-0.29786872236707851</v>
      </c>
      <c r="O59" s="12"/>
      <c r="P59" s="8">
        <v>1038.68</v>
      </c>
      <c r="Q59" s="3"/>
      <c r="R59" s="7">
        <f t="shared" si="16"/>
        <v>5.9337143867809134E-4</v>
      </c>
      <c r="S59" s="3"/>
      <c r="T59" s="8">
        <v>1764.2</v>
      </c>
      <c r="U59" s="3"/>
      <c r="V59" s="7">
        <f t="shared" si="17"/>
        <v>8.7355814751522212E-4</v>
      </c>
      <c r="W59" s="3"/>
      <c r="X59" s="8">
        <f t="shared" si="18"/>
        <v>-725.52</v>
      </c>
      <c r="Y59" s="3"/>
      <c r="Z59" s="7">
        <f t="shared" si="19"/>
        <v>-0.41124589048860671</v>
      </c>
    </row>
    <row r="60" spans="1:26" s="69" customFormat="1" ht="15" hidden="1" customHeight="1" outlineLevel="2" x14ac:dyDescent="0.3">
      <c r="A60" s="25"/>
      <c r="B60" s="12" t="str">
        <f>CONCATENATE("          ","6117"," - ","RETIREMENT STAFF HOURLY")</f>
        <v xml:space="preserve">          6117 - RETIREMENT STAFF HOURLY</v>
      </c>
      <c r="C60" s="12"/>
      <c r="D60" s="8">
        <v>120</v>
      </c>
      <c r="E60" s="3"/>
      <c r="F60" s="7">
        <f t="shared" si="12"/>
        <v>2.627571209807357E-4</v>
      </c>
      <c r="G60" s="3"/>
      <c r="H60" s="8">
        <v>264</v>
      </c>
      <c r="I60" s="3"/>
      <c r="J60" s="7">
        <f t="shared" si="13"/>
        <v>6.1526233737322971E-4</v>
      </c>
      <c r="K60" s="3"/>
      <c r="L60" s="8">
        <f t="shared" si="14"/>
        <v>-144</v>
      </c>
      <c r="M60" s="3"/>
      <c r="N60" s="7">
        <f t="shared" si="15"/>
        <v>-0.54545454545454541</v>
      </c>
      <c r="O60" s="12"/>
      <c r="P60" s="8">
        <v>2.66</v>
      </c>
      <c r="Q60" s="3"/>
      <c r="R60" s="7">
        <f t="shared" si="16"/>
        <v>1.519590275044983E-6</v>
      </c>
      <c r="S60" s="3"/>
      <c r="T60" s="8">
        <v>1721.04</v>
      </c>
      <c r="U60" s="3"/>
      <c r="V60" s="7">
        <f t="shared" si="17"/>
        <v>8.5218711835370023E-4</v>
      </c>
      <c r="W60" s="3"/>
      <c r="X60" s="8">
        <f t="shared" si="18"/>
        <v>-1718.3799999999999</v>
      </c>
      <c r="Y60" s="3"/>
      <c r="Z60" s="7">
        <f t="shared" si="19"/>
        <v>-0.99845442290707942</v>
      </c>
    </row>
    <row r="61" spans="1:26" s="69" customFormat="1" ht="15" hidden="1" customHeight="1" outlineLevel="2" x14ac:dyDescent="0.3">
      <c r="A61" s="25"/>
      <c r="B61" s="12" t="str">
        <f>CONCATENATE("          ","6118"," - ","VACATION")</f>
        <v xml:space="preserve">          6118 - VACATION</v>
      </c>
      <c r="C61" s="12"/>
      <c r="D61" s="8">
        <v>247.46</v>
      </c>
      <c r="E61" s="3"/>
      <c r="F61" s="7">
        <f t="shared" si="12"/>
        <v>5.4184897631577383E-4</v>
      </c>
      <c r="G61" s="3"/>
      <c r="H61" s="8">
        <v>267.04000000000002</v>
      </c>
      <c r="I61" s="3"/>
      <c r="J61" s="7">
        <f t="shared" si="13"/>
        <v>6.2234717640964881E-4</v>
      </c>
      <c r="K61" s="3"/>
      <c r="L61" s="8">
        <f t="shared" si="14"/>
        <v>-19.580000000000013</v>
      </c>
      <c r="M61" s="3"/>
      <c r="N61" s="7">
        <f t="shared" si="15"/>
        <v>-7.3322348711803514E-2</v>
      </c>
      <c r="O61" s="12"/>
      <c r="P61" s="8">
        <v>2540.4299999999998</v>
      </c>
      <c r="Q61" s="3"/>
      <c r="R61" s="7">
        <f t="shared" si="16"/>
        <v>1.4512829783580922E-3</v>
      </c>
      <c r="S61" s="3"/>
      <c r="T61" s="8">
        <v>2490.66</v>
      </c>
      <c r="U61" s="3"/>
      <c r="V61" s="7">
        <f t="shared" si="17"/>
        <v>1.2332707945189112E-3</v>
      </c>
      <c r="W61" s="3"/>
      <c r="X61" s="8">
        <f t="shared" si="18"/>
        <v>49.769999999999982</v>
      </c>
      <c r="Y61" s="3"/>
      <c r="Z61" s="7">
        <f t="shared" si="19"/>
        <v>1.9982655199826546E-2</v>
      </c>
    </row>
    <row r="62" spans="1:26" s="69" customFormat="1" ht="15" hidden="1" customHeight="1" outlineLevel="2" x14ac:dyDescent="0.3">
      <c r="A62" s="25"/>
      <c r="B62" s="12" t="str">
        <f>CONCATENATE("          ","6119"," - ","SICK LEAVE")</f>
        <v xml:space="preserve">          6119 - SICK LEAVE</v>
      </c>
      <c r="C62" s="12"/>
      <c r="D62" s="8">
        <v>228.77</v>
      </c>
      <c r="E62" s="3"/>
      <c r="F62" s="7">
        <f t="shared" si="12"/>
        <v>5.0092455472302417E-4</v>
      </c>
      <c r="G62" s="3"/>
      <c r="H62" s="8">
        <v>267.63</v>
      </c>
      <c r="I62" s="3"/>
      <c r="J62" s="7">
        <f t="shared" si="13"/>
        <v>6.2372219451211166E-4</v>
      </c>
      <c r="K62" s="3"/>
      <c r="L62" s="8">
        <f t="shared" si="14"/>
        <v>-38.859999999999985</v>
      </c>
      <c r="M62" s="3"/>
      <c r="N62" s="7">
        <f t="shared" si="15"/>
        <v>-0.14520046332623393</v>
      </c>
      <c r="O62" s="12"/>
      <c r="P62" s="8">
        <v>3303.21</v>
      </c>
      <c r="Q62" s="3"/>
      <c r="R62" s="7">
        <f t="shared" si="16"/>
        <v>1.8870397715907285E-3</v>
      </c>
      <c r="S62" s="3"/>
      <c r="T62" s="8">
        <v>2487.1799999999998</v>
      </c>
      <c r="U62" s="3"/>
      <c r="V62" s="7">
        <f t="shared" si="17"/>
        <v>1.2315476438821619E-3</v>
      </c>
      <c r="W62" s="3"/>
      <c r="X62" s="8">
        <f t="shared" si="18"/>
        <v>816.0300000000002</v>
      </c>
      <c r="Y62" s="3"/>
      <c r="Z62" s="7">
        <f t="shared" si="19"/>
        <v>0.32809446843413032</v>
      </c>
    </row>
    <row r="63" spans="1:26" s="69" customFormat="1" ht="15" hidden="1" customHeight="1" outlineLevel="2" x14ac:dyDescent="0.3">
      <c r="A63" s="25"/>
      <c r="B63" s="12" t="str">
        <f>CONCATENATE("          ","6156"," - ","EMPLOYEE MEALS")</f>
        <v xml:space="preserve">          6156 - EMPLOYEE MEALS</v>
      </c>
      <c r="C63" s="12"/>
      <c r="D63" s="8">
        <v>238.39</v>
      </c>
      <c r="E63" s="3"/>
      <c r="F63" s="7">
        <f t="shared" si="12"/>
        <v>5.2198891725497979E-4</v>
      </c>
      <c r="G63" s="3"/>
      <c r="H63" s="8">
        <v>235.74</v>
      </c>
      <c r="I63" s="3"/>
      <c r="J63" s="7">
        <f t="shared" si="13"/>
        <v>5.4940130080441353E-4</v>
      </c>
      <c r="K63" s="3"/>
      <c r="L63" s="8">
        <f t="shared" si="14"/>
        <v>2.6499999999999773</v>
      </c>
      <c r="M63" s="3"/>
      <c r="N63" s="7">
        <f t="shared" si="15"/>
        <v>1.1241197929922699E-2</v>
      </c>
      <c r="O63" s="12"/>
      <c r="P63" s="8">
        <v>1574.4</v>
      </c>
      <c r="Q63" s="3"/>
      <c r="R63" s="7">
        <f t="shared" si="16"/>
        <v>8.9941463497399284E-4</v>
      </c>
      <c r="S63" s="3"/>
      <c r="T63" s="8">
        <v>2080.42</v>
      </c>
      <c r="U63" s="3"/>
      <c r="V63" s="7">
        <f t="shared" si="17"/>
        <v>1.0301370826740837E-3</v>
      </c>
      <c r="W63" s="3"/>
      <c r="X63" s="8">
        <f t="shared" si="18"/>
        <v>-506.02</v>
      </c>
      <c r="Y63" s="3"/>
      <c r="Z63" s="7">
        <f t="shared" si="19"/>
        <v>-0.24322973245786908</v>
      </c>
    </row>
    <row r="64" spans="1:26" s="68" customFormat="1" ht="15" customHeight="1" outlineLevel="1" collapsed="1" x14ac:dyDescent="0.3">
      <c r="A64" s="26"/>
      <c r="B64" s="14" t="str">
        <f>CONCATENATE("     ","*Payroll                                          ")</f>
        <v xml:space="preserve">     *Payroll                                          </v>
      </c>
      <c r="C64" s="14"/>
      <c r="D64" s="2">
        <f>SUM(OSRRefD22_1x_0)</f>
        <v>11228.220000000001</v>
      </c>
      <c r="E64" s="2"/>
      <c r="F64" s="6">
        <f t="shared" si="12"/>
        <v>2.4585789674485971E-2</v>
      </c>
      <c r="G64" s="2"/>
      <c r="H64" s="2">
        <f>SUM(OSRRefH22_1x_0)</f>
        <v>8405.5</v>
      </c>
      <c r="I64" s="2"/>
      <c r="J64" s="6">
        <f t="shared" si="13"/>
        <v>1.9589346881782887E-2</v>
      </c>
      <c r="K64" s="2"/>
      <c r="L64" s="2">
        <f t="shared" si="14"/>
        <v>2822.7200000000012</v>
      </c>
      <c r="M64" s="2"/>
      <c r="N64" s="6">
        <f t="shared" si="15"/>
        <v>0.33581821426446984</v>
      </c>
      <c r="O64" s="14"/>
      <c r="P64" s="2">
        <f>SUM(OSRRefP22_1x_0)</f>
        <v>92305.21</v>
      </c>
      <c r="Q64" s="2"/>
      <c r="R64" s="6">
        <f t="shared" si="16"/>
        <v>5.2731616335332673E-2</v>
      </c>
      <c r="S64" s="2"/>
      <c r="T64" s="2">
        <f>SUM(OSRRefT22_1x_0)</f>
        <v>73810.960000000006</v>
      </c>
      <c r="U64" s="2"/>
      <c r="V64" s="6">
        <f t="shared" si="17"/>
        <v>3.6548104230767584E-2</v>
      </c>
      <c r="W64" s="2"/>
      <c r="X64" s="2">
        <f t="shared" si="18"/>
        <v>18494.25</v>
      </c>
      <c r="Y64" s="2"/>
      <c r="Z64" s="6">
        <f t="shared" si="19"/>
        <v>0.25056238260551006</v>
      </c>
    </row>
    <row r="65" spans="1:26" s="69" customFormat="1" ht="15" hidden="1" customHeight="1" outlineLevel="2" x14ac:dyDescent="0.3">
      <c r="A65" s="25"/>
      <c r="B65" s="12" t="str">
        <f>CONCATENATE("          ","6002"," - ","STAFF SALARIES")</f>
        <v xml:space="preserve">          6002 - STAFF SALARIES</v>
      </c>
      <c r="C65" s="12"/>
      <c r="D65" s="8">
        <v>1632</v>
      </c>
      <c r="E65" s="3"/>
      <c r="F65" s="7">
        <f t="shared" si="12"/>
        <v>3.5734968453380055E-3</v>
      </c>
      <c r="G65" s="3"/>
      <c r="H65" s="8">
        <v>2357.3000000000002</v>
      </c>
      <c r="I65" s="3"/>
      <c r="J65" s="7">
        <f t="shared" si="13"/>
        <v>5.4937799541284645E-3</v>
      </c>
      <c r="K65" s="3"/>
      <c r="L65" s="8">
        <f t="shared" si="14"/>
        <v>-725.30000000000018</v>
      </c>
      <c r="M65" s="3"/>
      <c r="N65" s="7">
        <f t="shared" si="15"/>
        <v>-0.30768251813515468</v>
      </c>
      <c r="O65" s="12"/>
      <c r="P65" s="8">
        <v>16584.939999999999</v>
      </c>
      <c r="Q65" s="3"/>
      <c r="R65" s="7">
        <f t="shared" si="16"/>
        <v>9.4745539609791488E-3</v>
      </c>
      <c r="S65" s="3"/>
      <c r="T65" s="8">
        <v>20880.25</v>
      </c>
      <c r="U65" s="3"/>
      <c r="V65" s="7">
        <f t="shared" si="17"/>
        <v>1.0339027610052554E-2</v>
      </c>
      <c r="W65" s="3"/>
      <c r="X65" s="8">
        <f t="shared" si="18"/>
        <v>-4295.3100000000013</v>
      </c>
      <c r="Y65" s="3"/>
      <c r="Z65" s="7">
        <f t="shared" si="19"/>
        <v>-0.20571161743753075</v>
      </c>
    </row>
    <row r="66" spans="1:26" s="69" customFormat="1" ht="15" hidden="1" customHeight="1" outlineLevel="2" x14ac:dyDescent="0.3">
      <c r="A66" s="25"/>
      <c r="B66" s="12" t="str">
        <f>CONCATENATE("          ","6004"," - ","STAFF HOURLY")</f>
        <v xml:space="preserve">          6004 - STAFF HOURLY</v>
      </c>
      <c r="C66" s="12"/>
      <c r="D66" s="8">
        <v>3489.49</v>
      </c>
      <c r="E66" s="3"/>
      <c r="F66" s="7">
        <f t="shared" si="12"/>
        <v>7.6407362174255606E-3</v>
      </c>
      <c r="G66" s="3"/>
      <c r="H66" s="8">
        <v>3520</v>
      </c>
      <c r="I66" s="3"/>
      <c r="J66" s="7">
        <f t="shared" si="13"/>
        <v>8.2034978316430623E-3</v>
      </c>
      <c r="K66" s="3"/>
      <c r="L66" s="8">
        <f t="shared" si="14"/>
        <v>-30.510000000000218</v>
      </c>
      <c r="M66" s="3"/>
      <c r="N66" s="7">
        <f t="shared" si="15"/>
        <v>-8.6676136363636989E-3</v>
      </c>
      <c r="O66" s="12"/>
      <c r="P66" s="8">
        <v>28472.639999999999</v>
      </c>
      <c r="Q66" s="3"/>
      <c r="R66" s="7">
        <f t="shared" si="16"/>
        <v>1.6265694304081497E-2</v>
      </c>
      <c r="S66" s="3"/>
      <c r="T66" s="8">
        <v>31720.16</v>
      </c>
      <c r="U66" s="3"/>
      <c r="V66" s="7">
        <f t="shared" si="17"/>
        <v>1.5706498247639977E-2</v>
      </c>
      <c r="W66" s="3"/>
      <c r="X66" s="8">
        <f t="shared" si="18"/>
        <v>-3247.5200000000004</v>
      </c>
      <c r="Y66" s="3"/>
      <c r="Z66" s="7">
        <f t="shared" si="19"/>
        <v>-0.10238031586221509</v>
      </c>
    </row>
    <row r="67" spans="1:26" s="69" customFormat="1" ht="15" hidden="1" customHeight="1" outlineLevel="2" x14ac:dyDescent="0.3">
      <c r="A67" s="25"/>
      <c r="B67" s="12" t="str">
        <f>CONCATENATE("          ","6005"," - ","TEMPORARY WAGES-HOURLY")</f>
        <v xml:space="preserve">          6005 - TEMPORARY WAGES-HOURLY</v>
      </c>
      <c r="C67" s="12"/>
      <c r="D67" s="8">
        <v>1412.76</v>
      </c>
      <c r="E67" s="3"/>
      <c r="F67" s="7">
        <f t="shared" si="12"/>
        <v>3.0934395853062014E-3</v>
      </c>
      <c r="G67" s="3"/>
      <c r="H67" s="8"/>
      <c r="I67" s="3"/>
      <c r="J67" s="7">
        <f t="shared" si="13"/>
        <v>0</v>
      </c>
      <c r="K67" s="3"/>
      <c r="L67" s="8">
        <f t="shared" si="14"/>
        <v>1412.76</v>
      </c>
      <c r="M67" s="3"/>
      <c r="N67" s="7">
        <f t="shared" si="15"/>
        <v>0</v>
      </c>
      <c r="O67" s="12"/>
      <c r="P67" s="8">
        <v>11954.94</v>
      </c>
      <c r="Q67" s="3"/>
      <c r="R67" s="7">
        <f t="shared" si="16"/>
        <v>6.8295528431376942E-3</v>
      </c>
      <c r="S67" s="3"/>
      <c r="T67" s="8"/>
      <c r="U67" s="3"/>
      <c r="V67" s="7">
        <f t="shared" si="17"/>
        <v>0</v>
      </c>
      <c r="W67" s="3"/>
      <c r="X67" s="8">
        <f t="shared" si="18"/>
        <v>11954.94</v>
      </c>
      <c r="Y67" s="3"/>
      <c r="Z67" s="7">
        <f t="shared" si="19"/>
        <v>0</v>
      </c>
    </row>
    <row r="68" spans="1:26" s="69" customFormat="1" ht="15" hidden="1" customHeight="1" outlineLevel="2" x14ac:dyDescent="0.3">
      <c r="A68" s="25"/>
      <c r="B68" s="12" t="str">
        <f>CONCATENATE("          ","6007"," - ","STUDENT HOURLY")</f>
        <v xml:space="preserve">          6007 - STUDENT HOURLY</v>
      </c>
      <c r="C68" s="12"/>
      <c r="D68" s="8">
        <v>4693.97</v>
      </c>
      <c r="E68" s="3"/>
      <c r="F68" s="7">
        <f t="shared" si="12"/>
        <v>1.0278117026416199E-2</v>
      </c>
      <c r="G68" s="3"/>
      <c r="H68" s="8">
        <v>2528.1999999999998</v>
      </c>
      <c r="I68" s="3"/>
      <c r="J68" s="7">
        <f t="shared" si="13"/>
        <v>5.892069096011361E-3</v>
      </c>
      <c r="K68" s="3"/>
      <c r="L68" s="8">
        <f t="shared" si="14"/>
        <v>2165.7700000000004</v>
      </c>
      <c r="M68" s="3"/>
      <c r="N68" s="7">
        <f t="shared" si="15"/>
        <v>0.8566450439047546</v>
      </c>
      <c r="O68" s="12"/>
      <c r="P68" s="8">
        <v>29147.06</v>
      </c>
      <c r="Q68" s="3"/>
      <c r="R68" s="7">
        <f t="shared" si="16"/>
        <v>1.6650973279004742E-2</v>
      </c>
      <c r="S68" s="3"/>
      <c r="T68" s="8">
        <v>21210.55</v>
      </c>
      <c r="U68" s="3"/>
      <c r="V68" s="7">
        <f t="shared" si="17"/>
        <v>1.0502578373075045E-2</v>
      </c>
      <c r="W68" s="3"/>
      <c r="X68" s="8">
        <f t="shared" si="18"/>
        <v>7936.510000000002</v>
      </c>
      <c r="Y68" s="3"/>
      <c r="Z68" s="7">
        <f t="shared" si="19"/>
        <v>0.37417747300282184</v>
      </c>
    </row>
    <row r="69" spans="1:26" s="69" customFormat="1" ht="15" hidden="1" customHeight="1" outlineLevel="2" x14ac:dyDescent="0.3">
      <c r="A69" s="25"/>
      <c r="B69" s="12" t="str">
        <f>CONCATENATE("          ","6008"," - ","STUDENT HOURLY-FICA EXEMPT")</f>
        <v xml:space="preserve">          6008 - STUDENT HOURLY-FICA EXEMPT</v>
      </c>
      <c r="C69" s="12"/>
      <c r="D69" s="8"/>
      <c r="E69" s="3"/>
      <c r="F69" s="7">
        <f t="shared" si="12"/>
        <v>0</v>
      </c>
      <c r="G69" s="3"/>
      <c r="H69" s="8"/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6145.63</v>
      </c>
      <c r="Q69" s="3"/>
      <c r="R69" s="7">
        <f t="shared" si="16"/>
        <v>3.5108419481295855E-3</v>
      </c>
      <c r="S69" s="3"/>
      <c r="T69" s="8"/>
      <c r="U69" s="3"/>
      <c r="V69" s="7">
        <f t="shared" si="17"/>
        <v>0</v>
      </c>
      <c r="W69" s="3"/>
      <c r="X69" s="8">
        <f t="shared" si="18"/>
        <v>6145.63</v>
      </c>
      <c r="Y69" s="3"/>
      <c r="Z69" s="7">
        <f t="shared" si="19"/>
        <v>0</v>
      </c>
    </row>
    <row r="70" spans="1:26" s="68" customFormat="1" ht="15" customHeight="1" outlineLevel="1" collapsed="1" x14ac:dyDescent="0.3">
      <c r="A70" s="26"/>
      <c r="B70" s="14" t="str">
        <f>CONCATENATE("     ","Advertising/Promo                                 ")</f>
        <v xml:space="preserve">     Advertising/Promo                                 </v>
      </c>
      <c r="C70" s="14"/>
      <c r="D70" s="2">
        <f>SUM(OSRRefD22_2x_0)</f>
        <v>1.98</v>
      </c>
      <c r="E70" s="2"/>
      <c r="F70" s="6">
        <f t="shared" si="12"/>
        <v>4.3354924961821385E-6</v>
      </c>
      <c r="G70" s="2"/>
      <c r="H70" s="2">
        <f>SUM(OSRRefH22_2x_0)</f>
        <v>0</v>
      </c>
      <c r="I70" s="2"/>
      <c r="J70" s="6">
        <f t="shared" si="13"/>
        <v>0</v>
      </c>
      <c r="K70" s="2"/>
      <c r="L70" s="2">
        <f t="shared" si="14"/>
        <v>1.98</v>
      </c>
      <c r="M70" s="2"/>
      <c r="N70" s="6">
        <f t="shared" si="15"/>
        <v>0</v>
      </c>
      <c r="O70" s="14"/>
      <c r="P70" s="2">
        <f>SUM(OSRRefP22_2x_0)</f>
        <v>178.97</v>
      </c>
      <c r="Q70" s="2"/>
      <c r="R70" s="6">
        <f t="shared" si="16"/>
        <v>1.0224100433263179E-4</v>
      </c>
      <c r="S70" s="2"/>
      <c r="T70" s="2">
        <f>SUM(OSRRefT22_2x_0)</f>
        <v>598.92999999999995</v>
      </c>
      <c r="U70" s="2"/>
      <c r="V70" s="6">
        <f t="shared" si="17"/>
        <v>2.965651180655776E-4</v>
      </c>
      <c r="W70" s="2"/>
      <c r="X70" s="2">
        <f t="shared" si="18"/>
        <v>-419.95999999999992</v>
      </c>
      <c r="Y70" s="2"/>
      <c r="Z70" s="6">
        <f t="shared" si="19"/>
        <v>-0.70118377773696416</v>
      </c>
    </row>
    <row r="71" spans="1:26" s="69" customFormat="1" ht="15" hidden="1" customHeight="1" outlineLevel="2" x14ac:dyDescent="0.3">
      <c r="A71" s="25"/>
      <c r="B71" s="12" t="str">
        <f>CONCATENATE("          ","6362"," - ","ADVERTISING EXPENSE")</f>
        <v xml:space="preserve">          6362 - ADVERTISING EXPENSE</v>
      </c>
      <c r="C71" s="12"/>
      <c r="D71" s="8">
        <v>1.98</v>
      </c>
      <c r="E71" s="3"/>
      <c r="F71" s="7">
        <f t="shared" si="12"/>
        <v>4.3354924961821385E-6</v>
      </c>
      <c r="G71" s="3"/>
      <c r="H71" s="8"/>
      <c r="I71" s="3"/>
      <c r="J71" s="7">
        <f t="shared" si="13"/>
        <v>0</v>
      </c>
      <c r="K71" s="3"/>
      <c r="L71" s="8">
        <f t="shared" si="14"/>
        <v>1.98</v>
      </c>
      <c r="M71" s="3"/>
      <c r="N71" s="7">
        <f t="shared" si="15"/>
        <v>0</v>
      </c>
      <c r="O71" s="12"/>
      <c r="P71" s="8">
        <v>178.97</v>
      </c>
      <c r="Q71" s="3"/>
      <c r="R71" s="7">
        <f t="shared" si="16"/>
        <v>1.0224100433263179E-4</v>
      </c>
      <c r="S71" s="3"/>
      <c r="T71" s="8">
        <v>598.92999999999995</v>
      </c>
      <c r="U71" s="3"/>
      <c r="V71" s="7">
        <f t="shared" si="17"/>
        <v>2.965651180655776E-4</v>
      </c>
      <c r="W71" s="3"/>
      <c r="X71" s="8">
        <f t="shared" si="18"/>
        <v>-419.95999999999992</v>
      </c>
      <c r="Y71" s="3"/>
      <c r="Z71" s="7">
        <f t="shared" si="19"/>
        <v>-0.70118377773696416</v>
      </c>
    </row>
    <row r="72" spans="1:26" s="68" customFormat="1" ht="15" customHeight="1" outlineLevel="1" collapsed="1" x14ac:dyDescent="0.3">
      <c r="A72" s="26"/>
      <c r="B72" s="14" t="str">
        <f>CONCATENATE("     ","Depreciation                                      ")</f>
        <v xml:space="preserve">     Depreciation                                      </v>
      </c>
      <c r="C72" s="14"/>
      <c r="D72" s="2">
        <f>SUM(OSRRefD22_3x_0)</f>
        <v>280.44</v>
      </c>
      <c r="E72" s="2"/>
      <c r="F72" s="6">
        <f t="shared" si="12"/>
        <v>6.140633917319793E-4</v>
      </c>
      <c r="G72" s="2"/>
      <c r="H72" s="2">
        <f>SUM(OSRRefH22_3x_0)</f>
        <v>280.44</v>
      </c>
      <c r="I72" s="2"/>
      <c r="J72" s="6">
        <f t="shared" si="13"/>
        <v>6.5357640110965353E-4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SUM(OSRRefP22_3x_0)</f>
        <v>2523.96</v>
      </c>
      <c r="Q72" s="2"/>
      <c r="R72" s="6">
        <f t="shared" si="16"/>
        <v>1.4418740866926822E-3</v>
      </c>
      <c r="S72" s="2"/>
      <c r="T72" s="2">
        <f>SUM(OSRRefT22_3x_0)</f>
        <v>2523.96</v>
      </c>
      <c r="U72" s="2"/>
      <c r="V72" s="6">
        <f t="shared" si="17"/>
        <v>1.2497595635429771E-3</v>
      </c>
      <c r="W72" s="2"/>
      <c r="X72" s="2">
        <f t="shared" si="18"/>
        <v>0</v>
      </c>
      <c r="Y72" s="2"/>
      <c r="Z72" s="6">
        <f t="shared" si="19"/>
        <v>0</v>
      </c>
    </row>
    <row r="73" spans="1:26" s="69" customFormat="1" ht="15" hidden="1" customHeight="1" outlineLevel="2" x14ac:dyDescent="0.3">
      <c r="A73" s="25"/>
      <c r="B73" s="12" t="str">
        <f>CONCATENATE("          ","6322"," - ","EQUIPMENT DEPRECIATION EXPENSE")</f>
        <v xml:space="preserve">          6322 - EQUIPMENT DEPRECIATION EXPENSE</v>
      </c>
      <c r="C73" s="12"/>
      <c r="D73" s="8">
        <v>280.44</v>
      </c>
      <c r="E73" s="3"/>
      <c r="F73" s="7">
        <f t="shared" si="12"/>
        <v>6.140633917319793E-4</v>
      </c>
      <c r="G73" s="3"/>
      <c r="H73" s="8">
        <v>280.44</v>
      </c>
      <c r="I73" s="3"/>
      <c r="J73" s="7">
        <f t="shared" si="13"/>
        <v>6.5357640110965353E-4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>
        <v>2523.96</v>
      </c>
      <c r="Q73" s="3"/>
      <c r="R73" s="7">
        <f t="shared" si="16"/>
        <v>1.4418740866926822E-3</v>
      </c>
      <c r="S73" s="3"/>
      <c r="T73" s="8">
        <v>2523.96</v>
      </c>
      <c r="U73" s="3"/>
      <c r="V73" s="7">
        <f t="shared" si="17"/>
        <v>1.2497595635429771E-3</v>
      </c>
      <c r="W73" s="3"/>
      <c r="X73" s="8">
        <f t="shared" si="18"/>
        <v>0</v>
      </c>
      <c r="Y73" s="3"/>
      <c r="Z73" s="7">
        <f t="shared" si="19"/>
        <v>0</v>
      </c>
    </row>
    <row r="74" spans="1:26" s="68" customFormat="1" ht="15" customHeight="1" outlineLevel="1" collapsed="1" x14ac:dyDescent="0.3">
      <c r="A74" s="26"/>
      <c r="B74" s="14" t="str">
        <f>CONCATENATE("     ","Discounts and Markdowns                           ")</f>
        <v xml:space="preserve">     Discounts and Markdowns                           </v>
      </c>
      <c r="C74" s="14"/>
      <c r="D74" s="2">
        <f>SUM(OSRRefD22_4x_0)</f>
        <v>0</v>
      </c>
      <c r="E74" s="2"/>
      <c r="F74" s="6">
        <f t="shared" si="12"/>
        <v>0</v>
      </c>
      <c r="G74" s="2"/>
      <c r="H74" s="2">
        <f>SUM(OSRRefH22_4x_0)</f>
        <v>0</v>
      </c>
      <c r="I74" s="2"/>
      <c r="J74" s="6">
        <f t="shared" si="13"/>
        <v>0</v>
      </c>
      <c r="K74" s="2"/>
      <c r="L74" s="2">
        <f t="shared" si="14"/>
        <v>0</v>
      </c>
      <c r="M74" s="2"/>
      <c r="N74" s="6">
        <f t="shared" si="15"/>
        <v>0</v>
      </c>
      <c r="O74" s="14"/>
      <c r="P74" s="2">
        <f>SUM(OSRRefP22_4x_0)</f>
        <v>0</v>
      </c>
      <c r="Q74" s="2"/>
      <c r="R74" s="6">
        <f t="shared" si="16"/>
        <v>0</v>
      </c>
      <c r="S74" s="2"/>
      <c r="T74" s="2">
        <f>SUM(OSRRefT22_4x_0)</f>
        <v>0</v>
      </c>
      <c r="U74" s="2"/>
      <c r="V74" s="6">
        <f t="shared" si="17"/>
        <v>0</v>
      </c>
      <c r="W74" s="2"/>
      <c r="X74" s="2">
        <f t="shared" si="18"/>
        <v>0</v>
      </c>
      <c r="Y74" s="2"/>
      <c r="Z74" s="6">
        <f t="shared" si="19"/>
        <v>0</v>
      </c>
    </row>
    <row r="75" spans="1:26" s="69" customFormat="1" ht="15" hidden="1" customHeight="1" outlineLevel="2" x14ac:dyDescent="0.3">
      <c r="A75" s="25"/>
      <c r="B75" s="12" t="str">
        <f>CONCATENATE("          ","6382"," - ","DISCOUNTS/MARK DOWNS")</f>
        <v xml:space="preserve">          6382 - DISCOUNTS/MARK DOWNS</v>
      </c>
      <c r="C75" s="12"/>
      <c r="D75" s="8"/>
      <c r="E75" s="3"/>
      <c r="F75" s="7">
        <f t="shared" si="12"/>
        <v>0</v>
      </c>
      <c r="G75" s="3"/>
      <c r="H75" s="8">
        <v>0</v>
      </c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/>
      <c r="Q75" s="3"/>
      <c r="R75" s="7">
        <f t="shared" si="16"/>
        <v>0</v>
      </c>
      <c r="S75" s="3"/>
      <c r="T75" s="8">
        <v>0</v>
      </c>
      <c r="U75" s="3"/>
      <c r="V75" s="7">
        <f t="shared" si="17"/>
        <v>0</v>
      </c>
      <c r="W75" s="3"/>
      <c r="X75" s="8">
        <f t="shared" si="18"/>
        <v>0</v>
      </c>
      <c r="Y75" s="3"/>
      <c r="Z75" s="7">
        <f t="shared" si="19"/>
        <v>0</v>
      </c>
    </row>
    <row r="76" spans="1:26" s="68" customFormat="1" ht="15" customHeight="1" outlineLevel="1" collapsed="1" x14ac:dyDescent="0.3">
      <c r="A76" s="26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SUM(OSRRefD22_5x_0)</f>
        <v>0</v>
      </c>
      <c r="E76" s="2"/>
      <c r="F76" s="6">
        <f t="shared" si="12"/>
        <v>0</v>
      </c>
      <c r="G76" s="2"/>
      <c r="H76" s="2">
        <f>SUM(OSRRefH22_5x_0)</f>
        <v>531.96</v>
      </c>
      <c r="I76" s="2"/>
      <c r="J76" s="6">
        <f t="shared" si="13"/>
        <v>1.2397536098070581E-3</v>
      </c>
      <c r="K76" s="2"/>
      <c r="L76" s="2">
        <f t="shared" si="14"/>
        <v>-531.96</v>
      </c>
      <c r="M76" s="2"/>
      <c r="N76" s="6">
        <f t="shared" si="15"/>
        <v>-1</v>
      </c>
      <c r="O76" s="14"/>
      <c r="P76" s="2">
        <f>SUM(OSRRefP22_5x_0)</f>
        <v>122.13</v>
      </c>
      <c r="Q76" s="2"/>
      <c r="R76" s="6">
        <f t="shared" si="16"/>
        <v>6.9769759507986372E-5</v>
      </c>
      <c r="S76" s="2"/>
      <c r="T76" s="2">
        <f>SUM(OSRRefT22_5x_0)</f>
        <v>1614.29</v>
      </c>
      <c r="U76" s="2"/>
      <c r="V76" s="6">
        <f t="shared" si="17"/>
        <v>7.9932897741318899E-4</v>
      </c>
      <c r="W76" s="2"/>
      <c r="X76" s="2">
        <f t="shared" si="18"/>
        <v>-1492.1599999999999</v>
      </c>
      <c r="Y76" s="2"/>
      <c r="Z76" s="6">
        <f t="shared" si="19"/>
        <v>-0.92434444864305665</v>
      </c>
    </row>
    <row r="77" spans="1:26" s="69" customFormat="1" ht="15" hidden="1" customHeight="1" outlineLevel="2" x14ac:dyDescent="0.3">
      <c r="A77" s="25"/>
      <c r="B77" s="12" t="str">
        <f>CONCATENATE("          ","6305"," - ","FREIGHT OUT")</f>
        <v xml:space="preserve">          6305 - FREIGHT OUT</v>
      </c>
      <c r="C77" s="12"/>
      <c r="D77" s="8"/>
      <c r="E77" s="3"/>
      <c r="F77" s="7">
        <f t="shared" si="12"/>
        <v>0</v>
      </c>
      <c r="G77" s="3"/>
      <c r="H77" s="8">
        <v>531.96</v>
      </c>
      <c r="I77" s="3"/>
      <c r="J77" s="7">
        <f t="shared" si="13"/>
        <v>1.2397536098070581E-3</v>
      </c>
      <c r="K77" s="3"/>
      <c r="L77" s="8">
        <f t="shared" si="14"/>
        <v>-531.96</v>
      </c>
      <c r="M77" s="3"/>
      <c r="N77" s="7">
        <f t="shared" si="15"/>
        <v>-1</v>
      </c>
      <c r="O77" s="12"/>
      <c r="P77" s="8">
        <v>122.13</v>
      </c>
      <c r="Q77" s="3"/>
      <c r="R77" s="7">
        <f t="shared" si="16"/>
        <v>6.9769759507986372E-5</v>
      </c>
      <c r="S77" s="3"/>
      <c r="T77" s="8">
        <v>1601.69</v>
      </c>
      <c r="U77" s="3"/>
      <c r="V77" s="7">
        <f t="shared" si="17"/>
        <v>7.930899837284073E-4</v>
      </c>
      <c r="W77" s="3"/>
      <c r="X77" s="8">
        <f t="shared" si="18"/>
        <v>-1479.56</v>
      </c>
      <c r="Y77" s="3"/>
      <c r="Z77" s="7">
        <f t="shared" si="19"/>
        <v>-0.92374928981263538</v>
      </c>
    </row>
    <row r="78" spans="1:26" s="69" customFormat="1" ht="15" hidden="1" customHeight="1" outlineLevel="2" x14ac:dyDescent="0.3">
      <c r="A78" s="25"/>
      <c r="B78" s="12" t="str">
        <f>CONCATENATE("          ","6307"," - ","POSTAGE")</f>
        <v xml:space="preserve">          6307 - POSTAGE</v>
      </c>
      <c r="C78" s="12"/>
      <c r="D78" s="8"/>
      <c r="E78" s="3"/>
      <c r="F78" s="7">
        <f t="shared" si="12"/>
        <v>0</v>
      </c>
      <c r="G78" s="3"/>
      <c r="H78" s="8"/>
      <c r="I78" s="3"/>
      <c r="J78" s="7">
        <f t="shared" si="13"/>
        <v>0</v>
      </c>
      <c r="K78" s="3"/>
      <c r="L78" s="8">
        <f t="shared" si="14"/>
        <v>0</v>
      </c>
      <c r="M78" s="3"/>
      <c r="N78" s="7">
        <f t="shared" si="15"/>
        <v>0</v>
      </c>
      <c r="O78" s="12"/>
      <c r="P78" s="8"/>
      <c r="Q78" s="3"/>
      <c r="R78" s="7">
        <f t="shared" si="16"/>
        <v>0</v>
      </c>
      <c r="S78" s="3"/>
      <c r="T78" s="8">
        <v>12.6</v>
      </c>
      <c r="U78" s="3"/>
      <c r="V78" s="7">
        <f t="shared" si="17"/>
        <v>6.2389936847816567E-6</v>
      </c>
      <c r="W78" s="3"/>
      <c r="X78" s="8">
        <f t="shared" si="18"/>
        <v>-12.6</v>
      </c>
      <c r="Y78" s="3"/>
      <c r="Z78" s="7">
        <f t="shared" si="19"/>
        <v>-1</v>
      </c>
    </row>
    <row r="79" spans="1:26" s="68" customFormat="1" ht="15" customHeight="1" outlineLevel="1" collapsed="1" x14ac:dyDescent="0.3">
      <c r="A79" s="26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SUM(OSRRefD22_6x_0)</f>
        <v>0</v>
      </c>
      <c r="E79" s="2"/>
      <c r="F79" s="6">
        <f t="shared" si="12"/>
        <v>0</v>
      </c>
      <c r="G79" s="2"/>
      <c r="H79" s="2">
        <f>SUM(OSRRefH22_6x_0)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SUM(OSRRefP22_6x_0)</f>
        <v>0</v>
      </c>
      <c r="Q79" s="2"/>
      <c r="R79" s="6">
        <f t="shared" si="16"/>
        <v>0</v>
      </c>
      <c r="S79" s="2"/>
      <c r="T79" s="2">
        <f>SUM(OSRRefT22_6x_0)</f>
        <v>-30.15</v>
      </c>
      <c r="U79" s="2"/>
      <c r="V79" s="6">
        <f t="shared" si="17"/>
        <v>-1.4929020602870393E-5</v>
      </c>
      <c r="W79" s="2"/>
      <c r="X79" s="2">
        <f t="shared" si="18"/>
        <v>30.15</v>
      </c>
      <c r="Y79" s="2"/>
      <c r="Z79" s="6">
        <f t="shared" si="19"/>
        <v>-1</v>
      </c>
    </row>
    <row r="80" spans="1:26" s="69" customFormat="1" ht="15" hidden="1" customHeight="1" outlineLevel="2" x14ac:dyDescent="0.3">
      <c r="A80" s="25"/>
      <c r="B80" s="12" t="str">
        <f>CONCATENATE("          ","6279"," - ","GENERAL EXPENSE")</f>
        <v xml:space="preserve">          6279 - GENERAL EXPENSE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-30.15</v>
      </c>
      <c r="U80" s="3"/>
      <c r="V80" s="7">
        <f t="shared" si="17"/>
        <v>-1.4929020602870393E-5</v>
      </c>
      <c r="W80" s="3"/>
      <c r="X80" s="8">
        <f t="shared" si="18"/>
        <v>30.15</v>
      </c>
      <c r="Y80" s="3"/>
      <c r="Z80" s="7">
        <f t="shared" si="19"/>
        <v>-1</v>
      </c>
    </row>
    <row r="81" spans="1:26" s="68" customFormat="1" ht="15" customHeight="1" outlineLevel="1" collapsed="1" x14ac:dyDescent="0.3">
      <c r="A81" s="26"/>
      <c r="B81" s="14" t="str">
        <f>CONCATENATE("     ","Inventory Adjustment                              ")</f>
        <v xml:space="preserve">     Inventory Adjustment                              </v>
      </c>
      <c r="C81" s="14"/>
      <c r="D81" s="2">
        <f>SUM(OSRRefD22_7x_0)</f>
        <v>340</v>
      </c>
      <c r="E81" s="2"/>
      <c r="F81" s="6">
        <f t="shared" si="12"/>
        <v>7.4447850944541773E-4</v>
      </c>
      <c r="G81" s="2"/>
      <c r="H81" s="2">
        <f>SUM(OSRRefH22_7x_0)</f>
        <v>1250</v>
      </c>
      <c r="I81" s="2"/>
      <c r="J81" s="6">
        <f t="shared" si="13"/>
        <v>2.9131739458959742E-3</v>
      </c>
      <c r="K81" s="2"/>
      <c r="L81" s="2">
        <f t="shared" si="14"/>
        <v>-910</v>
      </c>
      <c r="M81" s="2"/>
      <c r="N81" s="6">
        <f t="shared" si="15"/>
        <v>-0.72799999999999998</v>
      </c>
      <c r="O81" s="14"/>
      <c r="P81" s="2">
        <f>SUM(OSRRefP22_7x_0)</f>
        <v>7540</v>
      </c>
      <c r="Q81" s="2"/>
      <c r="R81" s="6">
        <f t="shared" si="16"/>
        <v>4.3074100277590869E-3</v>
      </c>
      <c r="S81" s="2"/>
      <c r="T81" s="2">
        <f>SUM(OSRRefT22_7x_0)</f>
        <v>11250</v>
      </c>
      <c r="U81" s="2"/>
      <c r="V81" s="6">
        <f t="shared" si="17"/>
        <v>5.5705300756979078E-3</v>
      </c>
      <c r="W81" s="2"/>
      <c r="X81" s="2">
        <f t="shared" si="18"/>
        <v>-3710</v>
      </c>
      <c r="Y81" s="2"/>
      <c r="Z81" s="6">
        <f t="shared" si="19"/>
        <v>-0.32977777777777778</v>
      </c>
    </row>
    <row r="82" spans="1:26" s="69" customFormat="1" ht="15" hidden="1" customHeight="1" outlineLevel="2" x14ac:dyDescent="0.3">
      <c r="A82" s="25"/>
      <c r="B82" s="12" t="str">
        <f>CONCATENATE("          ","6408"," - ","INVENTORY ADJUSTMENT")</f>
        <v xml:space="preserve">          6408 - INVENTORY ADJUSTMENT</v>
      </c>
      <c r="C82" s="12"/>
      <c r="D82" s="8">
        <v>340</v>
      </c>
      <c r="E82" s="3"/>
      <c r="F82" s="7">
        <f t="shared" si="12"/>
        <v>7.4447850944541773E-4</v>
      </c>
      <c r="G82" s="3"/>
      <c r="H82" s="8">
        <v>1250</v>
      </c>
      <c r="I82" s="3"/>
      <c r="J82" s="7">
        <f t="shared" si="13"/>
        <v>2.9131739458959742E-3</v>
      </c>
      <c r="K82" s="3"/>
      <c r="L82" s="8">
        <f t="shared" si="14"/>
        <v>-910</v>
      </c>
      <c r="M82" s="3"/>
      <c r="N82" s="7">
        <f t="shared" si="15"/>
        <v>-0.72799999999999998</v>
      </c>
      <c r="O82" s="12"/>
      <c r="P82" s="8">
        <v>7540</v>
      </c>
      <c r="Q82" s="3"/>
      <c r="R82" s="7">
        <f t="shared" si="16"/>
        <v>4.3074100277590869E-3</v>
      </c>
      <c r="S82" s="3"/>
      <c r="T82" s="8">
        <v>11250</v>
      </c>
      <c r="U82" s="3"/>
      <c r="V82" s="7">
        <f t="shared" si="17"/>
        <v>5.5705300756979078E-3</v>
      </c>
      <c r="W82" s="3"/>
      <c r="X82" s="8">
        <f t="shared" si="18"/>
        <v>-3710</v>
      </c>
      <c r="Y82" s="3"/>
      <c r="Z82" s="7">
        <f t="shared" si="19"/>
        <v>-0.32977777777777778</v>
      </c>
    </row>
    <row r="83" spans="1:26" s="68" customFormat="1" ht="15" customHeight="1" outlineLevel="1" collapsed="1" x14ac:dyDescent="0.3">
      <c r="A83" s="26"/>
      <c r="B83" s="14" t="str">
        <f>CONCATENATE("     ","Repair and Maintenance                            ")</f>
        <v xml:space="preserve">     Repair and Maintenance                            </v>
      </c>
      <c r="C83" s="14"/>
      <c r="D83" s="2">
        <f>SUM(OSRRefD22_8x_0)</f>
        <v>1550</v>
      </c>
      <c r="E83" s="2"/>
      <c r="F83" s="6">
        <f t="shared" si="12"/>
        <v>3.3939461460011692E-3</v>
      </c>
      <c r="G83" s="2"/>
      <c r="H83" s="2">
        <f>SUM(OSRRefH22_8x_0)</f>
        <v>1550</v>
      </c>
      <c r="I83" s="2"/>
      <c r="J83" s="6">
        <f t="shared" si="13"/>
        <v>3.612335692911008E-3</v>
      </c>
      <c r="K83" s="2"/>
      <c r="L83" s="2">
        <f t="shared" si="14"/>
        <v>0</v>
      </c>
      <c r="M83" s="2"/>
      <c r="N83" s="6">
        <f t="shared" si="15"/>
        <v>0</v>
      </c>
      <c r="O83" s="14"/>
      <c r="P83" s="2">
        <f>SUM(OSRRefP22_8x_0)</f>
        <v>1550</v>
      </c>
      <c r="Q83" s="2"/>
      <c r="R83" s="6">
        <f t="shared" si="16"/>
        <v>8.8547553621042235E-4</v>
      </c>
      <c r="S83" s="2"/>
      <c r="T83" s="2">
        <f>SUM(OSRRefT22_8x_0)</f>
        <v>1550</v>
      </c>
      <c r="U83" s="2"/>
      <c r="V83" s="6">
        <f t="shared" si="17"/>
        <v>7.6749525487393401E-4</v>
      </c>
      <c r="W83" s="2"/>
      <c r="X83" s="2">
        <f t="shared" si="18"/>
        <v>0</v>
      </c>
      <c r="Y83" s="2"/>
      <c r="Z83" s="6">
        <f t="shared" si="19"/>
        <v>0</v>
      </c>
    </row>
    <row r="84" spans="1:26" s="69" customFormat="1" ht="15" hidden="1" customHeight="1" outlineLevel="2" x14ac:dyDescent="0.3">
      <c r="A84" s="25"/>
      <c r="B84" s="12" t="str">
        <f>CONCATENATE("          ","6371"," - ","COMPUTER SOFTWARE MAINTENANCE")</f>
        <v xml:space="preserve">          6371 - COMPUTER SOFTWARE MAINTENANCE</v>
      </c>
      <c r="C84" s="12"/>
      <c r="D84" s="8">
        <v>1550</v>
      </c>
      <c r="E84" s="3"/>
      <c r="F84" s="7">
        <f t="shared" si="12"/>
        <v>3.3939461460011692E-3</v>
      </c>
      <c r="G84" s="3"/>
      <c r="H84" s="8">
        <v>1550</v>
      </c>
      <c r="I84" s="3"/>
      <c r="J84" s="7">
        <f t="shared" si="13"/>
        <v>3.612335692911008E-3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>
        <v>1550</v>
      </c>
      <c r="Q84" s="3"/>
      <c r="R84" s="7">
        <f t="shared" si="16"/>
        <v>8.8547553621042235E-4</v>
      </c>
      <c r="S84" s="3"/>
      <c r="T84" s="8">
        <v>1550</v>
      </c>
      <c r="U84" s="3"/>
      <c r="V84" s="7">
        <f t="shared" si="17"/>
        <v>7.6749525487393401E-4</v>
      </c>
      <c r="W84" s="3"/>
      <c r="X84" s="8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6"/>
      <c r="B85" s="14" t="str">
        <f>CONCATENATE("     ","Supplies                                          ")</f>
        <v xml:space="preserve">     Supplies                                          </v>
      </c>
      <c r="C85" s="14"/>
      <c r="D85" s="2">
        <f>SUM(OSRRefD22_9x_0)</f>
        <v>0</v>
      </c>
      <c r="E85" s="2"/>
      <c r="F85" s="6">
        <f t="shared" si="12"/>
        <v>0</v>
      </c>
      <c r="G85" s="2"/>
      <c r="H85" s="2">
        <f>SUM(OSRRefH22_9x_0)</f>
        <v>1733.49</v>
      </c>
      <c r="I85" s="2"/>
      <c r="J85" s="6">
        <f t="shared" si="13"/>
        <v>4.03996632277697E-3</v>
      </c>
      <c r="K85" s="2"/>
      <c r="L85" s="2">
        <f t="shared" si="14"/>
        <v>-1733.49</v>
      </c>
      <c r="M85" s="2"/>
      <c r="N85" s="6">
        <f t="shared" si="15"/>
        <v>-1</v>
      </c>
      <c r="O85" s="14"/>
      <c r="P85" s="2">
        <f>SUM(OSRRefP22_9x_0)</f>
        <v>3381.75</v>
      </c>
      <c r="Q85" s="2"/>
      <c r="R85" s="6">
        <f t="shared" si="16"/>
        <v>1.9319076739223197E-3</v>
      </c>
      <c r="S85" s="2"/>
      <c r="T85" s="2">
        <f>SUM(OSRRefT22_9x_0)</f>
        <v>3812.09</v>
      </c>
      <c r="U85" s="2"/>
      <c r="V85" s="6">
        <f t="shared" si="17"/>
        <v>1.8875877330015323E-3</v>
      </c>
      <c r="W85" s="2"/>
      <c r="X85" s="2">
        <f t="shared" si="18"/>
        <v>-430.34000000000015</v>
      </c>
      <c r="Y85" s="2"/>
      <c r="Z85" s="6">
        <f t="shared" si="19"/>
        <v>-0.1128882056824472</v>
      </c>
    </row>
    <row r="86" spans="1:26" s="69" customFormat="1" ht="15" hidden="1" customHeight="1" outlineLevel="2" x14ac:dyDescent="0.3">
      <c r="A86" s="25"/>
      <c r="B86" s="12" t="str">
        <f>CONCATENATE("          ","6234"," - ","EXPENDABLE SUPPLIES &amp; EQUIPMEN")</f>
        <v xml:space="preserve">          6234 - EXPENDABLE SUPPLIES &amp; EQUIPMEN</v>
      </c>
      <c r="C86" s="12"/>
      <c r="D86" s="8"/>
      <c r="E86" s="3"/>
      <c r="F86" s="7">
        <f t="shared" si="12"/>
        <v>0</v>
      </c>
      <c r="G86" s="3"/>
      <c r="H86" s="8">
        <v>1733.49</v>
      </c>
      <c r="I86" s="3"/>
      <c r="J86" s="7">
        <f t="shared" si="13"/>
        <v>4.03996632277697E-3</v>
      </c>
      <c r="K86" s="3"/>
      <c r="L86" s="8">
        <f t="shared" si="14"/>
        <v>-1733.49</v>
      </c>
      <c r="M86" s="3"/>
      <c r="N86" s="7">
        <f t="shared" si="15"/>
        <v>-1</v>
      </c>
      <c r="O86" s="12"/>
      <c r="P86" s="8"/>
      <c r="Q86" s="3"/>
      <c r="R86" s="7">
        <f t="shared" si="16"/>
        <v>0</v>
      </c>
      <c r="S86" s="3"/>
      <c r="T86" s="8">
        <v>1733.49</v>
      </c>
      <c r="U86" s="3"/>
      <c r="V86" s="7">
        <f t="shared" si="17"/>
        <v>8.5835183830413925E-4</v>
      </c>
      <c r="W86" s="3"/>
      <c r="X86" s="8">
        <f t="shared" si="18"/>
        <v>-1733.49</v>
      </c>
      <c r="Y86" s="3"/>
      <c r="Z86" s="7">
        <f t="shared" si="19"/>
        <v>-1</v>
      </c>
    </row>
    <row r="87" spans="1:26" s="69" customFormat="1" ht="15" hidden="1" customHeight="1" outlineLevel="2" x14ac:dyDescent="0.3">
      <c r="A87" s="25"/>
      <c r="B87" s="12" t="str">
        <f>CONCATENATE("          ","6235"," - ","COVID-19 EXPENSES")</f>
        <v xml:space="preserve">          6235 - COVID-19 EXPENSES</v>
      </c>
      <c r="C87" s="12"/>
      <c r="D87" s="8"/>
      <c r="E87" s="3"/>
      <c r="F87" s="7">
        <f t="shared" si="12"/>
        <v>0</v>
      </c>
      <c r="G87" s="3"/>
      <c r="H87" s="8"/>
      <c r="I87" s="3"/>
      <c r="J87" s="7">
        <f t="shared" si="13"/>
        <v>0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/>
      <c r="Q87" s="3"/>
      <c r="R87" s="7">
        <f t="shared" si="16"/>
        <v>0</v>
      </c>
      <c r="S87" s="3"/>
      <c r="T87" s="8">
        <v>668.12</v>
      </c>
      <c r="U87" s="3"/>
      <c r="V87" s="7">
        <f t="shared" si="17"/>
        <v>3.3082511592669211E-4</v>
      </c>
      <c r="W87" s="3"/>
      <c r="X87" s="8">
        <f t="shared" si="18"/>
        <v>-668.12</v>
      </c>
      <c r="Y87" s="3"/>
      <c r="Z87" s="7">
        <f t="shared" si="19"/>
        <v>-1</v>
      </c>
    </row>
    <row r="88" spans="1:26" s="69" customFormat="1" ht="15" hidden="1" customHeight="1" outlineLevel="2" x14ac:dyDescent="0.3">
      <c r="A88" s="25"/>
      <c r="B88" s="12" t="str">
        <f>CONCATENATE("          ","6241"," - ","OFFICE EXPENSE")</f>
        <v xml:space="preserve">          6241 - OFFICE EXPENSE</v>
      </c>
      <c r="C88" s="12"/>
      <c r="D88" s="8"/>
      <c r="E88" s="3"/>
      <c r="F88" s="7">
        <f t="shared" si="12"/>
        <v>0</v>
      </c>
      <c r="G88" s="3"/>
      <c r="H88" s="8"/>
      <c r="I88" s="3"/>
      <c r="J88" s="7">
        <f t="shared" si="13"/>
        <v>0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469.75</v>
      </c>
      <c r="Q88" s="3"/>
      <c r="R88" s="7">
        <f t="shared" si="16"/>
        <v>2.6835621492570704E-4</v>
      </c>
      <c r="S88" s="3"/>
      <c r="T88" s="8">
        <v>1410.48</v>
      </c>
      <c r="U88" s="3"/>
      <c r="V88" s="7">
        <f t="shared" si="17"/>
        <v>6.9841077877070092E-4</v>
      </c>
      <c r="W88" s="3"/>
      <c r="X88" s="8">
        <f t="shared" si="18"/>
        <v>-940.73</v>
      </c>
      <c r="Y88" s="3"/>
      <c r="Z88" s="7">
        <f t="shared" si="19"/>
        <v>-0.66695734785321314</v>
      </c>
    </row>
    <row r="89" spans="1:26" s="69" customFormat="1" ht="15" hidden="1" customHeight="1" outlineLevel="2" x14ac:dyDescent="0.3">
      <c r="A89" s="25"/>
      <c r="B89" s="12" t="str">
        <f>CONCATENATE("          ","6247"," - ","STORE SUPPLIES")</f>
        <v xml:space="preserve">          6247 - STORE SUPPLIES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2912</v>
      </c>
      <c r="Q89" s="3"/>
      <c r="R89" s="7">
        <f t="shared" si="16"/>
        <v>1.6635514589966127E-3</v>
      </c>
      <c r="S89" s="3"/>
      <c r="T89" s="8"/>
      <c r="U89" s="3"/>
      <c r="V89" s="7">
        <f t="shared" si="17"/>
        <v>0</v>
      </c>
      <c r="W89" s="3"/>
      <c r="X89" s="8">
        <f t="shared" si="18"/>
        <v>2912</v>
      </c>
      <c r="Y89" s="3"/>
      <c r="Z89" s="7">
        <f t="shared" si="19"/>
        <v>0</v>
      </c>
    </row>
    <row r="90" spans="1:26" s="68" customFormat="1" ht="15" customHeight="1" outlineLevel="1" collapsed="1" x14ac:dyDescent="0.3">
      <c r="A90" s="26"/>
      <c r="B90" s="14" t="str">
        <f>CONCATENATE("     ","Telephone/Data Lines                              ")</f>
        <v xml:space="preserve">     Telephone/Data Lines                              </v>
      </c>
      <c r="C90" s="14"/>
      <c r="D90" s="2">
        <f>SUM(OSRRefD22_10x_0)</f>
        <v>159.41</v>
      </c>
      <c r="E90" s="2"/>
      <c r="F90" s="6">
        <f t="shared" si="12"/>
        <v>3.4905093879615898E-4</v>
      </c>
      <c r="G90" s="2"/>
      <c r="H90" s="2">
        <f>SUM(OSRRefH22_10x_0)</f>
        <v>274.85000000000002</v>
      </c>
      <c r="I90" s="2"/>
      <c r="J90" s="6">
        <f t="shared" si="13"/>
        <v>6.405486872236068E-4</v>
      </c>
      <c r="K90" s="2"/>
      <c r="L90" s="2">
        <f t="shared" si="14"/>
        <v>-115.44000000000003</v>
      </c>
      <c r="M90" s="2"/>
      <c r="N90" s="6">
        <f t="shared" si="15"/>
        <v>-0.42001091504456983</v>
      </c>
      <c r="O90" s="14"/>
      <c r="P90" s="2">
        <f>SUM(OSRRefP22_10x_0)</f>
        <v>1804.74</v>
      </c>
      <c r="Q90" s="2"/>
      <c r="R90" s="6">
        <f t="shared" si="16"/>
        <v>1.0310020124002564E-3</v>
      </c>
      <c r="S90" s="2"/>
      <c r="T90" s="2">
        <f>SUM(OSRRefT22_10x_0)</f>
        <v>2606.25</v>
      </c>
      <c r="U90" s="2"/>
      <c r="V90" s="6">
        <f t="shared" si="17"/>
        <v>1.2905061342033486E-3</v>
      </c>
      <c r="W90" s="2"/>
      <c r="X90" s="2">
        <f t="shared" si="18"/>
        <v>-801.51</v>
      </c>
      <c r="Y90" s="2"/>
      <c r="Z90" s="6">
        <f t="shared" si="19"/>
        <v>-0.30753381294964027</v>
      </c>
    </row>
    <row r="91" spans="1:26" s="69" customFormat="1" ht="15" hidden="1" customHeight="1" outlineLevel="2" x14ac:dyDescent="0.3">
      <c r="A91" s="25"/>
      <c r="B91" s="12" t="str">
        <f>CONCATENATE("          ","6309"," - ","TELEPHONE")</f>
        <v xml:space="preserve">          6309 - TELEPHONE</v>
      </c>
      <c r="C91" s="12"/>
      <c r="D91" s="8">
        <v>159.41</v>
      </c>
      <c r="E91" s="3"/>
      <c r="F91" s="7">
        <f t="shared" si="12"/>
        <v>3.4905093879615898E-4</v>
      </c>
      <c r="G91" s="3"/>
      <c r="H91" s="8">
        <v>274.85000000000002</v>
      </c>
      <c r="I91" s="3"/>
      <c r="J91" s="7">
        <f t="shared" si="13"/>
        <v>6.405486872236068E-4</v>
      </c>
      <c r="K91" s="3"/>
      <c r="L91" s="8">
        <f t="shared" si="14"/>
        <v>-115.44000000000003</v>
      </c>
      <c r="M91" s="3"/>
      <c r="N91" s="7">
        <f t="shared" si="15"/>
        <v>-0.42001091504456983</v>
      </c>
      <c r="O91" s="12"/>
      <c r="P91" s="8">
        <v>1804.74</v>
      </c>
      <c r="Q91" s="3"/>
      <c r="R91" s="7">
        <f t="shared" si="16"/>
        <v>1.0310020124002564E-3</v>
      </c>
      <c r="S91" s="3"/>
      <c r="T91" s="8">
        <v>2606.25</v>
      </c>
      <c r="U91" s="3"/>
      <c r="V91" s="7">
        <f t="shared" si="17"/>
        <v>1.2905061342033486E-3</v>
      </c>
      <c r="W91" s="3"/>
      <c r="X91" s="8">
        <f t="shared" si="18"/>
        <v>-801.51</v>
      </c>
      <c r="Y91" s="3"/>
      <c r="Z91" s="7">
        <f t="shared" si="19"/>
        <v>-0.30753381294964027</v>
      </c>
    </row>
    <row r="92" spans="1:26" s="68" customFormat="1" ht="15" customHeight="1" outlineLevel="1" collapsed="1" x14ac:dyDescent="0.3">
      <c r="A92" s="26"/>
      <c r="B92" s="14" t="str">
        <f>CONCATENATE("     ","Training                                          ")</f>
        <v xml:space="preserve">     Training                                          </v>
      </c>
      <c r="C92" s="14"/>
      <c r="D92" s="2">
        <f>SUM(OSRRefD22_11x_0)</f>
        <v>0</v>
      </c>
      <c r="E92" s="2"/>
      <c r="F92" s="6">
        <f t="shared" si="12"/>
        <v>0</v>
      </c>
      <c r="G92" s="2"/>
      <c r="H92" s="2">
        <f>SUM(OSRRefH22_11x_0)</f>
        <v>0</v>
      </c>
      <c r="I92" s="2"/>
      <c r="J92" s="6">
        <f t="shared" si="13"/>
        <v>0</v>
      </c>
      <c r="K92" s="2"/>
      <c r="L92" s="2">
        <f t="shared" si="14"/>
        <v>0</v>
      </c>
      <c r="M92" s="2"/>
      <c r="N92" s="6">
        <f t="shared" si="15"/>
        <v>0</v>
      </c>
      <c r="O92" s="14"/>
      <c r="P92" s="2">
        <f>SUM(OSRRefP22_11x_0)</f>
        <v>0</v>
      </c>
      <c r="Q92" s="2"/>
      <c r="R92" s="6">
        <f t="shared" si="16"/>
        <v>0</v>
      </c>
      <c r="S92" s="2"/>
      <c r="T92" s="2">
        <f>SUM(OSRRefT22_11x_0)</f>
        <v>100</v>
      </c>
      <c r="U92" s="2"/>
      <c r="V92" s="6">
        <f t="shared" si="17"/>
        <v>4.9515822895092517E-5</v>
      </c>
      <c r="W92" s="2"/>
      <c r="X92" s="2">
        <f t="shared" si="18"/>
        <v>-100</v>
      </c>
      <c r="Y92" s="2"/>
      <c r="Z92" s="6">
        <f t="shared" si="19"/>
        <v>-1</v>
      </c>
    </row>
    <row r="93" spans="1:26" s="69" customFormat="1" ht="15" hidden="1" customHeight="1" outlineLevel="2" x14ac:dyDescent="0.3">
      <c r="A93" s="25"/>
      <c r="B93" s="12" t="str">
        <f>CONCATENATE("          ","6376"," - ","TRAINING")</f>
        <v xml:space="preserve">          6376 - TRAINING</v>
      </c>
      <c r="C93" s="12"/>
      <c r="D93" s="8"/>
      <c r="E93" s="3"/>
      <c r="F93" s="7">
        <f t="shared" si="12"/>
        <v>0</v>
      </c>
      <c r="G93" s="3"/>
      <c r="H93" s="8"/>
      <c r="I93" s="3"/>
      <c r="J93" s="7">
        <f t="shared" si="13"/>
        <v>0</v>
      </c>
      <c r="K93" s="3"/>
      <c r="L93" s="8">
        <f t="shared" si="14"/>
        <v>0</v>
      </c>
      <c r="M93" s="3"/>
      <c r="N93" s="7">
        <f t="shared" si="15"/>
        <v>0</v>
      </c>
      <c r="O93" s="12"/>
      <c r="P93" s="8"/>
      <c r="Q93" s="3"/>
      <c r="R93" s="7">
        <f t="shared" si="16"/>
        <v>0</v>
      </c>
      <c r="S93" s="3"/>
      <c r="T93" s="8">
        <v>100</v>
      </c>
      <c r="U93" s="3"/>
      <c r="V93" s="7">
        <f t="shared" si="17"/>
        <v>4.9515822895092517E-5</v>
      </c>
      <c r="W93" s="3"/>
      <c r="X93" s="8">
        <f t="shared" si="18"/>
        <v>-100</v>
      </c>
      <c r="Y93" s="3"/>
      <c r="Z93" s="7">
        <f t="shared" si="19"/>
        <v>-1</v>
      </c>
    </row>
    <row r="94" spans="1:26" s="64" customFormat="1" ht="15" customHeight="1" x14ac:dyDescent="0.3">
      <c r="A94" s="36"/>
      <c r="B94" s="36"/>
      <c r="C94" s="36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2" customFormat="1" ht="15" customHeight="1" collapsed="1" x14ac:dyDescent="0.3">
      <c r="A95" s="11"/>
      <c r="B95" s="28" t="s">
        <v>290</v>
      </c>
      <c r="C95" s="11"/>
      <c r="D95" s="5">
        <f>SUM(OSRRefD25x_0)</f>
        <v>-1113.07</v>
      </c>
      <c r="E95" s="5"/>
      <c r="F95" s="13">
        <f>IF(D$12=0,0,D95/D$12)</f>
        <v>-2.4372255720835623E-3</v>
      </c>
      <c r="G95" s="5"/>
      <c r="H95" s="5">
        <f>SUM(OSRRefH25x_0)</f>
        <v>25561.239999999998</v>
      </c>
      <c r="I95" s="5"/>
      <c r="J95" s="13">
        <f>IF(H$12=0,0,H95/H$12)</f>
        <v>5.95714707142352E-2</v>
      </c>
      <c r="K95" s="5"/>
      <c r="L95" s="5">
        <f>+D95-H95</f>
        <v>-26674.309999999998</v>
      </c>
      <c r="M95" s="5"/>
      <c r="N95" s="13">
        <f>IF(H95=0,0,L95/H95)</f>
        <v>-1.0435452270703611</v>
      </c>
      <c r="O95" s="11"/>
      <c r="P95" s="5">
        <f>SUM(OSRRefP25x_0)</f>
        <v>3340.9399999999996</v>
      </c>
      <c r="Q95" s="5"/>
      <c r="R95" s="13">
        <f>IF(P$12=0,0,P95/P$12)</f>
        <v>1.9085939599657084E-3</v>
      </c>
      <c r="S95" s="5"/>
      <c r="T95" s="5">
        <f>SUM(OSRRefT25x_0)</f>
        <v>26839.88</v>
      </c>
      <c r="U95" s="5"/>
      <c r="V95" s="13">
        <f>IF(T$12=0,0,T95/T$12)</f>
        <v>1.3289987446055357E-2</v>
      </c>
      <c r="W95" s="5"/>
      <c r="X95" s="5">
        <f>+P95-T95</f>
        <v>-23498.940000000002</v>
      </c>
      <c r="Y95" s="5"/>
      <c r="Z95" s="13">
        <f>IF(T95=0,0,X95/T95)</f>
        <v>-0.87552328847968031</v>
      </c>
    </row>
    <row r="96" spans="1:26" s="69" customFormat="1" ht="15" hidden="1" customHeight="1" outlineLevel="1" x14ac:dyDescent="0.3">
      <c r="A96" s="42"/>
      <c r="B96" s="12" t="str">
        <f>CONCATENATE("          ","4187"," - ","NON-TAXABLE SALES-COMPUTER REP")</f>
        <v xml:space="preserve">          4187 - NON-TAXABLE SALES-COMPUTER REP</v>
      </c>
      <c r="C96" s="12"/>
      <c r="D96" s="3">
        <f>0</f>
        <v>0</v>
      </c>
      <c r="E96" s="3"/>
      <c r="F96" s="20">
        <f>IF(D$12=0,0,D96/D$12)</f>
        <v>0</v>
      </c>
      <c r="G96" s="3"/>
      <c r="H96" s="3">
        <f>--160.46</f>
        <v>160.46</v>
      </c>
      <c r="I96" s="3"/>
      <c r="J96" s="20">
        <f>IF(H$12=0,0,H96/H$12)</f>
        <v>3.7395831308677442E-4</v>
      </c>
      <c r="K96" s="3"/>
      <c r="L96" s="3">
        <f>+D96-H96</f>
        <v>-160.46</v>
      </c>
      <c r="M96" s="3"/>
      <c r="N96" s="20">
        <f>IF(H96=0,0,L96/H96)</f>
        <v>-1</v>
      </c>
      <c r="O96" s="12"/>
      <c r="P96" s="3">
        <f>0</f>
        <v>0</v>
      </c>
      <c r="Q96" s="3"/>
      <c r="R96" s="20">
        <f>IF(P$12=0,0,P96/P$12)</f>
        <v>0</v>
      </c>
      <c r="S96" s="3"/>
      <c r="T96" s="3">
        <f>--1614.97</f>
        <v>1614.97</v>
      </c>
      <c r="U96" s="3"/>
      <c r="V96" s="20">
        <f>IF(T$12=0,0,T96/T$12)</f>
        <v>7.9966568500887555E-4</v>
      </c>
      <c r="W96" s="3"/>
      <c r="X96" s="3">
        <f>+P96-T96</f>
        <v>-1614.97</v>
      </c>
      <c r="Y96" s="3"/>
      <c r="Z96" s="20">
        <f>IF(T96=0,0,X96/T96)</f>
        <v>-1</v>
      </c>
    </row>
    <row r="97" spans="1:26" s="69" customFormat="1" ht="15" hidden="1" customHeight="1" outlineLevel="1" x14ac:dyDescent="0.3">
      <c r="A97" s="42"/>
      <c r="B97" s="12" t="str">
        <f>CONCATENATE("          ","9087"," - ","")</f>
        <v xml:space="preserve">          9087 - </v>
      </c>
      <c r="C97" s="12"/>
      <c r="D97" s="3">
        <f>-1475.31</f>
        <v>-1475.31</v>
      </c>
      <c r="E97" s="3"/>
      <c r="F97" s="20">
        <f>IF(D$12=0,0,D97/D$12)</f>
        <v>-3.2304017346174098E-3</v>
      </c>
      <c r="G97" s="3"/>
      <c r="H97" s="3">
        <f>0</f>
        <v>0</v>
      </c>
      <c r="I97" s="3"/>
      <c r="J97" s="20">
        <f>IF(H$12=0,0,H97/H$12)</f>
        <v>0</v>
      </c>
      <c r="K97" s="3"/>
      <c r="L97" s="3">
        <f>+D97-H97</f>
        <v>-1475.31</v>
      </c>
      <c r="M97" s="3"/>
      <c r="N97" s="20">
        <f>IF(H97=0,0,L97/H97)</f>
        <v>0</v>
      </c>
      <c r="O97" s="12"/>
      <c r="P97" s="3">
        <f>--731.78</f>
        <v>731.78</v>
      </c>
      <c r="Q97" s="3"/>
      <c r="R97" s="20">
        <f>IF(P$12=0,0,P97/P$12)</f>
        <v>4.1804728250842763E-4</v>
      </c>
      <c r="S97" s="3"/>
      <c r="T97" s="3">
        <f>0</f>
        <v>0</v>
      </c>
      <c r="U97" s="3"/>
      <c r="V97" s="20">
        <f>IF(T$12=0,0,T97/T$12)</f>
        <v>0</v>
      </c>
      <c r="W97" s="3"/>
      <c r="X97" s="3">
        <f>+P97-T97</f>
        <v>731.78</v>
      </c>
      <c r="Y97" s="3"/>
      <c r="Z97" s="20">
        <f>IF(T97=0,0,X97/T97)</f>
        <v>0</v>
      </c>
    </row>
    <row r="98" spans="1:26" s="69" customFormat="1" ht="15" hidden="1" customHeight="1" outlineLevel="1" x14ac:dyDescent="0.3">
      <c r="A98" s="42"/>
      <c r="B98" s="12" t="str">
        <f>CONCATENATE("          ","9150"," - ","MISC. INCOME")</f>
        <v xml:space="preserve">          9150 - MISC. INCOME</v>
      </c>
      <c r="C98" s="12"/>
      <c r="D98" s="3">
        <f>--362.24</f>
        <v>362.24</v>
      </c>
      <c r="E98" s="3"/>
      <c r="F98" s="20">
        <f>IF(D$12=0,0,D98/D$12)</f>
        <v>7.9317616253384753E-4</v>
      </c>
      <c r="G98" s="3"/>
      <c r="H98" s="3">
        <f>--25400.78</f>
        <v>25400.78</v>
      </c>
      <c r="I98" s="3"/>
      <c r="J98" s="20">
        <f>IF(H$12=0,0,H98/H$12)</f>
        <v>5.9197512401148428E-2</v>
      </c>
      <c r="K98" s="3"/>
      <c r="L98" s="3">
        <f>+D98-H98</f>
        <v>-25038.539999999997</v>
      </c>
      <c r="M98" s="3"/>
      <c r="N98" s="20">
        <f>IF(H98=0,0,L98/H98)</f>
        <v>-0.98573902061275276</v>
      </c>
      <c r="O98" s="12"/>
      <c r="P98" s="3">
        <f>--2609.16</f>
        <v>2609.16</v>
      </c>
      <c r="Q98" s="3"/>
      <c r="R98" s="20">
        <f>IF(P$12=0,0,P98/P$12)</f>
        <v>1.490546677457281E-3</v>
      </c>
      <c r="S98" s="3"/>
      <c r="T98" s="3">
        <f>--25224.91</f>
        <v>25224.91</v>
      </c>
      <c r="U98" s="3"/>
      <c r="V98" s="20">
        <f>IF(T$12=0,0,T98/T$12)</f>
        <v>1.2490321761046481E-2</v>
      </c>
      <c r="W98" s="3"/>
      <c r="X98" s="3">
        <f>+P98-T98</f>
        <v>-22615.75</v>
      </c>
      <c r="Y98" s="3"/>
      <c r="Z98" s="20">
        <f>IF(T98=0,0,X98/T98)</f>
        <v>-0.89656415027843506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2" customFormat="1" ht="15" customHeight="1" x14ac:dyDescent="0.3">
      <c r="A100" s="11"/>
      <c r="B100" s="27" t="s">
        <v>291</v>
      </c>
      <c r="C100" s="27"/>
      <c r="D100" s="22">
        <f>+D51-D53+D95</f>
        <v>68009.170000000027</v>
      </c>
      <c r="E100" s="15"/>
      <c r="F100" s="21">
        <f>IF(D$12=0,0,D100/D$12)</f>
        <v>0.14891578091241189</v>
      </c>
      <c r="G100" s="15"/>
      <c r="H100" s="22">
        <f>+H51-H53+H95</f>
        <v>81669.87</v>
      </c>
      <c r="I100" s="15"/>
      <c r="J100" s="21">
        <f>IF(H$12=0,0,H100/H$12)</f>
        <v>0.19033482995896897</v>
      </c>
      <c r="K100" s="17"/>
      <c r="L100" s="22">
        <f>+D100-H100</f>
        <v>-13660.699999999968</v>
      </c>
      <c r="M100" s="17"/>
      <c r="N100" s="21">
        <f>IF(H100=0,0,L100/H100)</f>
        <v>-0.1672673165758678</v>
      </c>
      <c r="O100" s="28"/>
      <c r="P100" s="22">
        <f>+P51-P53+P95</f>
        <v>144385.54</v>
      </c>
      <c r="Q100" s="15"/>
      <c r="R100" s="21">
        <f>IF(P$12=0,0,P100/P$12)</f>
        <v>8.24837828726009E-2</v>
      </c>
      <c r="S100" s="15"/>
      <c r="T100" s="22">
        <f>+T51-T53+T95</f>
        <v>57815.850000000108</v>
      </c>
      <c r="U100" s="15"/>
      <c r="V100" s="21">
        <f>IF(T$12=0,0,T100/T$12)</f>
        <v>2.8627993891292398E-2</v>
      </c>
      <c r="W100" s="17"/>
      <c r="X100" s="22">
        <f>+P100-T100</f>
        <v>86569.6899999999</v>
      </c>
      <c r="Y100" s="17"/>
      <c r="Z100" s="21">
        <f>IF(T100=0,0,X100/T100)</f>
        <v>1.4973349003776601</v>
      </c>
    </row>
    <row r="101" spans="1:26" ht="15" customHeight="1" x14ac:dyDescent="0.3">
      <c r="A101" s="10"/>
      <c r="B101" s="11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48"/>
      <c r="B102" s="11" t="s">
        <v>292</v>
      </c>
      <c r="C102" s="11"/>
      <c r="D102" s="5">
        <v>47421.86</v>
      </c>
      <c r="E102" s="5"/>
      <c r="F102" s="13">
        <f>IF(D$12=0,0,D102/D$12)</f>
        <v>0.10383692837626259</v>
      </c>
      <c r="G102" s="5"/>
      <c r="H102" s="5">
        <v>101243.25</v>
      </c>
      <c r="I102" s="5"/>
      <c r="J102" s="13">
        <f>IF(H$12=0,0,H102/H$12)</f>
        <v>0.23595135847826607</v>
      </c>
      <c r="K102" s="5"/>
      <c r="L102" s="5">
        <f>+D102-H102</f>
        <v>-53821.39</v>
      </c>
      <c r="M102" s="5"/>
      <c r="N102" s="13">
        <f>IF(H102=0,0,L102/H102)</f>
        <v>-0.53160472426556826</v>
      </c>
      <c r="O102" s="11"/>
      <c r="P102" s="5">
        <v>208914.52</v>
      </c>
      <c r="Q102" s="5"/>
      <c r="R102" s="13">
        <f>IF(P$12=0,0,P102/P$12)</f>
        <v>0.1193475462058987</v>
      </c>
      <c r="S102" s="5"/>
      <c r="T102" s="5">
        <v>416213.44</v>
      </c>
      <c r="U102" s="5"/>
      <c r="V102" s="13">
        <f>IF(T$12=0,0,T102/T$12)</f>
        <v>0.20609150981597216</v>
      </c>
      <c r="W102" s="5"/>
      <c r="X102" s="5">
        <f>+P102-T102</f>
        <v>-207298.92</v>
      </c>
      <c r="Y102" s="5"/>
      <c r="Z102" s="13">
        <f>IF(T102=0,0,X102/T102)</f>
        <v>-0.49805916887258617</v>
      </c>
    </row>
    <row r="103" spans="1:26" ht="15" customHeight="1" x14ac:dyDescent="0.3">
      <c r="A103" s="10"/>
      <c r="B103" s="11"/>
      <c r="C103" s="11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O103" s="11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2" customFormat="1" ht="15" customHeight="1" x14ac:dyDescent="0.3">
      <c r="A104" s="11"/>
      <c r="B104" s="27" t="s">
        <v>293</v>
      </c>
      <c r="C104" s="27"/>
      <c r="D104" s="34">
        <f>+D100-D102</f>
        <v>20587.310000000027</v>
      </c>
      <c r="E104" s="15"/>
      <c r="F104" s="33">
        <f>IF(D$12=0,0,D104/D$12)</f>
        <v>4.5078852536149308E-2</v>
      </c>
      <c r="G104" s="15"/>
      <c r="H104" s="34">
        <f>+H100-H102</f>
        <v>-19573.380000000005</v>
      </c>
      <c r="I104" s="15"/>
      <c r="J104" s="33">
        <f>IF(H$12=0,0,H104/H$12)</f>
        <v>-4.5616528519297081E-2</v>
      </c>
      <c r="K104" s="17"/>
      <c r="L104" s="34">
        <f>D104-H104</f>
        <v>40160.690000000031</v>
      </c>
      <c r="M104" s="17"/>
      <c r="N104" s="33">
        <f>IF(H104=0,0,L104/H104)</f>
        <v>-2.051801477312555</v>
      </c>
      <c r="O104" s="28"/>
      <c r="P104" s="34">
        <f>+P100-P102</f>
        <v>-64528.979999999981</v>
      </c>
      <c r="Q104" s="15"/>
      <c r="R104" s="33">
        <f>IF(P$12=0,0,P104/P$12)</f>
        <v>-3.6863763333297807E-2</v>
      </c>
      <c r="S104" s="15"/>
      <c r="T104" s="34">
        <f>+T100-T102</f>
        <v>-358397.58999999991</v>
      </c>
      <c r="U104" s="15"/>
      <c r="V104" s="33">
        <f>IF(T$12=0,0,T104/T$12)</f>
        <v>-0.17746351592467977</v>
      </c>
      <c r="W104" s="17"/>
      <c r="X104" s="34">
        <f>P104-T104</f>
        <v>293868.60999999993</v>
      </c>
      <c r="Y104" s="17"/>
      <c r="Z104" s="33">
        <f>IF(T104=0,0,X104/T104)</f>
        <v>-0.81995141206167155</v>
      </c>
    </row>
    <row r="105" spans="1:26" ht="15" customHeight="1" x14ac:dyDescent="0.3">
      <c r="A105" s="10"/>
      <c r="B105" s="10"/>
      <c r="C105" s="10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11"/>
      <c r="B107" s="27" t="s">
        <v>296</v>
      </c>
      <c r="C107" s="27"/>
      <c r="D107" s="31">
        <f>SUM(D104:D106)</f>
        <v>20587.310000000027</v>
      </c>
      <c r="E107" s="15"/>
      <c r="F107" s="32">
        <f>IF(D$12=0,0,D107/D$12)</f>
        <v>4.5078852536149308E-2</v>
      </c>
      <c r="G107" s="15"/>
      <c r="H107" s="31">
        <f>SUM(H104:H106)</f>
        <v>-19573.380000000005</v>
      </c>
      <c r="I107" s="15"/>
      <c r="J107" s="32">
        <f>IF(H$12=0,0,H107/H$12)</f>
        <v>-4.5616528519297081E-2</v>
      </c>
      <c r="K107" s="17"/>
      <c r="L107" s="31">
        <f>+D107-H107</f>
        <v>40160.690000000031</v>
      </c>
      <c r="M107" s="17"/>
      <c r="N107" s="32">
        <f>IF(H107=0,0,L107/H107)</f>
        <v>-2.051801477312555</v>
      </c>
      <c r="O107" s="28"/>
      <c r="P107" s="31">
        <f>SUM(P104:P106)</f>
        <v>-64528.979999999981</v>
      </c>
      <c r="Q107" s="15"/>
      <c r="R107" s="32">
        <f>IF(P$12=0,0,P107/P$12)</f>
        <v>-3.6863763333297807E-2</v>
      </c>
      <c r="S107" s="15"/>
      <c r="T107" s="31">
        <f>SUM(T104:T106)</f>
        <v>-358397.58999999991</v>
      </c>
      <c r="U107" s="15"/>
      <c r="V107" s="32">
        <f>IF(T$12=0,0,T107/T$12)</f>
        <v>-0.17746351592467977</v>
      </c>
      <c r="W107" s="17"/>
      <c r="X107" s="31">
        <f>+P107-T107</f>
        <v>293868.60999999993</v>
      </c>
      <c r="Y107" s="17"/>
      <c r="Z107" s="32">
        <f>IF(T107=0,0,X107/T107)</f>
        <v>-0.81995141206167155</v>
      </c>
    </row>
    <row r="108" spans="1:26" ht="15" customHeight="1" x14ac:dyDescent="0.3">
      <c r="A108" s="10"/>
      <c r="C108" s="10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A109" s="10"/>
      <c r="B109" s="56">
        <v>44663.038577349536</v>
      </c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  <row r="110" spans="1:26" ht="15" customHeight="1" x14ac:dyDescent="0.3">
      <c r="A110" s="10"/>
      <c r="B110" s="57" t="s">
        <v>297</v>
      </c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A111" s="10"/>
      <c r="B111" s="58"/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  <row r="112" spans="1:26" ht="15" customHeight="1" x14ac:dyDescent="0.3">
      <c r="D112" s="19"/>
      <c r="E112" s="19"/>
      <c r="G112" s="19"/>
      <c r="H112" s="19"/>
      <c r="I112" s="19"/>
      <c r="J112" s="40"/>
      <c r="K112" s="19"/>
      <c r="L112" s="19"/>
      <c r="M112" s="19"/>
      <c r="P112" s="19"/>
      <c r="Q112" s="19"/>
      <c r="R112" s="40"/>
      <c r="S112" s="19"/>
      <c r="T112" s="19"/>
      <c r="U112" s="19"/>
      <c r="V112" s="40"/>
      <c r="W112" s="19"/>
      <c r="X11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69BED-E4DB-7F82-22BB-34BFC463893C}">
  <sheetPr>
    <tabColor rgb="FF92D050"/>
    <outlinePr summaryBelow="0" summaryRight="0"/>
  </sheetPr>
  <dimension ref="A2:Z11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","317"," - ","Computer Store")</f>
        <v>Department 317 - Computer Store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456695.52</v>
      </c>
      <c r="E12" s="5"/>
      <c r="F12" s="13"/>
      <c r="G12" s="5"/>
      <c r="H12" s="5">
        <f>SUM(OSRRefH13x_0)</f>
        <v>429085.26</v>
      </c>
      <c r="I12" s="5"/>
      <c r="J12" s="13"/>
      <c r="K12" s="5"/>
      <c r="L12" s="5">
        <f t="shared" ref="L12:L33" si="0">+D12-H12</f>
        <v>27610.260000000009</v>
      </c>
      <c r="M12" s="5"/>
      <c r="N12" s="13">
        <f t="shared" ref="N12:N33" si="1">IF(H12=0,0,L12/H12)</f>
        <v>6.434679205713105E-2</v>
      </c>
      <c r="O12" s="11"/>
      <c r="P12" s="5">
        <f>SUM(OSRRefP13x_0)</f>
        <v>1750471.85</v>
      </c>
      <c r="Q12" s="5"/>
      <c r="R12" s="13"/>
      <c r="S12" s="5"/>
      <c r="T12" s="5">
        <f>SUM(OSRRefT13x_0)</f>
        <v>2019556.4600000002</v>
      </c>
      <c r="U12" s="5"/>
      <c r="V12" s="13"/>
      <c r="W12" s="5"/>
      <c r="X12" s="5">
        <f t="shared" ref="X12:X33" si="2">+P12-T12</f>
        <v>-269084.6100000001</v>
      </c>
      <c r="Y12" s="5"/>
      <c r="Z12" s="13">
        <f t="shared" ref="Z12:Z33" si="3">IF(T12=0,0,X12/T12)</f>
        <v>-0.13323945892555045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--432065</f>
        <v>432065</v>
      </c>
      <c r="E13" s="3"/>
      <c r="F13" s="20"/>
      <c r="G13" s="3"/>
      <c r="H13" s="3">
        <f>-36.19</f>
        <v>-36.19</v>
      </c>
      <c r="I13" s="3"/>
      <c r="J13" s="20"/>
      <c r="K13" s="3"/>
      <c r="L13" s="3">
        <f t="shared" si="0"/>
        <v>432101.19</v>
      </c>
      <c r="M13" s="3"/>
      <c r="N13" s="20">
        <f t="shared" si="1"/>
        <v>-11939.795247305887</v>
      </c>
      <c r="O13" s="12"/>
      <c r="P13" s="3">
        <f>--1458675.68</f>
        <v>1458675.68</v>
      </c>
      <c r="Q13" s="3"/>
      <c r="R13" s="20"/>
      <c r="S13" s="3"/>
      <c r="T13" s="3">
        <f>-2733.15</f>
        <v>-2733.15</v>
      </c>
      <c r="U13" s="3"/>
      <c r="V13" s="20"/>
      <c r="W13" s="3"/>
      <c r="X13" s="3">
        <f t="shared" si="2"/>
        <v>1461408.8299999998</v>
      </c>
      <c r="Y13" s="3"/>
      <c r="Z13" s="20">
        <f t="shared" si="3"/>
        <v>-534.6976309386605</v>
      </c>
    </row>
    <row r="14" spans="1:26" s="69" customFormat="1" ht="15" hidden="1" customHeight="1" outlineLevel="1" x14ac:dyDescent="0.3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--1204.4</f>
        <v>1204.4000000000001</v>
      </c>
      <c r="I14" s="3"/>
      <c r="J14" s="20"/>
      <c r="K14" s="3"/>
      <c r="L14" s="3">
        <f t="shared" si="0"/>
        <v>-1204.4000000000001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--60467.25</f>
        <v>60467.25</v>
      </c>
      <c r="U14" s="3"/>
      <c r="V14" s="20"/>
      <c r="W14" s="3"/>
      <c r="X14" s="3">
        <f t="shared" si="2"/>
        <v>-60467.25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--407027.89</f>
        <v>407027.89</v>
      </c>
      <c r="I15" s="3"/>
      <c r="J15" s="20"/>
      <c r="K15" s="3"/>
      <c r="L15" s="3">
        <f t="shared" si="0"/>
        <v>-407027.89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--1657866.36</f>
        <v>1657866.36</v>
      </c>
      <c r="U15" s="3"/>
      <c r="V15" s="20"/>
      <c r="W15" s="3"/>
      <c r="X15" s="3">
        <f t="shared" si="2"/>
        <v>-1657866.36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--22860.44</f>
        <v>22860.44</v>
      </c>
      <c r="I16" s="3"/>
      <c r="J16" s="20"/>
      <c r="K16" s="3"/>
      <c r="L16" s="3">
        <f t="shared" si="0"/>
        <v>-22860.44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--119659.27</f>
        <v>119659.27</v>
      </c>
      <c r="U16" s="3"/>
      <c r="V16" s="20"/>
      <c r="W16" s="3"/>
      <c r="X16" s="3">
        <f t="shared" si="2"/>
        <v>-119659.27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--219.98</f>
        <v>219.98</v>
      </c>
      <c r="I17" s="3"/>
      <c r="J17" s="20"/>
      <c r="K17" s="3"/>
      <c r="L17" s="3">
        <f t="shared" si="0"/>
        <v>-219.98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--3098.91</f>
        <v>3098.91</v>
      </c>
      <c r="U17" s="3"/>
      <c r="V17" s="20"/>
      <c r="W17" s="3"/>
      <c r="X17" s="3">
        <f t="shared" si="2"/>
        <v>-3098.91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--503.73</f>
        <v>503.73</v>
      </c>
      <c r="I18" s="3"/>
      <c r="J18" s="20"/>
      <c r="K18" s="3"/>
      <c r="L18" s="3">
        <f t="shared" si="0"/>
        <v>-503.73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--59450.9</f>
        <v>59450.9</v>
      </c>
      <c r="U18" s="3"/>
      <c r="V18" s="20"/>
      <c r="W18" s="3"/>
      <c r="X18" s="3">
        <f t="shared" si="2"/>
        <v>-59450.9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--80322.45</f>
        <v>80322.45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80322.45</v>
      </c>
      <c r="M19" s="3"/>
      <c r="N19" s="20">
        <f t="shared" si="1"/>
        <v>0</v>
      </c>
      <c r="O19" s="12"/>
      <c r="P19" s="3">
        <f>--573579.32</f>
        <v>573579.31999999995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573579.31999999995</v>
      </c>
      <c r="Y19" s="3"/>
      <c r="Z19" s="20">
        <f t="shared" si="3"/>
        <v>0</v>
      </c>
    </row>
    <row r="20" spans="1:26" s="69" customFormat="1" ht="15" hidden="1" customHeight="1" outlineLevel="1" x14ac:dyDescent="0.3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--285.97</f>
        <v>285.97000000000003</v>
      </c>
      <c r="I20" s="3"/>
      <c r="J20" s="20"/>
      <c r="K20" s="3"/>
      <c r="L20" s="3">
        <f t="shared" si="0"/>
        <v>-285.97000000000003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--12478.63</f>
        <v>12478.63</v>
      </c>
      <c r="U20" s="3"/>
      <c r="V20" s="20"/>
      <c r="W20" s="3"/>
      <c r="X20" s="3">
        <f t="shared" si="2"/>
        <v>-12478.63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--33767.84</f>
        <v>33767.839999999997</v>
      </c>
      <c r="I21" s="3"/>
      <c r="J21" s="20"/>
      <c r="K21" s="3"/>
      <c r="L21" s="3">
        <f t="shared" si="0"/>
        <v>-33767.839999999997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--253414.83</f>
        <v>253414.83</v>
      </c>
      <c r="U21" s="3"/>
      <c r="V21" s="20"/>
      <c r="W21" s="3"/>
      <c r="X21" s="3">
        <f t="shared" si="2"/>
        <v>-253414.83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--2983.61</f>
        <v>2983.61</v>
      </c>
      <c r="I22" s="3"/>
      <c r="J22" s="20"/>
      <c r="K22" s="3"/>
      <c r="L22" s="3">
        <f t="shared" si="0"/>
        <v>-2983.61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--16606.43</f>
        <v>16606.43</v>
      </c>
      <c r="U22" s="3"/>
      <c r="V22" s="20"/>
      <c r="W22" s="3"/>
      <c r="X22" s="3">
        <f t="shared" si="2"/>
        <v>-16606.43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--3559.59</f>
        <v>3559.59</v>
      </c>
      <c r="I23" s="3"/>
      <c r="J23" s="20"/>
      <c r="K23" s="3"/>
      <c r="L23" s="3">
        <f t="shared" si="0"/>
        <v>-3559.59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--38686.78</f>
        <v>38686.78</v>
      </c>
      <c r="U23" s="3"/>
      <c r="V23" s="20"/>
      <c r="W23" s="3"/>
      <c r="X23" s="3">
        <f t="shared" si="2"/>
        <v>-38686.78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--424.94</f>
        <v>424.94</v>
      </c>
      <c r="I24" s="3"/>
      <c r="J24" s="20"/>
      <c r="K24" s="3"/>
      <c r="L24" s="3">
        <f t="shared" si="0"/>
        <v>-424.94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--3255.2</f>
        <v>3255.2</v>
      </c>
      <c r="U24" s="3"/>
      <c r="V24" s="20"/>
      <c r="W24" s="3"/>
      <c r="X24" s="3">
        <f t="shared" si="2"/>
        <v>-3255.2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","4200"," - ","TAXABLE RETURNS")</f>
        <v xml:space="preserve">          4200 - TAXABLE RETURNS</v>
      </c>
      <c r="C25" s="12"/>
      <c r="D25" s="3">
        <f>-55451.11</f>
        <v>-55451.11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-55451.11</v>
      </c>
      <c r="M25" s="3"/>
      <c r="N25" s="20">
        <f t="shared" si="1"/>
        <v>0</v>
      </c>
      <c r="O25" s="12"/>
      <c r="P25" s="3">
        <f>-279510.21</f>
        <v>-279510.21000000002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-279510.21000000002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-14762.14</f>
        <v>-14762.14</v>
      </c>
      <c r="U26" s="3"/>
      <c r="V26" s="20"/>
      <c r="W26" s="3"/>
      <c r="X26" s="3">
        <f t="shared" si="2"/>
        <v>14762.14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-43137</f>
        <v>-43137</v>
      </c>
      <c r="I27" s="3"/>
      <c r="J27" s="20"/>
      <c r="K27" s="3"/>
      <c r="L27" s="3">
        <f t="shared" si="0"/>
        <v>43137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-172765.16</f>
        <v>-172765.16</v>
      </c>
      <c r="U27" s="3"/>
      <c r="V27" s="20"/>
      <c r="W27" s="3"/>
      <c r="X27" s="3">
        <f t="shared" si="2"/>
        <v>172765.16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-389.97</f>
        <v>-389.97</v>
      </c>
      <c r="I28" s="3"/>
      <c r="J28" s="20"/>
      <c r="K28" s="3"/>
      <c r="L28" s="3">
        <f t="shared" si="0"/>
        <v>389.97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-3749.25</f>
        <v>-3749.25</v>
      </c>
      <c r="U28" s="3"/>
      <c r="V28" s="20"/>
      <c r="W28" s="3"/>
      <c r="X28" s="3">
        <f t="shared" si="2"/>
        <v>3749.25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-149.99</f>
        <v>-149.99</v>
      </c>
      <c r="I29" s="3"/>
      <c r="J29" s="20"/>
      <c r="K29" s="3"/>
      <c r="L29" s="3">
        <f t="shared" si="0"/>
        <v>149.99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-991.96</f>
        <v>-991.96</v>
      </c>
      <c r="U29" s="3"/>
      <c r="V29" s="20"/>
      <c r="W29" s="3"/>
      <c r="X29" s="3">
        <f t="shared" si="2"/>
        <v>991.96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-39.98</f>
        <v>-39.979999999999997</v>
      </c>
      <c r="I30" s="3"/>
      <c r="J30" s="20"/>
      <c r="K30" s="3"/>
      <c r="L30" s="3">
        <f t="shared" si="0"/>
        <v>39.979999999999997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-4802.29</f>
        <v>-4802.29</v>
      </c>
      <c r="U30" s="3"/>
      <c r="V30" s="20"/>
      <c r="W30" s="3"/>
      <c r="X30" s="3">
        <f t="shared" si="2"/>
        <v>4802.29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","4300"," - ","NON-TAX RETURNS")</f>
        <v xml:space="preserve">          4300 - NON-TAX RETURNS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3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","4500"," - ","SALES DISCOUNT")</f>
        <v xml:space="preserve">          4500 - SALES DISCOUNT</v>
      </c>
      <c r="C33" s="12"/>
      <c r="D33" s="3">
        <f>-240.82</f>
        <v>-240.82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-240.82</v>
      </c>
      <c r="M33" s="3"/>
      <c r="N33" s="20">
        <f t="shared" si="1"/>
        <v>0</v>
      </c>
      <c r="O33" s="12"/>
      <c r="P33" s="3">
        <f>-1158.42</f>
        <v>-1158.42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-1158.42</v>
      </c>
      <c r="Y33" s="3"/>
      <c r="Z33" s="20">
        <f t="shared" si="3"/>
        <v>0</v>
      </c>
    </row>
    <row r="34" spans="1:26" ht="15" customHeight="1" x14ac:dyDescent="0.3">
      <c r="A34" s="10"/>
      <c r="B34" s="11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collapsed="1" x14ac:dyDescent="0.3">
      <c r="A35" s="11"/>
      <c r="B35" s="28" t="s">
        <v>287</v>
      </c>
      <c r="C35" s="11"/>
      <c r="D35" s="5">
        <f>SUM(OSRRefD16x_0)</f>
        <v>370733.42</v>
      </c>
      <c r="E35" s="5"/>
      <c r="F35" s="13">
        <f t="shared" ref="F35:F49" si="4">IF(D$12=0,0,D35/D$12)</f>
        <v>0.81177371742118243</v>
      </c>
      <c r="G35" s="5"/>
      <c r="H35" s="5">
        <f>SUM(OSRRefH16x_0)</f>
        <v>356026</v>
      </c>
      <c r="I35" s="5"/>
      <c r="J35" s="13">
        <f t="shared" ref="J35:J49" si="5">IF(H$12=0,0,H35/H$12)</f>
        <v>0.82973253380924805</v>
      </c>
      <c r="K35" s="5"/>
      <c r="L35" s="5">
        <f t="shared" ref="L35:L49" si="6">+D35-H35</f>
        <v>14707.419999999984</v>
      </c>
      <c r="M35" s="5"/>
      <c r="N35" s="13">
        <f t="shared" ref="N35:N49" si="7">IF(H35=0,0,L35/H35)</f>
        <v>4.1309960508502143E-2</v>
      </c>
      <c r="O35" s="11"/>
      <c r="P35" s="5">
        <f>SUM(OSRRefP16x_0)</f>
        <v>1476772.33</v>
      </c>
      <c r="Q35" s="5"/>
      <c r="R35" s="13">
        <f t="shared" ref="R35:R49" si="8">IF(P$12=0,0,P35/P$12)</f>
        <v>0.84364243275320305</v>
      </c>
      <c r="S35" s="5"/>
      <c r="T35" s="5">
        <f>SUM(OSRRefT16x_0)</f>
        <v>1864521.84</v>
      </c>
      <c r="U35" s="5"/>
      <c r="V35" s="13">
        <f t="shared" ref="V35:V49" si="9">IF(T$12=0,0,T35/T$12)</f>
        <v>0.92323333213472025</v>
      </c>
      <c r="W35" s="5"/>
      <c r="X35" s="5">
        <f t="shared" ref="X35:X49" si="10">+P35-T35</f>
        <v>-387749.51</v>
      </c>
      <c r="Y35" s="5"/>
      <c r="Z35" s="13">
        <f t="shared" ref="Z35:Z49" si="11">IF(T35=0,0,X35/T35)</f>
        <v>-0.20796190298312622</v>
      </c>
    </row>
    <row r="36" spans="1:26" s="69" customFormat="1" ht="15" hidden="1" customHeight="1" outlineLevel="1" x14ac:dyDescent="0.3">
      <c r="A36" s="42"/>
      <c r="B36" s="12" t="str">
        <f>CONCATENATE("          ","5000"," - ","PURCHASES @ COST")</f>
        <v xml:space="preserve">          5000 - PURCHASES @ COST</v>
      </c>
      <c r="C36" s="12"/>
      <c r="D36" s="3">
        <v>375710.61</v>
      </c>
      <c r="E36" s="3"/>
      <c r="F36" s="20">
        <f t="shared" si="4"/>
        <v>0.82267198504596661</v>
      </c>
      <c r="G36" s="3"/>
      <c r="H36" s="3"/>
      <c r="I36" s="3"/>
      <c r="J36" s="20">
        <f t="shared" si="5"/>
        <v>0</v>
      </c>
      <c r="K36" s="3"/>
      <c r="L36" s="3">
        <f t="shared" si="6"/>
        <v>375710.61</v>
      </c>
      <c r="M36" s="3"/>
      <c r="N36" s="20">
        <f t="shared" si="7"/>
        <v>0</v>
      </c>
      <c r="O36" s="12"/>
      <c r="P36" s="3">
        <v>1550025.54</v>
      </c>
      <c r="Q36" s="3"/>
      <c r="R36" s="20">
        <f t="shared" si="8"/>
        <v>0.88549012656216086</v>
      </c>
      <c r="S36" s="3"/>
      <c r="T36" s="3">
        <v>0</v>
      </c>
      <c r="U36" s="3"/>
      <c r="V36" s="20">
        <f t="shared" si="9"/>
        <v>0</v>
      </c>
      <c r="W36" s="3"/>
      <c r="X36" s="3">
        <f t="shared" si="10"/>
        <v>1550025.54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","5081"," - ","PURCHASES @ COST-ELECTRONICS")</f>
        <v xml:space="preserve">          5081 - PURCHASES @ COST-ELECTRONICS</v>
      </c>
      <c r="C37" s="12"/>
      <c r="D37" s="3"/>
      <c r="E37" s="3"/>
      <c r="F37" s="20">
        <f t="shared" si="4"/>
        <v>0</v>
      </c>
      <c r="G37" s="3"/>
      <c r="H37" s="3">
        <v>309.97000000000003</v>
      </c>
      <c r="I37" s="3"/>
      <c r="J37" s="20">
        <f t="shared" si="5"/>
        <v>7.2239722240750013E-4</v>
      </c>
      <c r="K37" s="3"/>
      <c r="L37" s="3">
        <f t="shared" si="6"/>
        <v>-309.97000000000003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32467.87</v>
      </c>
      <c r="U37" s="3"/>
      <c r="V37" s="20">
        <f t="shared" si="9"/>
        <v>1.6076733007008872E-2</v>
      </c>
      <c r="W37" s="3"/>
      <c r="X37" s="3">
        <f t="shared" si="10"/>
        <v>-32467.87</v>
      </c>
      <c r="Y37" s="3"/>
      <c r="Z37" s="20">
        <f t="shared" si="11"/>
        <v>-1</v>
      </c>
    </row>
    <row r="38" spans="1:26" s="69" customFormat="1" ht="15" hidden="1" customHeight="1" outlineLevel="1" x14ac:dyDescent="0.3">
      <c r="A38" s="42"/>
      <c r="B38" s="12" t="str">
        <f>CONCATENATE("          ","5082"," - ","PURCHASES @ COST-COMPUTER HARD")</f>
        <v xml:space="preserve">          5082 - PURCHASES @ COST-COMPUTER HARD</v>
      </c>
      <c r="C38" s="12"/>
      <c r="D38" s="3">
        <v>-16384.86</v>
      </c>
      <c r="E38" s="3"/>
      <c r="F38" s="20">
        <f t="shared" si="4"/>
        <v>-3.5876988677270141E-2</v>
      </c>
      <c r="G38" s="3"/>
      <c r="H38" s="3">
        <v>132715.92000000001</v>
      </c>
      <c r="I38" s="3"/>
      <c r="J38" s="20">
        <f t="shared" si="5"/>
        <v>0.30929964827969159</v>
      </c>
      <c r="K38" s="3"/>
      <c r="L38" s="3">
        <f t="shared" si="6"/>
        <v>-149100.78000000003</v>
      </c>
      <c r="M38" s="3"/>
      <c r="N38" s="20">
        <f t="shared" si="7"/>
        <v>-1.1234581352410473</v>
      </c>
      <c r="O38" s="12"/>
      <c r="P38" s="3">
        <v>-110193.26</v>
      </c>
      <c r="Q38" s="3"/>
      <c r="R38" s="20">
        <f t="shared" si="8"/>
        <v>-6.2950603861467405E-2</v>
      </c>
      <c r="S38" s="3"/>
      <c r="T38" s="3">
        <v>1396293.76</v>
      </c>
      <c r="U38" s="3"/>
      <c r="V38" s="20">
        <f t="shared" si="9"/>
        <v>0.69138634529682819</v>
      </c>
      <c r="W38" s="3"/>
      <c r="X38" s="3">
        <f t="shared" si="10"/>
        <v>-1506487.02</v>
      </c>
      <c r="Y38" s="3"/>
      <c r="Z38" s="20">
        <f t="shared" si="11"/>
        <v>-1.0789183932183439</v>
      </c>
    </row>
    <row r="39" spans="1:26" s="69" customFormat="1" ht="15" hidden="1" customHeight="1" outlineLevel="1" x14ac:dyDescent="0.3">
      <c r="A39" s="42"/>
      <c r="B39" s="12" t="str">
        <f>CONCATENATE("          ","5083"," - ","PURCHASES @ COST-COMPUTER EQUI")</f>
        <v xml:space="preserve">          5083 - PURCHASES @ COST-COMPUTER EQUI</v>
      </c>
      <c r="C39" s="12"/>
      <c r="D39" s="3"/>
      <c r="E39" s="3"/>
      <c r="F39" s="20">
        <f t="shared" si="4"/>
        <v>0</v>
      </c>
      <c r="G39" s="3"/>
      <c r="H39" s="3">
        <v>6015.06</v>
      </c>
      <c r="I39" s="3"/>
      <c r="J39" s="20">
        <f t="shared" si="5"/>
        <v>1.4018332860000831E-2</v>
      </c>
      <c r="K39" s="3"/>
      <c r="L39" s="3">
        <f t="shared" si="6"/>
        <v>-6015.06</v>
      </c>
      <c r="M39" s="3"/>
      <c r="N39" s="20">
        <f t="shared" si="7"/>
        <v>-1</v>
      </c>
      <c r="O39" s="12"/>
      <c r="P39" s="3">
        <v>0</v>
      </c>
      <c r="Q39" s="3"/>
      <c r="R39" s="20">
        <f t="shared" si="8"/>
        <v>0</v>
      </c>
      <c r="S39" s="3"/>
      <c r="T39" s="3">
        <v>105203.33</v>
      </c>
      <c r="U39" s="3"/>
      <c r="V39" s="20">
        <f t="shared" si="9"/>
        <v>5.2092294562539734E-2</v>
      </c>
      <c r="W39" s="3"/>
      <c r="X39" s="3">
        <f t="shared" si="10"/>
        <v>-105203.33</v>
      </c>
      <c r="Y39" s="3"/>
      <c r="Z39" s="20">
        <f t="shared" si="11"/>
        <v>-1</v>
      </c>
    </row>
    <row r="40" spans="1:26" s="69" customFormat="1" ht="15" hidden="1" customHeight="1" outlineLevel="1" x14ac:dyDescent="0.3">
      <c r="A40" s="42"/>
      <c r="B40" s="12" t="str">
        <f>CONCATENATE("          ","5085"," - ","PURCHASES @ COST-SOFTWARE")</f>
        <v xml:space="preserve">          5085 - PURCHASES @ COST-SOFTWARE</v>
      </c>
      <c r="C40" s="12"/>
      <c r="D40" s="3"/>
      <c r="E40" s="3"/>
      <c r="F40" s="20">
        <f t="shared" si="4"/>
        <v>0</v>
      </c>
      <c r="G40" s="3"/>
      <c r="H40" s="3">
        <v>3753.26</v>
      </c>
      <c r="I40" s="3"/>
      <c r="J40" s="20">
        <f t="shared" si="5"/>
        <v>8.7471193953388201E-3</v>
      </c>
      <c r="K40" s="3"/>
      <c r="L40" s="3">
        <f t="shared" si="6"/>
        <v>-3753.26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33898.71</v>
      </c>
      <c r="U40" s="3"/>
      <c r="V40" s="20">
        <f t="shared" si="9"/>
        <v>1.6785225207321015E-2</v>
      </c>
      <c r="W40" s="3"/>
      <c r="X40" s="3">
        <f t="shared" si="10"/>
        <v>-33898.71</v>
      </c>
      <c r="Y40" s="3"/>
      <c r="Z40" s="20">
        <f t="shared" si="11"/>
        <v>-1</v>
      </c>
    </row>
    <row r="41" spans="1:26" s="69" customFormat="1" ht="15" hidden="1" customHeight="1" outlineLevel="1" x14ac:dyDescent="0.3">
      <c r="A41" s="42"/>
      <c r="B41" s="12" t="str">
        <f>CONCATENATE("          ","5086"," - ","PURCHASES @ COST-COMPUTER SUPP")</f>
        <v xml:space="preserve">          5086 - PURCHASES @ COST-COMPUTER SUPP</v>
      </c>
      <c r="C41" s="12"/>
      <c r="D41" s="3"/>
      <c r="E41" s="3"/>
      <c r="F41" s="20">
        <f t="shared" si="4"/>
        <v>0</v>
      </c>
      <c r="G41" s="3"/>
      <c r="H41" s="3">
        <v>525.71</v>
      </c>
      <c r="I41" s="3"/>
      <c r="J41" s="20">
        <f t="shared" si="5"/>
        <v>1.2251877400775782E-3</v>
      </c>
      <c r="K41" s="3"/>
      <c r="L41" s="3">
        <f t="shared" si="6"/>
        <v>-525.71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23650.99</v>
      </c>
      <c r="U41" s="3"/>
      <c r="V41" s="20">
        <f t="shared" si="9"/>
        <v>1.1710982321336041E-2</v>
      </c>
      <c r="W41" s="3"/>
      <c r="X41" s="3">
        <f t="shared" si="10"/>
        <v>-23650.99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-375789.52</v>
      </c>
      <c r="E42" s="3"/>
      <c r="F42" s="20">
        <f t="shared" si="4"/>
        <v>-0.82284476974943832</v>
      </c>
      <c r="G42" s="3"/>
      <c r="H42" s="3">
        <v>-143329.32999999999</v>
      </c>
      <c r="I42" s="3"/>
      <c r="J42" s="20">
        <f t="shared" si="5"/>
        <v>-0.33403461587098093</v>
      </c>
      <c r="K42" s="3"/>
      <c r="L42" s="3">
        <f t="shared" si="6"/>
        <v>-232460.19000000003</v>
      </c>
      <c r="M42" s="3"/>
      <c r="N42" s="20">
        <f t="shared" si="7"/>
        <v>1.6218605780128885</v>
      </c>
      <c r="O42" s="12"/>
      <c r="P42" s="3">
        <v>-1550197.09</v>
      </c>
      <c r="Q42" s="3"/>
      <c r="R42" s="20">
        <f t="shared" si="8"/>
        <v>-0.8855881287094105</v>
      </c>
      <c r="S42" s="3"/>
      <c r="T42" s="3">
        <v>-1588000.81</v>
      </c>
      <c r="U42" s="3"/>
      <c r="V42" s="20">
        <f t="shared" si="9"/>
        <v>-0.78631166865223456</v>
      </c>
      <c r="W42" s="3"/>
      <c r="X42" s="3">
        <f t="shared" si="10"/>
        <v>37803.719999999972</v>
      </c>
      <c r="Y42" s="3"/>
      <c r="Z42" s="20">
        <f t="shared" si="11"/>
        <v>-2.3805856874846286E-2</v>
      </c>
    </row>
    <row r="43" spans="1:26" s="69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387118.28</v>
      </c>
      <c r="E43" s="3"/>
      <c r="F43" s="20">
        <f t="shared" si="4"/>
        <v>0.84765070609845272</v>
      </c>
      <c r="G43" s="3"/>
      <c r="H43" s="3">
        <v>356026</v>
      </c>
      <c r="I43" s="3"/>
      <c r="J43" s="20">
        <f t="shared" si="5"/>
        <v>0.82973253380924805</v>
      </c>
      <c r="K43" s="3"/>
      <c r="L43" s="3">
        <f t="shared" si="6"/>
        <v>31092.280000000028</v>
      </c>
      <c r="M43" s="3"/>
      <c r="N43" s="20">
        <f t="shared" si="7"/>
        <v>8.7331487026228505E-2</v>
      </c>
      <c r="O43" s="12"/>
      <c r="P43" s="3">
        <v>1586965.59</v>
      </c>
      <c r="Q43" s="3"/>
      <c r="R43" s="20">
        <f t="shared" si="8"/>
        <v>0.9065930366146705</v>
      </c>
      <c r="S43" s="3"/>
      <c r="T43" s="3">
        <v>1860576</v>
      </c>
      <c r="U43" s="3"/>
      <c r="V43" s="20">
        <f t="shared" si="9"/>
        <v>0.92127951698859656</v>
      </c>
      <c r="W43" s="3"/>
      <c r="X43" s="3">
        <f t="shared" si="10"/>
        <v>-273610.40999999992</v>
      </c>
      <c r="Y43" s="3"/>
      <c r="Z43" s="20">
        <f t="shared" si="11"/>
        <v>-0.14705683078788501</v>
      </c>
    </row>
    <row r="44" spans="1:26" s="69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78.91</v>
      </c>
      <c r="E44" s="3"/>
      <c r="F44" s="20">
        <f t="shared" si="4"/>
        <v>1.7278470347158211E-4</v>
      </c>
      <c r="G44" s="3"/>
      <c r="H44" s="3"/>
      <c r="I44" s="3"/>
      <c r="J44" s="20">
        <f t="shared" si="5"/>
        <v>0</v>
      </c>
      <c r="K44" s="3"/>
      <c r="L44" s="3">
        <f t="shared" si="6"/>
        <v>78.91</v>
      </c>
      <c r="M44" s="3"/>
      <c r="N44" s="20">
        <f t="shared" si="7"/>
        <v>0</v>
      </c>
      <c r="O44" s="12"/>
      <c r="P44" s="3">
        <v>171.55</v>
      </c>
      <c r="Q44" s="3"/>
      <c r="R44" s="20">
        <f t="shared" si="8"/>
        <v>9.800214724961158E-5</v>
      </c>
      <c r="S44" s="3"/>
      <c r="T44" s="3">
        <v>0</v>
      </c>
      <c r="U44" s="3"/>
      <c r="V44" s="20">
        <f t="shared" si="9"/>
        <v>0</v>
      </c>
      <c r="W44" s="3"/>
      <c r="X44" s="3">
        <f t="shared" si="10"/>
        <v>171.55</v>
      </c>
      <c r="Y44" s="3"/>
      <c r="Z44" s="20">
        <f t="shared" si="11"/>
        <v>0</v>
      </c>
    </row>
    <row r="45" spans="1:26" s="69" customFormat="1" ht="15" hidden="1" customHeight="1" outlineLevel="1" x14ac:dyDescent="0.3">
      <c r="A45" s="42"/>
      <c r="B45" s="12" t="str">
        <f>CONCATENATE("          ","5581"," - ","FREIGHT-IN-ELECTRONICS")</f>
        <v xml:space="preserve">          5581 - FREIGHT-IN-ELECTRONICS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/>
      <c r="Q45" s="3"/>
      <c r="R45" s="20">
        <f t="shared" si="8"/>
        <v>0</v>
      </c>
      <c r="S45" s="3"/>
      <c r="T45" s="3">
        <v>31</v>
      </c>
      <c r="U45" s="3"/>
      <c r="V45" s="20">
        <f t="shared" si="9"/>
        <v>1.534990509747868E-5</v>
      </c>
      <c r="W45" s="3"/>
      <c r="X45" s="3">
        <f t="shared" si="10"/>
        <v>-31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","5582"," - ","FREIGHT-IN-COMPUTER HARDWARE")</f>
        <v xml:space="preserve">          5582 - FREIGHT-IN-COMPUTER HARDWARE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125</v>
      </c>
      <c r="U46" s="3"/>
      <c r="V46" s="20">
        <f t="shared" si="9"/>
        <v>6.1894778618865645E-5</v>
      </c>
      <c r="W46" s="3"/>
      <c r="X46" s="3">
        <f t="shared" si="10"/>
        <v>-125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","5583"," - ","FREIGHT-IN-COMPUTER EQUIPMENT")</f>
        <v xml:space="preserve">          5583 - FREIGHT-IN-COMPUTER EQUIPMENT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>
        <v>242.46</v>
      </c>
      <c r="U47" s="3"/>
      <c r="V47" s="20">
        <f t="shared" si="9"/>
        <v>1.2005606419144131E-4</v>
      </c>
      <c r="W47" s="3"/>
      <c r="X47" s="3">
        <f t="shared" si="10"/>
        <v>-242.46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","5585"," - ","FREIGHT-IN-SOFTWARE")</f>
        <v xml:space="preserve">          5585 - FREIGHT-IN-SOFTWARE</v>
      </c>
      <c r="C48" s="12"/>
      <c r="D48" s="3"/>
      <c r="E48" s="3"/>
      <c r="F48" s="20">
        <f t="shared" si="4"/>
        <v>0</v>
      </c>
      <c r="G48" s="3"/>
      <c r="H48" s="3">
        <v>9.41</v>
      </c>
      <c r="I48" s="3"/>
      <c r="J48" s="20">
        <f t="shared" si="5"/>
        <v>2.1930373464704893E-5</v>
      </c>
      <c r="K48" s="3"/>
      <c r="L48" s="3">
        <f t="shared" si="6"/>
        <v>-9.41</v>
      </c>
      <c r="M48" s="3"/>
      <c r="N48" s="20">
        <f t="shared" si="7"/>
        <v>-1</v>
      </c>
      <c r="O48" s="12"/>
      <c r="P48" s="3"/>
      <c r="Q48" s="3"/>
      <c r="R48" s="20">
        <f t="shared" si="8"/>
        <v>0</v>
      </c>
      <c r="S48" s="3"/>
      <c r="T48" s="3">
        <v>9.41</v>
      </c>
      <c r="U48" s="3"/>
      <c r="V48" s="20">
        <f t="shared" si="9"/>
        <v>4.6594389344282054E-6</v>
      </c>
      <c r="W48" s="3"/>
      <c r="X48" s="3">
        <f t="shared" si="10"/>
        <v>-9.41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","5586"," - ","FREIGHT-IN-COMPUTER SUPPLIES")</f>
        <v xml:space="preserve">          5586 - FREIGHT-IN-COMPUTER SUPPLIES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24.12</v>
      </c>
      <c r="U49" s="3"/>
      <c r="V49" s="20">
        <f t="shared" si="9"/>
        <v>1.1943216482296315E-5</v>
      </c>
      <c r="W49" s="3"/>
      <c r="X49" s="3">
        <f t="shared" si="10"/>
        <v>-24.12</v>
      </c>
      <c r="Y49" s="3"/>
      <c r="Z49" s="20">
        <f t="shared" si="11"/>
        <v>-1</v>
      </c>
    </row>
    <row r="50" spans="1:26" ht="15" customHeight="1" x14ac:dyDescent="0.3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7" t="s">
        <v>288</v>
      </c>
      <c r="C51" s="27"/>
      <c r="D51" s="22">
        <f>D12-D35</f>
        <v>85962.100000000035</v>
      </c>
      <c r="E51" s="15"/>
      <c r="F51" s="21">
        <f>IF(D$12=0,0,D51/D$12)</f>
        <v>0.18822628257881757</v>
      </c>
      <c r="G51" s="15"/>
      <c r="H51" s="22">
        <f>H12-H35</f>
        <v>73059.260000000009</v>
      </c>
      <c r="I51" s="15"/>
      <c r="J51" s="21">
        <f>IF(H$12=0,0,H51/H$12)</f>
        <v>0.17026746619075195</v>
      </c>
      <c r="K51" s="17"/>
      <c r="L51" s="22">
        <f>+D51-H51</f>
        <v>12902.840000000026</v>
      </c>
      <c r="M51" s="17"/>
      <c r="N51" s="21">
        <f>IF(H51=0,0,L51/H51)</f>
        <v>0.17660786599809558</v>
      </c>
      <c r="O51" s="28"/>
      <c r="P51" s="22">
        <f>P12-P35</f>
        <v>273699.52</v>
      </c>
      <c r="Q51" s="15"/>
      <c r="R51" s="21">
        <f>IF(P$12=0,0,P51/P$12)</f>
        <v>0.15635756724679692</v>
      </c>
      <c r="S51" s="15"/>
      <c r="T51" s="22">
        <f>T12-T35</f>
        <v>155034.62000000011</v>
      </c>
      <c r="U51" s="15"/>
      <c r="V51" s="21">
        <f>IF(T$12=0,0,T51/T$12)</f>
        <v>7.6766667865279734E-2</v>
      </c>
      <c r="W51" s="17"/>
      <c r="X51" s="22">
        <f>+P51-T51</f>
        <v>118664.89999999991</v>
      </c>
      <c r="Y51" s="17"/>
      <c r="Z51" s="21">
        <f>IF(T51=0,0,X51/T51)</f>
        <v>0.76540904218683425</v>
      </c>
    </row>
    <row r="52" spans="1:26" ht="15" customHeight="1" x14ac:dyDescent="0.3">
      <c r="A52" s="10"/>
      <c r="B52" s="11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36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62" customFormat="1" ht="15" customHeight="1" x14ac:dyDescent="0.3">
      <c r="A53" s="11"/>
      <c r="B53" s="28" t="s">
        <v>289</v>
      </c>
      <c r="C53" s="11"/>
      <c r="D53" s="23" cm="1">
        <f t="array" ref="D53">SUM(OSRRefD22x_0)</f>
        <v>16839.859999999997</v>
      </c>
      <c r="E53" s="23"/>
      <c r="F53" s="35">
        <f t="shared" ref="F53:F93" si="12">IF(D$12=0,0,D53/D$12)</f>
        <v>3.6873276094322088E-2</v>
      </c>
      <c r="G53" s="23"/>
      <c r="H53" s="23" cm="1">
        <f t="array" ref="H53">SUM(OSRRefH22x_0)</f>
        <v>16950.63</v>
      </c>
      <c r="I53" s="23"/>
      <c r="J53" s="35">
        <f t="shared" ref="J53:J93" si="13">IF(H$12=0,0,H53/H$12)</f>
        <v>3.9504106946018143E-2</v>
      </c>
      <c r="K53" s="5"/>
      <c r="L53" s="23">
        <f t="shared" ref="L53:L93" si="14">+D53-H53</f>
        <v>-110.77000000000407</v>
      </c>
      <c r="M53" s="5"/>
      <c r="N53" s="35">
        <f t="shared" ref="N53:N93" si="15">IF(H53=0,0,L53/H53)</f>
        <v>-6.5348603562229877E-3</v>
      </c>
      <c r="O53" s="11"/>
      <c r="P53" s="23" cm="1">
        <f t="array" ref="P53">SUM(OSRRefP22x_0)</f>
        <v>132654.92000000001</v>
      </c>
      <c r="Q53" s="23"/>
      <c r="R53" s="35">
        <f t="shared" ref="R53:R93" si="16">IF(P$12=0,0,P53/P$12)</f>
        <v>7.5782378334161737E-2</v>
      </c>
      <c r="S53" s="23"/>
      <c r="T53" s="23" cm="1">
        <f t="array" ref="T53">SUM(OSRRefT22x_0)</f>
        <v>124058.65000000001</v>
      </c>
      <c r="U53" s="23"/>
      <c r="V53" s="35">
        <f t="shared" ref="V53:V93" si="17">IF(T$12=0,0,T53/T$12)</f>
        <v>6.1428661420042698E-2</v>
      </c>
      <c r="W53" s="5"/>
      <c r="X53" s="23">
        <f t="shared" ref="X53:X93" si="18">+P53-T53</f>
        <v>8596.2700000000041</v>
      </c>
      <c r="Y53" s="5"/>
      <c r="Z53" s="35">
        <f t="shared" ref="Z53:Z93" si="19">IF(T53=0,0,X53/T53)</f>
        <v>6.9291984073661966E-2</v>
      </c>
    </row>
    <row r="54" spans="1:26" s="68" customFormat="1" ht="15" customHeight="1" outlineLevel="1" collapsed="1" x14ac:dyDescent="0.3">
      <c r="A54" s="26"/>
      <c r="B54" s="14" t="str">
        <f>CONCATENATE("     ","*Benefits                                         ")</f>
        <v xml:space="preserve">     *Benefits                                         </v>
      </c>
      <c r="C54" s="14"/>
      <c r="D54" s="2">
        <f>SUM(OSRRefD22_0x_0)</f>
        <v>3279.8099999999995</v>
      </c>
      <c r="E54" s="2"/>
      <c r="F54" s="6">
        <f t="shared" si="12"/>
        <v>7.181611941365222E-3</v>
      </c>
      <c r="G54" s="2"/>
      <c r="H54" s="2">
        <f>SUM(OSRRefH22_0x_0)</f>
        <v>2924.3900000000003</v>
      </c>
      <c r="I54" s="2"/>
      <c r="J54" s="6">
        <f t="shared" si="13"/>
        <v>6.8154054045109829E-3</v>
      </c>
      <c r="K54" s="2"/>
      <c r="L54" s="2">
        <f t="shared" si="14"/>
        <v>355.41999999999916</v>
      </c>
      <c r="M54" s="2"/>
      <c r="N54" s="6">
        <f t="shared" si="15"/>
        <v>0.1215364571756842</v>
      </c>
      <c r="O54" s="14"/>
      <c r="P54" s="2">
        <f>SUM(OSRRefP22_0x_0)</f>
        <v>23248.16</v>
      </c>
      <c r="Q54" s="2"/>
      <c r="R54" s="6">
        <f t="shared" si="16"/>
        <v>1.3281081898003672E-2</v>
      </c>
      <c r="S54" s="2"/>
      <c r="T54" s="2">
        <f>SUM(OSRRefT22_0x_0)</f>
        <v>26222.32</v>
      </c>
      <c r="U54" s="2"/>
      <c r="V54" s="6">
        <f t="shared" si="17"/>
        <v>1.2984197530184424E-2</v>
      </c>
      <c r="W54" s="2"/>
      <c r="X54" s="2">
        <f t="shared" si="18"/>
        <v>-2974.16</v>
      </c>
      <c r="Y54" s="2"/>
      <c r="Z54" s="6">
        <f t="shared" si="19"/>
        <v>-0.11342093300669048</v>
      </c>
    </row>
    <row r="55" spans="1:26" s="69" customFormat="1" ht="15" hidden="1" customHeight="1" outlineLevel="2" x14ac:dyDescent="0.3">
      <c r="A55" s="25"/>
      <c r="B55" s="12" t="str">
        <f>CONCATENATE("          ","6111"," - ","F.I.C.A.")</f>
        <v xml:space="preserve">          6111 - F.I.C.A.</v>
      </c>
      <c r="C55" s="12"/>
      <c r="D55" s="8">
        <v>606.14</v>
      </c>
      <c r="E55" s="3"/>
      <c r="F55" s="7">
        <f t="shared" si="12"/>
        <v>1.3272300109271927E-3</v>
      </c>
      <c r="G55" s="3"/>
      <c r="H55" s="8">
        <v>449.24</v>
      </c>
      <c r="I55" s="3"/>
      <c r="J55" s="7">
        <f t="shared" si="13"/>
        <v>1.0469714107634459E-3</v>
      </c>
      <c r="K55" s="3"/>
      <c r="L55" s="8">
        <f t="shared" si="14"/>
        <v>156.89999999999998</v>
      </c>
      <c r="M55" s="3"/>
      <c r="N55" s="7">
        <f t="shared" si="15"/>
        <v>0.34925652212625763</v>
      </c>
      <c r="O55" s="12"/>
      <c r="P55" s="8">
        <v>4893.68</v>
      </c>
      <c r="Q55" s="3"/>
      <c r="R55" s="7">
        <f t="shared" si="16"/>
        <v>2.7956347884143351E-3</v>
      </c>
      <c r="S55" s="3"/>
      <c r="T55" s="8">
        <v>4738.08</v>
      </c>
      <c r="U55" s="3"/>
      <c r="V55" s="7">
        <f t="shared" si="17"/>
        <v>2.3460993014277993E-3</v>
      </c>
      <c r="W55" s="3"/>
      <c r="X55" s="8">
        <f t="shared" si="18"/>
        <v>155.60000000000036</v>
      </c>
      <c r="Y55" s="3"/>
      <c r="Z55" s="7">
        <f t="shared" si="19"/>
        <v>3.2840306622091725E-2</v>
      </c>
    </row>
    <row r="56" spans="1:26" s="69" customFormat="1" ht="15" hidden="1" customHeight="1" outlineLevel="2" x14ac:dyDescent="0.3">
      <c r="A56" s="25"/>
      <c r="B56" s="12" t="str">
        <f>CONCATENATE("          ","6112"," - ","COMPENSATION INSURANCE")</f>
        <v xml:space="preserve">          6112 - COMPENSATION INSURANCE</v>
      </c>
      <c r="C56" s="12"/>
      <c r="D56" s="8">
        <v>149.75</v>
      </c>
      <c r="E56" s="3"/>
      <c r="F56" s="7">
        <f t="shared" si="12"/>
        <v>3.2789899055720974E-4</v>
      </c>
      <c r="G56" s="3"/>
      <c r="H56" s="8">
        <v>184.54</v>
      </c>
      <c r="I56" s="3"/>
      <c r="J56" s="7">
        <f t="shared" si="13"/>
        <v>4.3007769598051444E-4</v>
      </c>
      <c r="K56" s="3"/>
      <c r="L56" s="8">
        <f t="shared" si="14"/>
        <v>-34.789999999999992</v>
      </c>
      <c r="M56" s="3"/>
      <c r="N56" s="7">
        <f t="shared" si="15"/>
        <v>-0.18852281348217184</v>
      </c>
      <c r="O56" s="12"/>
      <c r="P56" s="8">
        <v>1299.0999999999999</v>
      </c>
      <c r="Q56" s="3"/>
      <c r="R56" s="7">
        <f t="shared" si="16"/>
        <v>7.4214275425223196E-4</v>
      </c>
      <c r="S56" s="3"/>
      <c r="T56" s="8">
        <v>1358.75</v>
      </c>
      <c r="U56" s="3"/>
      <c r="V56" s="7">
        <f t="shared" si="17"/>
        <v>6.727962435870696E-4</v>
      </c>
      <c r="W56" s="3"/>
      <c r="X56" s="8">
        <f t="shared" si="18"/>
        <v>-59.650000000000091</v>
      </c>
      <c r="Y56" s="3"/>
      <c r="Z56" s="7">
        <f t="shared" si="19"/>
        <v>-4.3900643974241101E-2</v>
      </c>
    </row>
    <row r="57" spans="1:26" s="69" customFormat="1" ht="15" hidden="1" customHeight="1" outlineLevel="2" x14ac:dyDescent="0.3">
      <c r="A57" s="25"/>
      <c r="B57" s="12" t="str">
        <f>CONCATENATE("          ","6113"," - ","GROUP INSURANCE")</f>
        <v xml:space="preserve">          6113 - GROUP INSURANCE</v>
      </c>
      <c r="C57" s="12"/>
      <c r="D57" s="8">
        <v>1539.12</v>
      </c>
      <c r="E57" s="3"/>
      <c r="F57" s="7">
        <f t="shared" si="12"/>
        <v>3.3701228336989156E-3</v>
      </c>
      <c r="G57" s="3"/>
      <c r="H57" s="8">
        <v>1053.8499999999999</v>
      </c>
      <c r="I57" s="3"/>
      <c r="J57" s="7">
        <f t="shared" si="13"/>
        <v>2.4560386903059775E-3</v>
      </c>
      <c r="K57" s="3"/>
      <c r="L57" s="8">
        <f t="shared" si="14"/>
        <v>485.27</v>
      </c>
      <c r="M57" s="3"/>
      <c r="N57" s="7">
        <f t="shared" si="15"/>
        <v>0.46047350192152586</v>
      </c>
      <c r="O57" s="12"/>
      <c r="P57" s="8">
        <v>8367.77</v>
      </c>
      <c r="Q57" s="3"/>
      <c r="R57" s="7">
        <f t="shared" si="16"/>
        <v>4.7802939533132163E-3</v>
      </c>
      <c r="S57" s="3"/>
      <c r="T57" s="8">
        <v>9376.33</v>
      </c>
      <c r="U57" s="3"/>
      <c r="V57" s="7">
        <f t="shared" si="17"/>
        <v>4.6427669568594281E-3</v>
      </c>
      <c r="W57" s="3"/>
      <c r="X57" s="8">
        <f t="shared" si="18"/>
        <v>-1008.5599999999995</v>
      </c>
      <c r="Y57" s="3"/>
      <c r="Z57" s="7">
        <f t="shared" si="19"/>
        <v>-0.10756447352002324</v>
      </c>
    </row>
    <row r="58" spans="1:26" s="69" customFormat="1" ht="15" hidden="1" customHeight="1" outlineLevel="2" x14ac:dyDescent="0.3">
      <c r="A58" s="25"/>
      <c r="B58" s="12" t="str">
        <f>CONCATENATE("          ","6114"," - ","STATE UNEMPLOYMENT INSURANCE")</f>
        <v xml:space="preserve">          6114 - STATE UNEMPLOYMENT INSURANCE</v>
      </c>
      <c r="C58" s="12"/>
      <c r="D58" s="8">
        <v>26.31</v>
      </c>
      <c r="E58" s="3"/>
      <c r="F58" s="7">
        <f t="shared" si="12"/>
        <v>5.7609498775026296E-5</v>
      </c>
      <c r="G58" s="3"/>
      <c r="H58" s="8">
        <v>25.93</v>
      </c>
      <c r="I58" s="3"/>
      <c r="J58" s="7">
        <f t="shared" si="13"/>
        <v>6.0430880333666088E-5</v>
      </c>
      <c r="K58" s="3"/>
      <c r="L58" s="8">
        <f t="shared" si="14"/>
        <v>0.37999999999999901</v>
      </c>
      <c r="M58" s="3"/>
      <c r="N58" s="7">
        <f t="shared" si="15"/>
        <v>1.465483995372152E-2</v>
      </c>
      <c r="O58" s="12"/>
      <c r="P58" s="8">
        <v>228.23</v>
      </c>
      <c r="Q58" s="3"/>
      <c r="R58" s="7">
        <f t="shared" si="16"/>
        <v>1.303819881479385E-4</v>
      </c>
      <c r="S58" s="3"/>
      <c r="T58" s="8">
        <v>205.66</v>
      </c>
      <c r="U58" s="3"/>
      <c r="V58" s="7">
        <f t="shared" si="17"/>
        <v>1.0183424136604727E-4</v>
      </c>
      <c r="W58" s="3"/>
      <c r="X58" s="8">
        <f t="shared" si="18"/>
        <v>22.569999999999993</v>
      </c>
      <c r="Y58" s="3"/>
      <c r="Z58" s="7">
        <f t="shared" si="19"/>
        <v>0.1097442380628221</v>
      </c>
    </row>
    <row r="59" spans="1:26" s="69" customFormat="1" ht="15" hidden="1" customHeight="1" outlineLevel="2" x14ac:dyDescent="0.3">
      <c r="A59" s="25"/>
      <c r="B59" s="12" t="str">
        <f>CONCATENATE("          ","6115"," - ","P.E.R.S.")</f>
        <v xml:space="preserve">          6115 - P.E.R.S.</v>
      </c>
      <c r="C59" s="12"/>
      <c r="D59" s="8">
        <v>123.87</v>
      </c>
      <c r="E59" s="3"/>
      <c r="F59" s="7">
        <f t="shared" si="12"/>
        <v>2.7123103813236443E-4</v>
      </c>
      <c r="G59" s="3"/>
      <c r="H59" s="8">
        <v>176.42</v>
      </c>
      <c r="I59" s="3"/>
      <c r="J59" s="7">
        <f t="shared" si="13"/>
        <v>4.1115371802797419E-4</v>
      </c>
      <c r="K59" s="3"/>
      <c r="L59" s="8">
        <f t="shared" si="14"/>
        <v>-52.549999999999983</v>
      </c>
      <c r="M59" s="3"/>
      <c r="N59" s="7">
        <f t="shared" si="15"/>
        <v>-0.29786872236707851</v>
      </c>
      <c r="O59" s="12"/>
      <c r="P59" s="8">
        <v>1038.68</v>
      </c>
      <c r="Q59" s="3"/>
      <c r="R59" s="7">
        <f t="shared" si="16"/>
        <v>5.9337143867809134E-4</v>
      </c>
      <c r="S59" s="3"/>
      <c r="T59" s="8">
        <v>1764.2</v>
      </c>
      <c r="U59" s="3"/>
      <c r="V59" s="7">
        <f t="shared" si="17"/>
        <v>8.7355814751522212E-4</v>
      </c>
      <c r="W59" s="3"/>
      <c r="X59" s="8">
        <f t="shared" si="18"/>
        <v>-725.52</v>
      </c>
      <c r="Y59" s="3"/>
      <c r="Z59" s="7">
        <f t="shared" si="19"/>
        <v>-0.41124589048860671</v>
      </c>
    </row>
    <row r="60" spans="1:26" s="69" customFormat="1" ht="15" hidden="1" customHeight="1" outlineLevel="2" x14ac:dyDescent="0.3">
      <c r="A60" s="25"/>
      <c r="B60" s="12" t="str">
        <f>CONCATENATE("          ","6117"," - ","RETIREMENT STAFF HOURLY")</f>
        <v xml:space="preserve">          6117 - RETIREMENT STAFF HOURLY</v>
      </c>
      <c r="C60" s="12"/>
      <c r="D60" s="8">
        <v>120</v>
      </c>
      <c r="E60" s="3"/>
      <c r="F60" s="7">
        <f t="shared" si="12"/>
        <v>2.627571209807357E-4</v>
      </c>
      <c r="G60" s="3"/>
      <c r="H60" s="8">
        <v>264</v>
      </c>
      <c r="I60" s="3"/>
      <c r="J60" s="7">
        <f t="shared" si="13"/>
        <v>6.1526233737322971E-4</v>
      </c>
      <c r="K60" s="3"/>
      <c r="L60" s="8">
        <f t="shared" si="14"/>
        <v>-144</v>
      </c>
      <c r="M60" s="3"/>
      <c r="N60" s="7">
        <f t="shared" si="15"/>
        <v>-0.54545454545454541</v>
      </c>
      <c r="O60" s="12"/>
      <c r="P60" s="8">
        <v>2.66</v>
      </c>
      <c r="Q60" s="3"/>
      <c r="R60" s="7">
        <f t="shared" si="16"/>
        <v>1.519590275044983E-6</v>
      </c>
      <c r="S60" s="3"/>
      <c r="T60" s="8">
        <v>1721.04</v>
      </c>
      <c r="U60" s="3"/>
      <c r="V60" s="7">
        <f t="shared" si="17"/>
        <v>8.5218711835370023E-4</v>
      </c>
      <c r="W60" s="3"/>
      <c r="X60" s="8">
        <f t="shared" si="18"/>
        <v>-1718.3799999999999</v>
      </c>
      <c r="Y60" s="3"/>
      <c r="Z60" s="7">
        <f t="shared" si="19"/>
        <v>-0.99845442290707942</v>
      </c>
    </row>
    <row r="61" spans="1:26" s="69" customFormat="1" ht="15" hidden="1" customHeight="1" outlineLevel="2" x14ac:dyDescent="0.3">
      <c r="A61" s="25"/>
      <c r="B61" s="12" t="str">
        <f>CONCATENATE("          ","6118"," - ","VACATION")</f>
        <v xml:space="preserve">          6118 - VACATION</v>
      </c>
      <c r="C61" s="12"/>
      <c r="D61" s="8">
        <v>247.46</v>
      </c>
      <c r="E61" s="3"/>
      <c r="F61" s="7">
        <f t="shared" si="12"/>
        <v>5.4184897631577383E-4</v>
      </c>
      <c r="G61" s="3"/>
      <c r="H61" s="8">
        <v>267.04000000000002</v>
      </c>
      <c r="I61" s="3"/>
      <c r="J61" s="7">
        <f t="shared" si="13"/>
        <v>6.2234717640964881E-4</v>
      </c>
      <c r="K61" s="3"/>
      <c r="L61" s="8">
        <f t="shared" si="14"/>
        <v>-19.580000000000013</v>
      </c>
      <c r="M61" s="3"/>
      <c r="N61" s="7">
        <f t="shared" si="15"/>
        <v>-7.3322348711803514E-2</v>
      </c>
      <c r="O61" s="12"/>
      <c r="P61" s="8">
        <v>2540.4299999999998</v>
      </c>
      <c r="Q61" s="3"/>
      <c r="R61" s="7">
        <f t="shared" si="16"/>
        <v>1.4512829783580922E-3</v>
      </c>
      <c r="S61" s="3"/>
      <c r="T61" s="8">
        <v>2490.66</v>
      </c>
      <c r="U61" s="3"/>
      <c r="V61" s="7">
        <f t="shared" si="17"/>
        <v>1.2332707945189112E-3</v>
      </c>
      <c r="W61" s="3"/>
      <c r="X61" s="8">
        <f t="shared" si="18"/>
        <v>49.769999999999982</v>
      </c>
      <c r="Y61" s="3"/>
      <c r="Z61" s="7">
        <f t="shared" si="19"/>
        <v>1.9982655199826546E-2</v>
      </c>
    </row>
    <row r="62" spans="1:26" s="69" customFormat="1" ht="15" hidden="1" customHeight="1" outlineLevel="2" x14ac:dyDescent="0.3">
      <c r="A62" s="25"/>
      <c r="B62" s="12" t="str">
        <f>CONCATENATE("          ","6119"," - ","SICK LEAVE")</f>
        <v xml:space="preserve">          6119 - SICK LEAVE</v>
      </c>
      <c r="C62" s="12"/>
      <c r="D62" s="8">
        <v>228.77</v>
      </c>
      <c r="E62" s="3"/>
      <c r="F62" s="7">
        <f t="shared" si="12"/>
        <v>5.0092455472302417E-4</v>
      </c>
      <c r="G62" s="3"/>
      <c r="H62" s="8">
        <v>267.63</v>
      </c>
      <c r="I62" s="3"/>
      <c r="J62" s="7">
        <f t="shared" si="13"/>
        <v>6.2372219451211166E-4</v>
      </c>
      <c r="K62" s="3"/>
      <c r="L62" s="8">
        <f t="shared" si="14"/>
        <v>-38.859999999999985</v>
      </c>
      <c r="M62" s="3"/>
      <c r="N62" s="7">
        <f t="shared" si="15"/>
        <v>-0.14520046332623393</v>
      </c>
      <c r="O62" s="12"/>
      <c r="P62" s="8">
        <v>3303.21</v>
      </c>
      <c r="Q62" s="3"/>
      <c r="R62" s="7">
        <f t="shared" si="16"/>
        <v>1.8870397715907285E-3</v>
      </c>
      <c r="S62" s="3"/>
      <c r="T62" s="8">
        <v>2487.1799999999998</v>
      </c>
      <c r="U62" s="3"/>
      <c r="V62" s="7">
        <f t="shared" si="17"/>
        <v>1.2315476438821619E-3</v>
      </c>
      <c r="W62" s="3"/>
      <c r="X62" s="8">
        <f t="shared" si="18"/>
        <v>816.0300000000002</v>
      </c>
      <c r="Y62" s="3"/>
      <c r="Z62" s="7">
        <f t="shared" si="19"/>
        <v>0.32809446843413032</v>
      </c>
    </row>
    <row r="63" spans="1:26" s="69" customFormat="1" ht="15" hidden="1" customHeight="1" outlineLevel="2" x14ac:dyDescent="0.3">
      <c r="A63" s="25"/>
      <c r="B63" s="12" t="str">
        <f>CONCATENATE("          ","6156"," - ","EMPLOYEE MEALS")</f>
        <v xml:space="preserve">          6156 - EMPLOYEE MEALS</v>
      </c>
      <c r="C63" s="12"/>
      <c r="D63" s="8">
        <v>238.39</v>
      </c>
      <c r="E63" s="3"/>
      <c r="F63" s="7">
        <f t="shared" si="12"/>
        <v>5.2198891725497979E-4</v>
      </c>
      <c r="G63" s="3"/>
      <c r="H63" s="8">
        <v>235.74</v>
      </c>
      <c r="I63" s="3"/>
      <c r="J63" s="7">
        <f t="shared" si="13"/>
        <v>5.4940130080441353E-4</v>
      </c>
      <c r="K63" s="3"/>
      <c r="L63" s="8">
        <f t="shared" si="14"/>
        <v>2.6499999999999773</v>
      </c>
      <c r="M63" s="3"/>
      <c r="N63" s="7">
        <f t="shared" si="15"/>
        <v>1.1241197929922699E-2</v>
      </c>
      <c r="O63" s="12"/>
      <c r="P63" s="8">
        <v>1574.4</v>
      </c>
      <c r="Q63" s="3"/>
      <c r="R63" s="7">
        <f t="shared" si="16"/>
        <v>8.9941463497399284E-4</v>
      </c>
      <c r="S63" s="3"/>
      <c r="T63" s="8">
        <v>2080.42</v>
      </c>
      <c r="U63" s="3"/>
      <c r="V63" s="7">
        <f t="shared" si="17"/>
        <v>1.0301370826740837E-3</v>
      </c>
      <c r="W63" s="3"/>
      <c r="X63" s="8">
        <f t="shared" si="18"/>
        <v>-506.02</v>
      </c>
      <c r="Y63" s="3"/>
      <c r="Z63" s="7">
        <f t="shared" si="19"/>
        <v>-0.24322973245786908</v>
      </c>
    </row>
    <row r="64" spans="1:26" s="68" customFormat="1" ht="15" customHeight="1" outlineLevel="1" collapsed="1" x14ac:dyDescent="0.3">
      <c r="A64" s="26"/>
      <c r="B64" s="14" t="str">
        <f>CONCATENATE("     ","*Payroll                                          ")</f>
        <v xml:space="preserve">     *Payroll                                          </v>
      </c>
      <c r="C64" s="14"/>
      <c r="D64" s="2">
        <f>SUM(OSRRefD22_1x_0)</f>
        <v>11228.220000000001</v>
      </c>
      <c r="E64" s="2"/>
      <c r="F64" s="6">
        <f t="shared" si="12"/>
        <v>2.4585789674485971E-2</v>
      </c>
      <c r="G64" s="2"/>
      <c r="H64" s="2">
        <f>SUM(OSRRefH22_1x_0)</f>
        <v>8405.5</v>
      </c>
      <c r="I64" s="2"/>
      <c r="J64" s="6">
        <f t="shared" si="13"/>
        <v>1.9589346881782887E-2</v>
      </c>
      <c r="K64" s="2"/>
      <c r="L64" s="2">
        <f t="shared" si="14"/>
        <v>2822.7200000000012</v>
      </c>
      <c r="M64" s="2"/>
      <c r="N64" s="6">
        <f t="shared" si="15"/>
        <v>0.33581821426446984</v>
      </c>
      <c r="O64" s="14"/>
      <c r="P64" s="2">
        <f>SUM(OSRRefP22_1x_0)</f>
        <v>92305.21</v>
      </c>
      <c r="Q64" s="2"/>
      <c r="R64" s="6">
        <f t="shared" si="16"/>
        <v>5.2731616335332673E-2</v>
      </c>
      <c r="S64" s="2"/>
      <c r="T64" s="2">
        <f>SUM(OSRRefT22_1x_0)</f>
        <v>73810.960000000006</v>
      </c>
      <c r="U64" s="2"/>
      <c r="V64" s="6">
        <f t="shared" si="17"/>
        <v>3.6548104230767584E-2</v>
      </c>
      <c r="W64" s="2"/>
      <c r="X64" s="2">
        <f t="shared" si="18"/>
        <v>18494.25</v>
      </c>
      <c r="Y64" s="2"/>
      <c r="Z64" s="6">
        <f t="shared" si="19"/>
        <v>0.25056238260551006</v>
      </c>
    </row>
    <row r="65" spans="1:26" s="69" customFormat="1" ht="15" hidden="1" customHeight="1" outlineLevel="2" x14ac:dyDescent="0.3">
      <c r="A65" s="25"/>
      <c r="B65" s="12" t="str">
        <f>CONCATENATE("          ","6002"," - ","STAFF SALARIES")</f>
        <v xml:space="preserve">          6002 - STAFF SALARIES</v>
      </c>
      <c r="C65" s="12"/>
      <c r="D65" s="8">
        <v>1632</v>
      </c>
      <c r="E65" s="3"/>
      <c r="F65" s="7">
        <f t="shared" si="12"/>
        <v>3.5734968453380055E-3</v>
      </c>
      <c r="G65" s="3"/>
      <c r="H65" s="8">
        <v>2357.3000000000002</v>
      </c>
      <c r="I65" s="3"/>
      <c r="J65" s="7">
        <f t="shared" si="13"/>
        <v>5.4937799541284645E-3</v>
      </c>
      <c r="K65" s="3"/>
      <c r="L65" s="8">
        <f t="shared" si="14"/>
        <v>-725.30000000000018</v>
      </c>
      <c r="M65" s="3"/>
      <c r="N65" s="7">
        <f t="shared" si="15"/>
        <v>-0.30768251813515468</v>
      </c>
      <c r="O65" s="12"/>
      <c r="P65" s="8">
        <v>16584.939999999999</v>
      </c>
      <c r="Q65" s="3"/>
      <c r="R65" s="7">
        <f t="shared" si="16"/>
        <v>9.4745539609791488E-3</v>
      </c>
      <c r="S65" s="3"/>
      <c r="T65" s="8">
        <v>20880.25</v>
      </c>
      <c r="U65" s="3"/>
      <c r="V65" s="7">
        <f t="shared" si="17"/>
        <v>1.0339027610052554E-2</v>
      </c>
      <c r="W65" s="3"/>
      <c r="X65" s="8">
        <f t="shared" si="18"/>
        <v>-4295.3100000000013</v>
      </c>
      <c r="Y65" s="3"/>
      <c r="Z65" s="7">
        <f t="shared" si="19"/>
        <v>-0.20571161743753075</v>
      </c>
    </row>
    <row r="66" spans="1:26" s="69" customFormat="1" ht="15" hidden="1" customHeight="1" outlineLevel="2" x14ac:dyDescent="0.3">
      <c r="A66" s="25"/>
      <c r="B66" s="12" t="str">
        <f>CONCATENATE("          ","6004"," - ","STAFF HOURLY")</f>
        <v xml:space="preserve">          6004 - STAFF HOURLY</v>
      </c>
      <c r="C66" s="12"/>
      <c r="D66" s="8">
        <v>3489.49</v>
      </c>
      <c r="E66" s="3"/>
      <c r="F66" s="7">
        <f t="shared" si="12"/>
        <v>7.6407362174255606E-3</v>
      </c>
      <c r="G66" s="3"/>
      <c r="H66" s="8">
        <v>3520</v>
      </c>
      <c r="I66" s="3"/>
      <c r="J66" s="7">
        <f t="shared" si="13"/>
        <v>8.2034978316430623E-3</v>
      </c>
      <c r="K66" s="3"/>
      <c r="L66" s="8">
        <f t="shared" si="14"/>
        <v>-30.510000000000218</v>
      </c>
      <c r="M66" s="3"/>
      <c r="N66" s="7">
        <f t="shared" si="15"/>
        <v>-8.6676136363636989E-3</v>
      </c>
      <c r="O66" s="12"/>
      <c r="P66" s="8">
        <v>28472.639999999999</v>
      </c>
      <c r="Q66" s="3"/>
      <c r="R66" s="7">
        <f t="shared" si="16"/>
        <v>1.6265694304081497E-2</v>
      </c>
      <c r="S66" s="3"/>
      <c r="T66" s="8">
        <v>31720.16</v>
      </c>
      <c r="U66" s="3"/>
      <c r="V66" s="7">
        <f t="shared" si="17"/>
        <v>1.5706498247639977E-2</v>
      </c>
      <c r="W66" s="3"/>
      <c r="X66" s="8">
        <f t="shared" si="18"/>
        <v>-3247.5200000000004</v>
      </c>
      <c r="Y66" s="3"/>
      <c r="Z66" s="7">
        <f t="shared" si="19"/>
        <v>-0.10238031586221509</v>
      </c>
    </row>
    <row r="67" spans="1:26" s="69" customFormat="1" ht="15" hidden="1" customHeight="1" outlineLevel="2" x14ac:dyDescent="0.3">
      <c r="A67" s="25"/>
      <c r="B67" s="12" t="str">
        <f>CONCATENATE("          ","6005"," - ","TEMPORARY WAGES-HOURLY")</f>
        <v xml:space="preserve">          6005 - TEMPORARY WAGES-HOURLY</v>
      </c>
      <c r="C67" s="12"/>
      <c r="D67" s="8">
        <v>1412.76</v>
      </c>
      <c r="E67" s="3"/>
      <c r="F67" s="7">
        <f t="shared" si="12"/>
        <v>3.0934395853062014E-3</v>
      </c>
      <c r="G67" s="3"/>
      <c r="H67" s="8"/>
      <c r="I67" s="3"/>
      <c r="J67" s="7">
        <f t="shared" si="13"/>
        <v>0</v>
      </c>
      <c r="K67" s="3"/>
      <c r="L67" s="8">
        <f t="shared" si="14"/>
        <v>1412.76</v>
      </c>
      <c r="M67" s="3"/>
      <c r="N67" s="7">
        <f t="shared" si="15"/>
        <v>0</v>
      </c>
      <c r="O67" s="12"/>
      <c r="P67" s="8">
        <v>11954.94</v>
      </c>
      <c r="Q67" s="3"/>
      <c r="R67" s="7">
        <f t="shared" si="16"/>
        <v>6.8295528431376942E-3</v>
      </c>
      <c r="S67" s="3"/>
      <c r="T67" s="8"/>
      <c r="U67" s="3"/>
      <c r="V67" s="7">
        <f t="shared" si="17"/>
        <v>0</v>
      </c>
      <c r="W67" s="3"/>
      <c r="X67" s="8">
        <f t="shared" si="18"/>
        <v>11954.94</v>
      </c>
      <c r="Y67" s="3"/>
      <c r="Z67" s="7">
        <f t="shared" si="19"/>
        <v>0</v>
      </c>
    </row>
    <row r="68" spans="1:26" s="69" customFormat="1" ht="15" hidden="1" customHeight="1" outlineLevel="2" x14ac:dyDescent="0.3">
      <c r="A68" s="25"/>
      <c r="B68" s="12" t="str">
        <f>CONCATENATE("          ","6007"," - ","STUDENT HOURLY")</f>
        <v xml:space="preserve">          6007 - STUDENT HOURLY</v>
      </c>
      <c r="C68" s="12"/>
      <c r="D68" s="8">
        <v>4693.97</v>
      </c>
      <c r="E68" s="3"/>
      <c r="F68" s="7">
        <f t="shared" si="12"/>
        <v>1.0278117026416199E-2</v>
      </c>
      <c r="G68" s="3"/>
      <c r="H68" s="8">
        <v>2528.1999999999998</v>
      </c>
      <c r="I68" s="3"/>
      <c r="J68" s="7">
        <f t="shared" si="13"/>
        <v>5.892069096011361E-3</v>
      </c>
      <c r="K68" s="3"/>
      <c r="L68" s="8">
        <f t="shared" si="14"/>
        <v>2165.7700000000004</v>
      </c>
      <c r="M68" s="3"/>
      <c r="N68" s="7">
        <f t="shared" si="15"/>
        <v>0.8566450439047546</v>
      </c>
      <c r="O68" s="12"/>
      <c r="P68" s="8">
        <v>29147.06</v>
      </c>
      <c r="Q68" s="3"/>
      <c r="R68" s="7">
        <f t="shared" si="16"/>
        <v>1.6650973279004742E-2</v>
      </c>
      <c r="S68" s="3"/>
      <c r="T68" s="8">
        <v>21210.55</v>
      </c>
      <c r="U68" s="3"/>
      <c r="V68" s="7">
        <f t="shared" si="17"/>
        <v>1.0502578373075045E-2</v>
      </c>
      <c r="W68" s="3"/>
      <c r="X68" s="8">
        <f t="shared" si="18"/>
        <v>7936.510000000002</v>
      </c>
      <c r="Y68" s="3"/>
      <c r="Z68" s="7">
        <f t="shared" si="19"/>
        <v>0.37417747300282184</v>
      </c>
    </row>
    <row r="69" spans="1:26" s="69" customFormat="1" ht="15" hidden="1" customHeight="1" outlineLevel="2" x14ac:dyDescent="0.3">
      <c r="A69" s="25"/>
      <c r="B69" s="12" t="str">
        <f>CONCATENATE("          ","6008"," - ","STUDENT HOURLY-FICA EXEMPT")</f>
        <v xml:space="preserve">          6008 - STUDENT HOURLY-FICA EXEMPT</v>
      </c>
      <c r="C69" s="12"/>
      <c r="D69" s="8"/>
      <c r="E69" s="3"/>
      <c r="F69" s="7">
        <f t="shared" si="12"/>
        <v>0</v>
      </c>
      <c r="G69" s="3"/>
      <c r="H69" s="8"/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6145.63</v>
      </c>
      <c r="Q69" s="3"/>
      <c r="R69" s="7">
        <f t="shared" si="16"/>
        <v>3.5108419481295855E-3</v>
      </c>
      <c r="S69" s="3"/>
      <c r="T69" s="8"/>
      <c r="U69" s="3"/>
      <c r="V69" s="7">
        <f t="shared" si="17"/>
        <v>0</v>
      </c>
      <c r="W69" s="3"/>
      <c r="X69" s="8">
        <f t="shared" si="18"/>
        <v>6145.63</v>
      </c>
      <c r="Y69" s="3"/>
      <c r="Z69" s="7">
        <f t="shared" si="19"/>
        <v>0</v>
      </c>
    </row>
    <row r="70" spans="1:26" s="68" customFormat="1" ht="15" customHeight="1" outlineLevel="1" collapsed="1" x14ac:dyDescent="0.3">
      <c r="A70" s="26"/>
      <c r="B70" s="14" t="str">
        <f>CONCATENATE("     ","Advertising/Promo                                 ")</f>
        <v xml:space="preserve">     Advertising/Promo                                 </v>
      </c>
      <c r="C70" s="14"/>
      <c r="D70" s="2">
        <f>SUM(OSRRefD22_2x_0)</f>
        <v>1.98</v>
      </c>
      <c r="E70" s="2"/>
      <c r="F70" s="6">
        <f t="shared" si="12"/>
        <v>4.3354924961821385E-6</v>
      </c>
      <c r="G70" s="2"/>
      <c r="H70" s="2">
        <f>SUM(OSRRefH22_2x_0)</f>
        <v>0</v>
      </c>
      <c r="I70" s="2"/>
      <c r="J70" s="6">
        <f t="shared" si="13"/>
        <v>0</v>
      </c>
      <c r="K70" s="2"/>
      <c r="L70" s="2">
        <f t="shared" si="14"/>
        <v>1.98</v>
      </c>
      <c r="M70" s="2"/>
      <c r="N70" s="6">
        <f t="shared" si="15"/>
        <v>0</v>
      </c>
      <c r="O70" s="14"/>
      <c r="P70" s="2">
        <f>SUM(OSRRefP22_2x_0)</f>
        <v>178.97</v>
      </c>
      <c r="Q70" s="2"/>
      <c r="R70" s="6">
        <f t="shared" si="16"/>
        <v>1.0224100433263179E-4</v>
      </c>
      <c r="S70" s="2"/>
      <c r="T70" s="2">
        <f>SUM(OSRRefT22_2x_0)</f>
        <v>598.92999999999995</v>
      </c>
      <c r="U70" s="2"/>
      <c r="V70" s="6">
        <f t="shared" si="17"/>
        <v>2.965651180655776E-4</v>
      </c>
      <c r="W70" s="2"/>
      <c r="X70" s="2">
        <f t="shared" si="18"/>
        <v>-419.95999999999992</v>
      </c>
      <c r="Y70" s="2"/>
      <c r="Z70" s="6">
        <f t="shared" si="19"/>
        <v>-0.70118377773696416</v>
      </c>
    </row>
    <row r="71" spans="1:26" s="69" customFormat="1" ht="15" hidden="1" customHeight="1" outlineLevel="2" x14ac:dyDescent="0.3">
      <c r="A71" s="25"/>
      <c r="B71" s="12" t="str">
        <f>CONCATENATE("          ","6362"," - ","ADVERTISING EXPENSE")</f>
        <v xml:space="preserve">          6362 - ADVERTISING EXPENSE</v>
      </c>
      <c r="C71" s="12"/>
      <c r="D71" s="8">
        <v>1.98</v>
      </c>
      <c r="E71" s="3"/>
      <c r="F71" s="7">
        <f t="shared" si="12"/>
        <v>4.3354924961821385E-6</v>
      </c>
      <c r="G71" s="3"/>
      <c r="H71" s="8"/>
      <c r="I71" s="3"/>
      <c r="J71" s="7">
        <f t="shared" si="13"/>
        <v>0</v>
      </c>
      <c r="K71" s="3"/>
      <c r="L71" s="8">
        <f t="shared" si="14"/>
        <v>1.98</v>
      </c>
      <c r="M71" s="3"/>
      <c r="N71" s="7">
        <f t="shared" si="15"/>
        <v>0</v>
      </c>
      <c r="O71" s="12"/>
      <c r="P71" s="8">
        <v>178.97</v>
      </c>
      <c r="Q71" s="3"/>
      <c r="R71" s="7">
        <f t="shared" si="16"/>
        <v>1.0224100433263179E-4</v>
      </c>
      <c r="S71" s="3"/>
      <c r="T71" s="8">
        <v>598.92999999999995</v>
      </c>
      <c r="U71" s="3"/>
      <c r="V71" s="7">
        <f t="shared" si="17"/>
        <v>2.965651180655776E-4</v>
      </c>
      <c r="W71" s="3"/>
      <c r="X71" s="8">
        <f t="shared" si="18"/>
        <v>-419.95999999999992</v>
      </c>
      <c r="Y71" s="3"/>
      <c r="Z71" s="7">
        <f t="shared" si="19"/>
        <v>-0.70118377773696416</v>
      </c>
    </row>
    <row r="72" spans="1:26" s="68" customFormat="1" ht="15" customHeight="1" outlineLevel="1" collapsed="1" x14ac:dyDescent="0.3">
      <c r="A72" s="26"/>
      <c r="B72" s="14" t="str">
        <f>CONCATENATE("     ","Depreciation                                      ")</f>
        <v xml:space="preserve">     Depreciation                                      </v>
      </c>
      <c r="C72" s="14"/>
      <c r="D72" s="2">
        <f>SUM(OSRRefD22_3x_0)</f>
        <v>280.44</v>
      </c>
      <c r="E72" s="2"/>
      <c r="F72" s="6">
        <f t="shared" si="12"/>
        <v>6.140633917319793E-4</v>
      </c>
      <c r="G72" s="2"/>
      <c r="H72" s="2">
        <f>SUM(OSRRefH22_3x_0)</f>
        <v>280.44</v>
      </c>
      <c r="I72" s="2"/>
      <c r="J72" s="6">
        <f t="shared" si="13"/>
        <v>6.5357640110965353E-4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SUM(OSRRefP22_3x_0)</f>
        <v>2523.96</v>
      </c>
      <c r="Q72" s="2"/>
      <c r="R72" s="6">
        <f t="shared" si="16"/>
        <v>1.4418740866926822E-3</v>
      </c>
      <c r="S72" s="2"/>
      <c r="T72" s="2">
        <f>SUM(OSRRefT22_3x_0)</f>
        <v>2523.96</v>
      </c>
      <c r="U72" s="2"/>
      <c r="V72" s="6">
        <f t="shared" si="17"/>
        <v>1.2497595635429771E-3</v>
      </c>
      <c r="W72" s="2"/>
      <c r="X72" s="2">
        <f t="shared" si="18"/>
        <v>0</v>
      </c>
      <c r="Y72" s="2"/>
      <c r="Z72" s="6">
        <f t="shared" si="19"/>
        <v>0</v>
      </c>
    </row>
    <row r="73" spans="1:26" s="69" customFormat="1" ht="15" hidden="1" customHeight="1" outlineLevel="2" x14ac:dyDescent="0.3">
      <c r="A73" s="25"/>
      <c r="B73" s="12" t="str">
        <f>CONCATENATE("          ","6322"," - ","EQUIPMENT DEPRECIATION EXPENSE")</f>
        <v xml:space="preserve">          6322 - EQUIPMENT DEPRECIATION EXPENSE</v>
      </c>
      <c r="C73" s="12"/>
      <c r="D73" s="8">
        <v>280.44</v>
      </c>
      <c r="E73" s="3"/>
      <c r="F73" s="7">
        <f t="shared" si="12"/>
        <v>6.140633917319793E-4</v>
      </c>
      <c r="G73" s="3"/>
      <c r="H73" s="8">
        <v>280.44</v>
      </c>
      <c r="I73" s="3"/>
      <c r="J73" s="7">
        <f t="shared" si="13"/>
        <v>6.5357640110965353E-4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>
        <v>2523.96</v>
      </c>
      <c r="Q73" s="3"/>
      <c r="R73" s="7">
        <f t="shared" si="16"/>
        <v>1.4418740866926822E-3</v>
      </c>
      <c r="S73" s="3"/>
      <c r="T73" s="8">
        <v>2523.96</v>
      </c>
      <c r="U73" s="3"/>
      <c r="V73" s="7">
        <f t="shared" si="17"/>
        <v>1.2497595635429771E-3</v>
      </c>
      <c r="W73" s="3"/>
      <c r="X73" s="8">
        <f t="shared" si="18"/>
        <v>0</v>
      </c>
      <c r="Y73" s="3"/>
      <c r="Z73" s="7">
        <f t="shared" si="19"/>
        <v>0</v>
      </c>
    </row>
    <row r="74" spans="1:26" s="68" customFormat="1" ht="15" customHeight="1" outlineLevel="1" collapsed="1" x14ac:dyDescent="0.3">
      <c r="A74" s="26"/>
      <c r="B74" s="14" t="str">
        <f>CONCATENATE("     ","Discounts and Markdowns                           ")</f>
        <v xml:space="preserve">     Discounts and Markdowns                           </v>
      </c>
      <c r="C74" s="14"/>
      <c r="D74" s="2">
        <f>SUM(OSRRefD22_4x_0)</f>
        <v>0</v>
      </c>
      <c r="E74" s="2"/>
      <c r="F74" s="6">
        <f t="shared" si="12"/>
        <v>0</v>
      </c>
      <c r="G74" s="2"/>
      <c r="H74" s="2">
        <f>SUM(OSRRefH22_4x_0)</f>
        <v>0</v>
      </c>
      <c r="I74" s="2"/>
      <c r="J74" s="6">
        <f t="shared" si="13"/>
        <v>0</v>
      </c>
      <c r="K74" s="2"/>
      <c r="L74" s="2">
        <f t="shared" si="14"/>
        <v>0</v>
      </c>
      <c r="M74" s="2"/>
      <c r="N74" s="6">
        <f t="shared" si="15"/>
        <v>0</v>
      </c>
      <c r="O74" s="14"/>
      <c r="P74" s="2">
        <f>SUM(OSRRefP22_4x_0)</f>
        <v>0</v>
      </c>
      <c r="Q74" s="2"/>
      <c r="R74" s="6">
        <f t="shared" si="16"/>
        <v>0</v>
      </c>
      <c r="S74" s="2"/>
      <c r="T74" s="2">
        <f>SUM(OSRRefT22_4x_0)</f>
        <v>0</v>
      </c>
      <c r="U74" s="2"/>
      <c r="V74" s="6">
        <f t="shared" si="17"/>
        <v>0</v>
      </c>
      <c r="W74" s="2"/>
      <c r="X74" s="2">
        <f t="shared" si="18"/>
        <v>0</v>
      </c>
      <c r="Y74" s="2"/>
      <c r="Z74" s="6">
        <f t="shared" si="19"/>
        <v>0</v>
      </c>
    </row>
    <row r="75" spans="1:26" s="69" customFormat="1" ht="15" hidden="1" customHeight="1" outlineLevel="2" x14ac:dyDescent="0.3">
      <c r="A75" s="25"/>
      <c r="B75" s="12" t="str">
        <f>CONCATENATE("          ","6382"," - ","DISCOUNTS/MARK DOWNS")</f>
        <v xml:space="preserve">          6382 - DISCOUNTS/MARK DOWNS</v>
      </c>
      <c r="C75" s="12"/>
      <c r="D75" s="8"/>
      <c r="E75" s="3"/>
      <c r="F75" s="7">
        <f t="shared" si="12"/>
        <v>0</v>
      </c>
      <c r="G75" s="3"/>
      <c r="H75" s="8">
        <v>0</v>
      </c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/>
      <c r="Q75" s="3"/>
      <c r="R75" s="7">
        <f t="shared" si="16"/>
        <v>0</v>
      </c>
      <c r="S75" s="3"/>
      <c r="T75" s="8">
        <v>0</v>
      </c>
      <c r="U75" s="3"/>
      <c r="V75" s="7">
        <f t="shared" si="17"/>
        <v>0</v>
      </c>
      <c r="W75" s="3"/>
      <c r="X75" s="8">
        <f t="shared" si="18"/>
        <v>0</v>
      </c>
      <c r="Y75" s="3"/>
      <c r="Z75" s="7">
        <f t="shared" si="19"/>
        <v>0</v>
      </c>
    </row>
    <row r="76" spans="1:26" s="68" customFormat="1" ht="15" customHeight="1" outlineLevel="1" collapsed="1" x14ac:dyDescent="0.3">
      <c r="A76" s="26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SUM(OSRRefD22_5x_0)</f>
        <v>0</v>
      </c>
      <c r="E76" s="2"/>
      <c r="F76" s="6">
        <f t="shared" si="12"/>
        <v>0</v>
      </c>
      <c r="G76" s="2"/>
      <c r="H76" s="2">
        <f>SUM(OSRRefH22_5x_0)</f>
        <v>531.96</v>
      </c>
      <c r="I76" s="2"/>
      <c r="J76" s="6">
        <f t="shared" si="13"/>
        <v>1.2397536098070581E-3</v>
      </c>
      <c r="K76" s="2"/>
      <c r="L76" s="2">
        <f t="shared" si="14"/>
        <v>-531.96</v>
      </c>
      <c r="M76" s="2"/>
      <c r="N76" s="6">
        <f t="shared" si="15"/>
        <v>-1</v>
      </c>
      <c r="O76" s="14"/>
      <c r="P76" s="2">
        <f>SUM(OSRRefP22_5x_0)</f>
        <v>122.13</v>
      </c>
      <c r="Q76" s="2"/>
      <c r="R76" s="6">
        <f t="shared" si="16"/>
        <v>6.9769759507986372E-5</v>
      </c>
      <c r="S76" s="2"/>
      <c r="T76" s="2">
        <f>SUM(OSRRefT22_5x_0)</f>
        <v>1614.29</v>
      </c>
      <c r="U76" s="2"/>
      <c r="V76" s="6">
        <f t="shared" si="17"/>
        <v>7.9932897741318899E-4</v>
      </c>
      <c r="W76" s="2"/>
      <c r="X76" s="2">
        <f t="shared" si="18"/>
        <v>-1492.1599999999999</v>
      </c>
      <c r="Y76" s="2"/>
      <c r="Z76" s="6">
        <f t="shared" si="19"/>
        <v>-0.92434444864305665</v>
      </c>
    </row>
    <row r="77" spans="1:26" s="69" customFormat="1" ht="15" hidden="1" customHeight="1" outlineLevel="2" x14ac:dyDescent="0.3">
      <c r="A77" s="25"/>
      <c r="B77" s="12" t="str">
        <f>CONCATENATE("          ","6305"," - ","FREIGHT OUT")</f>
        <v xml:space="preserve">          6305 - FREIGHT OUT</v>
      </c>
      <c r="C77" s="12"/>
      <c r="D77" s="8"/>
      <c r="E77" s="3"/>
      <c r="F77" s="7">
        <f t="shared" si="12"/>
        <v>0</v>
      </c>
      <c r="G77" s="3"/>
      <c r="H77" s="8">
        <v>531.96</v>
      </c>
      <c r="I77" s="3"/>
      <c r="J77" s="7">
        <f t="shared" si="13"/>
        <v>1.2397536098070581E-3</v>
      </c>
      <c r="K77" s="3"/>
      <c r="L77" s="8">
        <f t="shared" si="14"/>
        <v>-531.96</v>
      </c>
      <c r="M77" s="3"/>
      <c r="N77" s="7">
        <f t="shared" si="15"/>
        <v>-1</v>
      </c>
      <c r="O77" s="12"/>
      <c r="P77" s="8">
        <v>122.13</v>
      </c>
      <c r="Q77" s="3"/>
      <c r="R77" s="7">
        <f t="shared" si="16"/>
        <v>6.9769759507986372E-5</v>
      </c>
      <c r="S77" s="3"/>
      <c r="T77" s="8">
        <v>1601.69</v>
      </c>
      <c r="U77" s="3"/>
      <c r="V77" s="7">
        <f t="shared" si="17"/>
        <v>7.930899837284073E-4</v>
      </c>
      <c r="W77" s="3"/>
      <c r="X77" s="8">
        <f t="shared" si="18"/>
        <v>-1479.56</v>
      </c>
      <c r="Y77" s="3"/>
      <c r="Z77" s="7">
        <f t="shared" si="19"/>
        <v>-0.92374928981263538</v>
      </c>
    </row>
    <row r="78" spans="1:26" s="69" customFormat="1" ht="15" hidden="1" customHeight="1" outlineLevel="2" x14ac:dyDescent="0.3">
      <c r="A78" s="25"/>
      <c r="B78" s="12" t="str">
        <f>CONCATENATE("          ","6307"," - ","POSTAGE")</f>
        <v xml:space="preserve">          6307 - POSTAGE</v>
      </c>
      <c r="C78" s="12"/>
      <c r="D78" s="8"/>
      <c r="E78" s="3"/>
      <c r="F78" s="7">
        <f t="shared" si="12"/>
        <v>0</v>
      </c>
      <c r="G78" s="3"/>
      <c r="H78" s="8"/>
      <c r="I78" s="3"/>
      <c r="J78" s="7">
        <f t="shared" si="13"/>
        <v>0</v>
      </c>
      <c r="K78" s="3"/>
      <c r="L78" s="8">
        <f t="shared" si="14"/>
        <v>0</v>
      </c>
      <c r="M78" s="3"/>
      <c r="N78" s="7">
        <f t="shared" si="15"/>
        <v>0</v>
      </c>
      <c r="O78" s="12"/>
      <c r="P78" s="8"/>
      <c r="Q78" s="3"/>
      <c r="R78" s="7">
        <f t="shared" si="16"/>
        <v>0</v>
      </c>
      <c r="S78" s="3"/>
      <c r="T78" s="8">
        <v>12.6</v>
      </c>
      <c r="U78" s="3"/>
      <c r="V78" s="7">
        <f t="shared" si="17"/>
        <v>6.2389936847816567E-6</v>
      </c>
      <c r="W78" s="3"/>
      <c r="X78" s="8">
        <f t="shared" si="18"/>
        <v>-12.6</v>
      </c>
      <c r="Y78" s="3"/>
      <c r="Z78" s="7">
        <f t="shared" si="19"/>
        <v>-1</v>
      </c>
    </row>
    <row r="79" spans="1:26" s="68" customFormat="1" ht="15" customHeight="1" outlineLevel="1" collapsed="1" x14ac:dyDescent="0.3">
      <c r="A79" s="26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SUM(OSRRefD22_6x_0)</f>
        <v>0</v>
      </c>
      <c r="E79" s="2"/>
      <c r="F79" s="6">
        <f t="shared" si="12"/>
        <v>0</v>
      </c>
      <c r="G79" s="2"/>
      <c r="H79" s="2">
        <f>SUM(OSRRefH22_6x_0)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SUM(OSRRefP22_6x_0)</f>
        <v>0</v>
      </c>
      <c r="Q79" s="2"/>
      <c r="R79" s="6">
        <f t="shared" si="16"/>
        <v>0</v>
      </c>
      <c r="S79" s="2"/>
      <c r="T79" s="2">
        <f>SUM(OSRRefT22_6x_0)</f>
        <v>-30.15</v>
      </c>
      <c r="U79" s="2"/>
      <c r="V79" s="6">
        <f t="shared" si="17"/>
        <v>-1.4929020602870393E-5</v>
      </c>
      <c r="W79" s="2"/>
      <c r="X79" s="2">
        <f t="shared" si="18"/>
        <v>30.15</v>
      </c>
      <c r="Y79" s="2"/>
      <c r="Z79" s="6">
        <f t="shared" si="19"/>
        <v>-1</v>
      </c>
    </row>
    <row r="80" spans="1:26" s="69" customFormat="1" ht="15" hidden="1" customHeight="1" outlineLevel="2" x14ac:dyDescent="0.3">
      <c r="A80" s="25"/>
      <c r="B80" s="12" t="str">
        <f>CONCATENATE("          ","6279"," - ","GENERAL EXPENSE")</f>
        <v xml:space="preserve">          6279 - GENERAL EXPENSE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-30.15</v>
      </c>
      <c r="U80" s="3"/>
      <c r="V80" s="7">
        <f t="shared" si="17"/>
        <v>-1.4929020602870393E-5</v>
      </c>
      <c r="W80" s="3"/>
      <c r="X80" s="8">
        <f t="shared" si="18"/>
        <v>30.15</v>
      </c>
      <c r="Y80" s="3"/>
      <c r="Z80" s="7">
        <f t="shared" si="19"/>
        <v>-1</v>
      </c>
    </row>
    <row r="81" spans="1:26" s="68" customFormat="1" ht="15" customHeight="1" outlineLevel="1" collapsed="1" x14ac:dyDescent="0.3">
      <c r="A81" s="26"/>
      <c r="B81" s="14" t="str">
        <f>CONCATENATE("     ","Inventory Adjustment                              ")</f>
        <v xml:space="preserve">     Inventory Adjustment                              </v>
      </c>
      <c r="C81" s="14"/>
      <c r="D81" s="2">
        <f>SUM(OSRRefD22_7x_0)</f>
        <v>340</v>
      </c>
      <c r="E81" s="2"/>
      <c r="F81" s="6">
        <f t="shared" si="12"/>
        <v>7.4447850944541773E-4</v>
      </c>
      <c r="G81" s="2"/>
      <c r="H81" s="2">
        <f>SUM(OSRRefH22_7x_0)</f>
        <v>1250</v>
      </c>
      <c r="I81" s="2"/>
      <c r="J81" s="6">
        <f t="shared" si="13"/>
        <v>2.9131739458959742E-3</v>
      </c>
      <c r="K81" s="2"/>
      <c r="L81" s="2">
        <f t="shared" si="14"/>
        <v>-910</v>
      </c>
      <c r="M81" s="2"/>
      <c r="N81" s="6">
        <f t="shared" si="15"/>
        <v>-0.72799999999999998</v>
      </c>
      <c r="O81" s="14"/>
      <c r="P81" s="2">
        <f>SUM(OSRRefP22_7x_0)</f>
        <v>7540</v>
      </c>
      <c r="Q81" s="2"/>
      <c r="R81" s="6">
        <f t="shared" si="16"/>
        <v>4.3074100277590869E-3</v>
      </c>
      <c r="S81" s="2"/>
      <c r="T81" s="2">
        <f>SUM(OSRRefT22_7x_0)</f>
        <v>11250</v>
      </c>
      <c r="U81" s="2"/>
      <c r="V81" s="6">
        <f t="shared" si="17"/>
        <v>5.5705300756979078E-3</v>
      </c>
      <c r="W81" s="2"/>
      <c r="X81" s="2">
        <f t="shared" si="18"/>
        <v>-3710</v>
      </c>
      <c r="Y81" s="2"/>
      <c r="Z81" s="6">
        <f t="shared" si="19"/>
        <v>-0.32977777777777778</v>
      </c>
    </row>
    <row r="82" spans="1:26" s="69" customFormat="1" ht="15" hidden="1" customHeight="1" outlineLevel="2" x14ac:dyDescent="0.3">
      <c r="A82" s="25"/>
      <c r="B82" s="12" t="str">
        <f>CONCATENATE("          ","6408"," - ","INVENTORY ADJUSTMENT")</f>
        <v xml:space="preserve">          6408 - INVENTORY ADJUSTMENT</v>
      </c>
      <c r="C82" s="12"/>
      <c r="D82" s="8">
        <v>340</v>
      </c>
      <c r="E82" s="3"/>
      <c r="F82" s="7">
        <f t="shared" si="12"/>
        <v>7.4447850944541773E-4</v>
      </c>
      <c r="G82" s="3"/>
      <c r="H82" s="8">
        <v>1250</v>
      </c>
      <c r="I82" s="3"/>
      <c r="J82" s="7">
        <f t="shared" si="13"/>
        <v>2.9131739458959742E-3</v>
      </c>
      <c r="K82" s="3"/>
      <c r="L82" s="8">
        <f t="shared" si="14"/>
        <v>-910</v>
      </c>
      <c r="M82" s="3"/>
      <c r="N82" s="7">
        <f t="shared" si="15"/>
        <v>-0.72799999999999998</v>
      </c>
      <c r="O82" s="12"/>
      <c r="P82" s="8">
        <v>7540</v>
      </c>
      <c r="Q82" s="3"/>
      <c r="R82" s="7">
        <f t="shared" si="16"/>
        <v>4.3074100277590869E-3</v>
      </c>
      <c r="S82" s="3"/>
      <c r="T82" s="8">
        <v>11250</v>
      </c>
      <c r="U82" s="3"/>
      <c r="V82" s="7">
        <f t="shared" si="17"/>
        <v>5.5705300756979078E-3</v>
      </c>
      <c r="W82" s="3"/>
      <c r="X82" s="8">
        <f t="shared" si="18"/>
        <v>-3710</v>
      </c>
      <c r="Y82" s="3"/>
      <c r="Z82" s="7">
        <f t="shared" si="19"/>
        <v>-0.32977777777777778</v>
      </c>
    </row>
    <row r="83" spans="1:26" s="68" customFormat="1" ht="15" customHeight="1" outlineLevel="1" collapsed="1" x14ac:dyDescent="0.3">
      <c r="A83" s="26"/>
      <c r="B83" s="14" t="str">
        <f>CONCATENATE("     ","Repair and Maintenance                            ")</f>
        <v xml:space="preserve">     Repair and Maintenance                            </v>
      </c>
      <c r="C83" s="14"/>
      <c r="D83" s="2">
        <f>SUM(OSRRefD22_8x_0)</f>
        <v>1550</v>
      </c>
      <c r="E83" s="2"/>
      <c r="F83" s="6">
        <f t="shared" si="12"/>
        <v>3.3939461460011692E-3</v>
      </c>
      <c r="G83" s="2"/>
      <c r="H83" s="2">
        <f>SUM(OSRRefH22_8x_0)</f>
        <v>1550</v>
      </c>
      <c r="I83" s="2"/>
      <c r="J83" s="6">
        <f t="shared" si="13"/>
        <v>3.612335692911008E-3</v>
      </c>
      <c r="K83" s="2"/>
      <c r="L83" s="2">
        <f t="shared" si="14"/>
        <v>0</v>
      </c>
      <c r="M83" s="2"/>
      <c r="N83" s="6">
        <f t="shared" si="15"/>
        <v>0</v>
      </c>
      <c r="O83" s="14"/>
      <c r="P83" s="2">
        <f>SUM(OSRRefP22_8x_0)</f>
        <v>1550</v>
      </c>
      <c r="Q83" s="2"/>
      <c r="R83" s="6">
        <f t="shared" si="16"/>
        <v>8.8547553621042235E-4</v>
      </c>
      <c r="S83" s="2"/>
      <c r="T83" s="2">
        <f>SUM(OSRRefT22_8x_0)</f>
        <v>1550</v>
      </c>
      <c r="U83" s="2"/>
      <c r="V83" s="6">
        <f t="shared" si="17"/>
        <v>7.6749525487393401E-4</v>
      </c>
      <c r="W83" s="2"/>
      <c r="X83" s="2">
        <f t="shared" si="18"/>
        <v>0</v>
      </c>
      <c r="Y83" s="2"/>
      <c r="Z83" s="6">
        <f t="shared" si="19"/>
        <v>0</v>
      </c>
    </row>
    <row r="84" spans="1:26" s="69" customFormat="1" ht="15" hidden="1" customHeight="1" outlineLevel="2" x14ac:dyDescent="0.3">
      <c r="A84" s="25"/>
      <c r="B84" s="12" t="str">
        <f>CONCATENATE("          ","6371"," - ","COMPUTER SOFTWARE MAINTENANCE")</f>
        <v xml:space="preserve">          6371 - COMPUTER SOFTWARE MAINTENANCE</v>
      </c>
      <c r="C84" s="12"/>
      <c r="D84" s="8">
        <v>1550</v>
      </c>
      <c r="E84" s="3"/>
      <c r="F84" s="7">
        <f t="shared" si="12"/>
        <v>3.3939461460011692E-3</v>
      </c>
      <c r="G84" s="3"/>
      <c r="H84" s="8">
        <v>1550</v>
      </c>
      <c r="I84" s="3"/>
      <c r="J84" s="7">
        <f t="shared" si="13"/>
        <v>3.612335692911008E-3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>
        <v>1550</v>
      </c>
      <c r="Q84" s="3"/>
      <c r="R84" s="7">
        <f t="shared" si="16"/>
        <v>8.8547553621042235E-4</v>
      </c>
      <c r="S84" s="3"/>
      <c r="T84" s="8">
        <v>1550</v>
      </c>
      <c r="U84" s="3"/>
      <c r="V84" s="7">
        <f t="shared" si="17"/>
        <v>7.6749525487393401E-4</v>
      </c>
      <c r="W84" s="3"/>
      <c r="X84" s="8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6"/>
      <c r="B85" s="14" t="str">
        <f>CONCATENATE("     ","Supplies                                          ")</f>
        <v xml:space="preserve">     Supplies                                          </v>
      </c>
      <c r="C85" s="14"/>
      <c r="D85" s="2">
        <f>SUM(OSRRefD22_9x_0)</f>
        <v>0</v>
      </c>
      <c r="E85" s="2"/>
      <c r="F85" s="6">
        <f t="shared" si="12"/>
        <v>0</v>
      </c>
      <c r="G85" s="2"/>
      <c r="H85" s="2">
        <f>SUM(OSRRefH22_9x_0)</f>
        <v>1733.49</v>
      </c>
      <c r="I85" s="2"/>
      <c r="J85" s="6">
        <f t="shared" si="13"/>
        <v>4.03996632277697E-3</v>
      </c>
      <c r="K85" s="2"/>
      <c r="L85" s="2">
        <f t="shared" si="14"/>
        <v>-1733.49</v>
      </c>
      <c r="M85" s="2"/>
      <c r="N85" s="6">
        <f t="shared" si="15"/>
        <v>-1</v>
      </c>
      <c r="O85" s="14"/>
      <c r="P85" s="2">
        <f>SUM(OSRRefP22_9x_0)</f>
        <v>3381.75</v>
      </c>
      <c r="Q85" s="2"/>
      <c r="R85" s="6">
        <f t="shared" si="16"/>
        <v>1.9319076739223197E-3</v>
      </c>
      <c r="S85" s="2"/>
      <c r="T85" s="2">
        <f>SUM(OSRRefT22_9x_0)</f>
        <v>3812.09</v>
      </c>
      <c r="U85" s="2"/>
      <c r="V85" s="6">
        <f t="shared" si="17"/>
        <v>1.8875877330015323E-3</v>
      </c>
      <c r="W85" s="2"/>
      <c r="X85" s="2">
        <f t="shared" si="18"/>
        <v>-430.34000000000015</v>
      </c>
      <c r="Y85" s="2"/>
      <c r="Z85" s="6">
        <f t="shared" si="19"/>
        <v>-0.1128882056824472</v>
      </c>
    </row>
    <row r="86" spans="1:26" s="69" customFormat="1" ht="15" hidden="1" customHeight="1" outlineLevel="2" x14ac:dyDescent="0.3">
      <c r="A86" s="25"/>
      <c r="B86" s="12" t="str">
        <f>CONCATENATE("          ","6234"," - ","EXPENDABLE SUPPLIES &amp; EQUIPMEN")</f>
        <v xml:space="preserve">          6234 - EXPENDABLE SUPPLIES &amp; EQUIPMEN</v>
      </c>
      <c r="C86" s="12"/>
      <c r="D86" s="8"/>
      <c r="E86" s="3"/>
      <c r="F86" s="7">
        <f t="shared" si="12"/>
        <v>0</v>
      </c>
      <c r="G86" s="3"/>
      <c r="H86" s="8">
        <v>1733.49</v>
      </c>
      <c r="I86" s="3"/>
      <c r="J86" s="7">
        <f t="shared" si="13"/>
        <v>4.03996632277697E-3</v>
      </c>
      <c r="K86" s="3"/>
      <c r="L86" s="8">
        <f t="shared" si="14"/>
        <v>-1733.49</v>
      </c>
      <c r="M86" s="3"/>
      <c r="N86" s="7">
        <f t="shared" si="15"/>
        <v>-1</v>
      </c>
      <c r="O86" s="12"/>
      <c r="P86" s="8"/>
      <c r="Q86" s="3"/>
      <c r="R86" s="7">
        <f t="shared" si="16"/>
        <v>0</v>
      </c>
      <c r="S86" s="3"/>
      <c r="T86" s="8">
        <v>1733.49</v>
      </c>
      <c r="U86" s="3"/>
      <c r="V86" s="7">
        <f t="shared" si="17"/>
        <v>8.5835183830413925E-4</v>
      </c>
      <c r="W86" s="3"/>
      <c r="X86" s="8">
        <f t="shared" si="18"/>
        <v>-1733.49</v>
      </c>
      <c r="Y86" s="3"/>
      <c r="Z86" s="7">
        <f t="shared" si="19"/>
        <v>-1</v>
      </c>
    </row>
    <row r="87" spans="1:26" s="69" customFormat="1" ht="15" hidden="1" customHeight="1" outlineLevel="2" x14ac:dyDescent="0.3">
      <c r="A87" s="25"/>
      <c r="B87" s="12" t="str">
        <f>CONCATENATE("          ","6235"," - ","COVID-19 EXPENSES")</f>
        <v xml:space="preserve">          6235 - COVID-19 EXPENSES</v>
      </c>
      <c r="C87" s="12"/>
      <c r="D87" s="8"/>
      <c r="E87" s="3"/>
      <c r="F87" s="7">
        <f t="shared" si="12"/>
        <v>0</v>
      </c>
      <c r="G87" s="3"/>
      <c r="H87" s="8"/>
      <c r="I87" s="3"/>
      <c r="J87" s="7">
        <f t="shared" si="13"/>
        <v>0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/>
      <c r="Q87" s="3"/>
      <c r="R87" s="7">
        <f t="shared" si="16"/>
        <v>0</v>
      </c>
      <c r="S87" s="3"/>
      <c r="T87" s="8">
        <v>668.12</v>
      </c>
      <c r="U87" s="3"/>
      <c r="V87" s="7">
        <f t="shared" si="17"/>
        <v>3.3082511592669211E-4</v>
      </c>
      <c r="W87" s="3"/>
      <c r="X87" s="8">
        <f t="shared" si="18"/>
        <v>-668.12</v>
      </c>
      <c r="Y87" s="3"/>
      <c r="Z87" s="7">
        <f t="shared" si="19"/>
        <v>-1</v>
      </c>
    </row>
    <row r="88" spans="1:26" s="69" customFormat="1" ht="15" hidden="1" customHeight="1" outlineLevel="2" x14ac:dyDescent="0.3">
      <c r="A88" s="25"/>
      <c r="B88" s="12" t="str">
        <f>CONCATENATE("          ","6241"," - ","OFFICE EXPENSE")</f>
        <v xml:space="preserve">          6241 - OFFICE EXPENSE</v>
      </c>
      <c r="C88" s="12"/>
      <c r="D88" s="8"/>
      <c r="E88" s="3"/>
      <c r="F88" s="7">
        <f t="shared" si="12"/>
        <v>0</v>
      </c>
      <c r="G88" s="3"/>
      <c r="H88" s="8"/>
      <c r="I88" s="3"/>
      <c r="J88" s="7">
        <f t="shared" si="13"/>
        <v>0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469.75</v>
      </c>
      <c r="Q88" s="3"/>
      <c r="R88" s="7">
        <f t="shared" si="16"/>
        <v>2.6835621492570704E-4</v>
      </c>
      <c r="S88" s="3"/>
      <c r="T88" s="8">
        <v>1410.48</v>
      </c>
      <c r="U88" s="3"/>
      <c r="V88" s="7">
        <f t="shared" si="17"/>
        <v>6.9841077877070092E-4</v>
      </c>
      <c r="W88" s="3"/>
      <c r="X88" s="8">
        <f t="shared" si="18"/>
        <v>-940.73</v>
      </c>
      <c r="Y88" s="3"/>
      <c r="Z88" s="7">
        <f t="shared" si="19"/>
        <v>-0.66695734785321314</v>
      </c>
    </row>
    <row r="89" spans="1:26" s="69" customFormat="1" ht="15" hidden="1" customHeight="1" outlineLevel="2" x14ac:dyDescent="0.3">
      <c r="A89" s="25"/>
      <c r="B89" s="12" t="str">
        <f>CONCATENATE("          ","6247"," - ","STORE SUPPLIES")</f>
        <v xml:space="preserve">          6247 - STORE SUPPLIES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2912</v>
      </c>
      <c r="Q89" s="3"/>
      <c r="R89" s="7">
        <f t="shared" si="16"/>
        <v>1.6635514589966127E-3</v>
      </c>
      <c r="S89" s="3"/>
      <c r="T89" s="8"/>
      <c r="U89" s="3"/>
      <c r="V89" s="7">
        <f t="shared" si="17"/>
        <v>0</v>
      </c>
      <c r="W89" s="3"/>
      <c r="X89" s="8">
        <f t="shared" si="18"/>
        <v>2912</v>
      </c>
      <c r="Y89" s="3"/>
      <c r="Z89" s="7">
        <f t="shared" si="19"/>
        <v>0</v>
      </c>
    </row>
    <row r="90" spans="1:26" s="68" customFormat="1" ht="15" customHeight="1" outlineLevel="1" collapsed="1" x14ac:dyDescent="0.3">
      <c r="A90" s="26"/>
      <c r="B90" s="14" t="str">
        <f>CONCATENATE("     ","Telephone/Data Lines                              ")</f>
        <v xml:space="preserve">     Telephone/Data Lines                              </v>
      </c>
      <c r="C90" s="14"/>
      <c r="D90" s="2">
        <f>SUM(OSRRefD22_10x_0)</f>
        <v>159.41</v>
      </c>
      <c r="E90" s="2"/>
      <c r="F90" s="6">
        <f t="shared" si="12"/>
        <v>3.4905093879615898E-4</v>
      </c>
      <c r="G90" s="2"/>
      <c r="H90" s="2">
        <f>SUM(OSRRefH22_10x_0)</f>
        <v>274.85000000000002</v>
      </c>
      <c r="I90" s="2"/>
      <c r="J90" s="6">
        <f t="shared" si="13"/>
        <v>6.405486872236068E-4</v>
      </c>
      <c r="K90" s="2"/>
      <c r="L90" s="2">
        <f t="shared" si="14"/>
        <v>-115.44000000000003</v>
      </c>
      <c r="M90" s="2"/>
      <c r="N90" s="6">
        <f t="shared" si="15"/>
        <v>-0.42001091504456983</v>
      </c>
      <c r="O90" s="14"/>
      <c r="P90" s="2">
        <f>SUM(OSRRefP22_10x_0)</f>
        <v>1804.74</v>
      </c>
      <c r="Q90" s="2"/>
      <c r="R90" s="6">
        <f t="shared" si="16"/>
        <v>1.0310020124002564E-3</v>
      </c>
      <c r="S90" s="2"/>
      <c r="T90" s="2">
        <f>SUM(OSRRefT22_10x_0)</f>
        <v>2606.25</v>
      </c>
      <c r="U90" s="2"/>
      <c r="V90" s="6">
        <f t="shared" si="17"/>
        <v>1.2905061342033486E-3</v>
      </c>
      <c r="W90" s="2"/>
      <c r="X90" s="2">
        <f t="shared" si="18"/>
        <v>-801.51</v>
      </c>
      <c r="Y90" s="2"/>
      <c r="Z90" s="6">
        <f t="shared" si="19"/>
        <v>-0.30753381294964027</v>
      </c>
    </row>
    <row r="91" spans="1:26" s="69" customFormat="1" ht="15" hidden="1" customHeight="1" outlineLevel="2" x14ac:dyDescent="0.3">
      <c r="A91" s="25"/>
      <c r="B91" s="12" t="str">
        <f>CONCATENATE("          ","6309"," - ","TELEPHONE")</f>
        <v xml:space="preserve">          6309 - TELEPHONE</v>
      </c>
      <c r="C91" s="12"/>
      <c r="D91" s="8">
        <v>159.41</v>
      </c>
      <c r="E91" s="3"/>
      <c r="F91" s="7">
        <f t="shared" si="12"/>
        <v>3.4905093879615898E-4</v>
      </c>
      <c r="G91" s="3"/>
      <c r="H91" s="8">
        <v>274.85000000000002</v>
      </c>
      <c r="I91" s="3"/>
      <c r="J91" s="7">
        <f t="shared" si="13"/>
        <v>6.405486872236068E-4</v>
      </c>
      <c r="K91" s="3"/>
      <c r="L91" s="8">
        <f t="shared" si="14"/>
        <v>-115.44000000000003</v>
      </c>
      <c r="M91" s="3"/>
      <c r="N91" s="7">
        <f t="shared" si="15"/>
        <v>-0.42001091504456983</v>
      </c>
      <c r="O91" s="12"/>
      <c r="P91" s="8">
        <v>1804.74</v>
      </c>
      <c r="Q91" s="3"/>
      <c r="R91" s="7">
        <f t="shared" si="16"/>
        <v>1.0310020124002564E-3</v>
      </c>
      <c r="S91" s="3"/>
      <c r="T91" s="8">
        <v>2606.25</v>
      </c>
      <c r="U91" s="3"/>
      <c r="V91" s="7">
        <f t="shared" si="17"/>
        <v>1.2905061342033486E-3</v>
      </c>
      <c r="W91" s="3"/>
      <c r="X91" s="8">
        <f t="shared" si="18"/>
        <v>-801.51</v>
      </c>
      <c r="Y91" s="3"/>
      <c r="Z91" s="7">
        <f t="shared" si="19"/>
        <v>-0.30753381294964027</v>
      </c>
    </row>
    <row r="92" spans="1:26" s="68" customFormat="1" ht="15" customHeight="1" outlineLevel="1" collapsed="1" x14ac:dyDescent="0.3">
      <c r="A92" s="26"/>
      <c r="B92" s="14" t="str">
        <f>CONCATENATE("     ","Training                                          ")</f>
        <v xml:space="preserve">     Training                                          </v>
      </c>
      <c r="C92" s="14"/>
      <c r="D92" s="2">
        <f>SUM(OSRRefD22_11x_0)</f>
        <v>0</v>
      </c>
      <c r="E92" s="2"/>
      <c r="F92" s="6">
        <f t="shared" si="12"/>
        <v>0</v>
      </c>
      <c r="G92" s="2"/>
      <c r="H92" s="2">
        <f>SUM(OSRRefH22_11x_0)</f>
        <v>0</v>
      </c>
      <c r="I92" s="2"/>
      <c r="J92" s="6">
        <f t="shared" si="13"/>
        <v>0</v>
      </c>
      <c r="K92" s="2"/>
      <c r="L92" s="2">
        <f t="shared" si="14"/>
        <v>0</v>
      </c>
      <c r="M92" s="2"/>
      <c r="N92" s="6">
        <f t="shared" si="15"/>
        <v>0</v>
      </c>
      <c r="O92" s="14"/>
      <c r="P92" s="2">
        <f>SUM(OSRRefP22_11x_0)</f>
        <v>0</v>
      </c>
      <c r="Q92" s="2"/>
      <c r="R92" s="6">
        <f t="shared" si="16"/>
        <v>0</v>
      </c>
      <c r="S92" s="2"/>
      <c r="T92" s="2">
        <f>SUM(OSRRefT22_11x_0)</f>
        <v>100</v>
      </c>
      <c r="U92" s="2"/>
      <c r="V92" s="6">
        <f t="shared" si="17"/>
        <v>4.9515822895092517E-5</v>
      </c>
      <c r="W92" s="2"/>
      <c r="X92" s="2">
        <f t="shared" si="18"/>
        <v>-100</v>
      </c>
      <c r="Y92" s="2"/>
      <c r="Z92" s="6">
        <f t="shared" si="19"/>
        <v>-1</v>
      </c>
    </row>
    <row r="93" spans="1:26" s="69" customFormat="1" ht="15" hidden="1" customHeight="1" outlineLevel="2" x14ac:dyDescent="0.3">
      <c r="A93" s="25"/>
      <c r="B93" s="12" t="str">
        <f>CONCATENATE("          ","6376"," - ","TRAINING")</f>
        <v xml:space="preserve">          6376 - TRAINING</v>
      </c>
      <c r="C93" s="12"/>
      <c r="D93" s="8"/>
      <c r="E93" s="3"/>
      <c r="F93" s="7">
        <f t="shared" si="12"/>
        <v>0</v>
      </c>
      <c r="G93" s="3"/>
      <c r="H93" s="8"/>
      <c r="I93" s="3"/>
      <c r="J93" s="7">
        <f t="shared" si="13"/>
        <v>0</v>
      </c>
      <c r="K93" s="3"/>
      <c r="L93" s="8">
        <f t="shared" si="14"/>
        <v>0</v>
      </c>
      <c r="M93" s="3"/>
      <c r="N93" s="7">
        <f t="shared" si="15"/>
        <v>0</v>
      </c>
      <c r="O93" s="12"/>
      <c r="P93" s="8"/>
      <c r="Q93" s="3"/>
      <c r="R93" s="7">
        <f t="shared" si="16"/>
        <v>0</v>
      </c>
      <c r="S93" s="3"/>
      <c r="T93" s="8">
        <v>100</v>
      </c>
      <c r="U93" s="3"/>
      <c r="V93" s="7">
        <f t="shared" si="17"/>
        <v>4.9515822895092517E-5</v>
      </c>
      <c r="W93" s="3"/>
      <c r="X93" s="8">
        <f t="shared" si="18"/>
        <v>-100</v>
      </c>
      <c r="Y93" s="3"/>
      <c r="Z93" s="7">
        <f t="shared" si="19"/>
        <v>-1</v>
      </c>
    </row>
    <row r="94" spans="1:26" s="64" customFormat="1" ht="15" customHeight="1" x14ac:dyDescent="0.3">
      <c r="A94" s="36"/>
      <c r="B94" s="36"/>
      <c r="C94" s="36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2" customFormat="1" ht="15" customHeight="1" collapsed="1" x14ac:dyDescent="0.3">
      <c r="A95" s="11"/>
      <c r="B95" s="28" t="s">
        <v>290</v>
      </c>
      <c r="C95" s="11"/>
      <c r="D95" s="5">
        <f>SUM(OSRRefD25x_0)</f>
        <v>-1113.07</v>
      </c>
      <c r="E95" s="5"/>
      <c r="F95" s="13">
        <f>IF(D$12=0,0,D95/D$12)</f>
        <v>-2.4372255720835623E-3</v>
      </c>
      <c r="G95" s="5"/>
      <c r="H95" s="5">
        <f>SUM(OSRRefH25x_0)</f>
        <v>25561.239999999998</v>
      </c>
      <c r="I95" s="5"/>
      <c r="J95" s="13">
        <f>IF(H$12=0,0,H95/H$12)</f>
        <v>5.95714707142352E-2</v>
      </c>
      <c r="K95" s="5"/>
      <c r="L95" s="5">
        <f>+D95-H95</f>
        <v>-26674.309999999998</v>
      </c>
      <c r="M95" s="5"/>
      <c r="N95" s="13">
        <f>IF(H95=0,0,L95/H95)</f>
        <v>-1.0435452270703611</v>
      </c>
      <c r="O95" s="11"/>
      <c r="P95" s="5">
        <f>SUM(OSRRefP25x_0)</f>
        <v>3340.9399999999996</v>
      </c>
      <c r="Q95" s="5"/>
      <c r="R95" s="13">
        <f>IF(P$12=0,0,P95/P$12)</f>
        <v>1.9085939599657084E-3</v>
      </c>
      <c r="S95" s="5"/>
      <c r="T95" s="5">
        <f>SUM(OSRRefT25x_0)</f>
        <v>26839.88</v>
      </c>
      <c r="U95" s="5"/>
      <c r="V95" s="13">
        <f>IF(T$12=0,0,T95/T$12)</f>
        <v>1.3289987446055357E-2</v>
      </c>
      <c r="W95" s="5"/>
      <c r="X95" s="5">
        <f>+P95-T95</f>
        <v>-23498.940000000002</v>
      </c>
      <c r="Y95" s="5"/>
      <c r="Z95" s="13">
        <f>IF(T95=0,0,X95/T95)</f>
        <v>-0.87552328847968031</v>
      </c>
    </row>
    <row r="96" spans="1:26" s="69" customFormat="1" ht="15" hidden="1" customHeight="1" outlineLevel="1" x14ac:dyDescent="0.3">
      <c r="A96" s="42"/>
      <c r="B96" s="12" t="str">
        <f>CONCATENATE("          ","4187"," - ","NON-TAXABLE SALES-COMPUTER REP")</f>
        <v xml:space="preserve">          4187 - NON-TAXABLE SALES-COMPUTER REP</v>
      </c>
      <c r="C96" s="12"/>
      <c r="D96" s="3">
        <f>0</f>
        <v>0</v>
      </c>
      <c r="E96" s="3"/>
      <c r="F96" s="20">
        <f>IF(D$12=0,0,D96/D$12)</f>
        <v>0</v>
      </c>
      <c r="G96" s="3"/>
      <c r="H96" s="3">
        <f>--160.46</f>
        <v>160.46</v>
      </c>
      <c r="I96" s="3"/>
      <c r="J96" s="20">
        <f>IF(H$12=0,0,H96/H$12)</f>
        <v>3.7395831308677442E-4</v>
      </c>
      <c r="K96" s="3"/>
      <c r="L96" s="3">
        <f>+D96-H96</f>
        <v>-160.46</v>
      </c>
      <c r="M96" s="3"/>
      <c r="N96" s="20">
        <f>IF(H96=0,0,L96/H96)</f>
        <v>-1</v>
      </c>
      <c r="O96" s="12"/>
      <c r="P96" s="3">
        <f>0</f>
        <v>0</v>
      </c>
      <c r="Q96" s="3"/>
      <c r="R96" s="20">
        <f>IF(P$12=0,0,P96/P$12)</f>
        <v>0</v>
      </c>
      <c r="S96" s="3"/>
      <c r="T96" s="3">
        <f>--1614.97</f>
        <v>1614.97</v>
      </c>
      <c r="U96" s="3"/>
      <c r="V96" s="20">
        <f>IF(T$12=0,0,T96/T$12)</f>
        <v>7.9966568500887555E-4</v>
      </c>
      <c r="W96" s="3"/>
      <c r="X96" s="3">
        <f>+P96-T96</f>
        <v>-1614.97</v>
      </c>
      <c r="Y96" s="3"/>
      <c r="Z96" s="20">
        <f>IF(T96=0,0,X96/T96)</f>
        <v>-1</v>
      </c>
    </row>
    <row r="97" spans="1:26" s="69" customFormat="1" ht="15" hidden="1" customHeight="1" outlineLevel="1" x14ac:dyDescent="0.3">
      <c r="A97" s="42"/>
      <c r="B97" s="12" t="str">
        <f>CONCATENATE("          ","9087"," - ","")</f>
        <v xml:space="preserve">          9087 - </v>
      </c>
      <c r="C97" s="12"/>
      <c r="D97" s="3">
        <f>-1475.31</f>
        <v>-1475.31</v>
      </c>
      <c r="E97" s="3"/>
      <c r="F97" s="20">
        <f>IF(D$12=0,0,D97/D$12)</f>
        <v>-3.2304017346174098E-3</v>
      </c>
      <c r="G97" s="3"/>
      <c r="H97" s="3">
        <f>0</f>
        <v>0</v>
      </c>
      <c r="I97" s="3"/>
      <c r="J97" s="20">
        <f>IF(H$12=0,0,H97/H$12)</f>
        <v>0</v>
      </c>
      <c r="K97" s="3"/>
      <c r="L97" s="3">
        <f>+D97-H97</f>
        <v>-1475.31</v>
      </c>
      <c r="M97" s="3"/>
      <c r="N97" s="20">
        <f>IF(H97=0,0,L97/H97)</f>
        <v>0</v>
      </c>
      <c r="O97" s="12"/>
      <c r="P97" s="3">
        <f>--731.78</f>
        <v>731.78</v>
      </c>
      <c r="Q97" s="3"/>
      <c r="R97" s="20">
        <f>IF(P$12=0,0,P97/P$12)</f>
        <v>4.1804728250842763E-4</v>
      </c>
      <c r="S97" s="3"/>
      <c r="T97" s="3">
        <f>0</f>
        <v>0</v>
      </c>
      <c r="U97" s="3"/>
      <c r="V97" s="20">
        <f>IF(T$12=0,0,T97/T$12)</f>
        <v>0</v>
      </c>
      <c r="W97" s="3"/>
      <c r="X97" s="3">
        <f>+P97-T97</f>
        <v>731.78</v>
      </c>
      <c r="Y97" s="3"/>
      <c r="Z97" s="20">
        <f>IF(T97=0,0,X97/T97)</f>
        <v>0</v>
      </c>
    </row>
    <row r="98" spans="1:26" s="69" customFormat="1" ht="15" hidden="1" customHeight="1" outlineLevel="1" x14ac:dyDescent="0.3">
      <c r="A98" s="42"/>
      <c r="B98" s="12" t="str">
        <f>CONCATENATE("          ","9150"," - ","MISC. INCOME")</f>
        <v xml:space="preserve">          9150 - MISC. INCOME</v>
      </c>
      <c r="C98" s="12"/>
      <c r="D98" s="3">
        <f>--362.24</f>
        <v>362.24</v>
      </c>
      <c r="E98" s="3"/>
      <c r="F98" s="20">
        <f>IF(D$12=0,0,D98/D$12)</f>
        <v>7.9317616253384753E-4</v>
      </c>
      <c r="G98" s="3"/>
      <c r="H98" s="3">
        <f>--25400.78</f>
        <v>25400.78</v>
      </c>
      <c r="I98" s="3"/>
      <c r="J98" s="20">
        <f>IF(H$12=0,0,H98/H$12)</f>
        <v>5.9197512401148428E-2</v>
      </c>
      <c r="K98" s="3"/>
      <c r="L98" s="3">
        <f>+D98-H98</f>
        <v>-25038.539999999997</v>
      </c>
      <c r="M98" s="3"/>
      <c r="N98" s="20">
        <f>IF(H98=0,0,L98/H98)</f>
        <v>-0.98573902061275276</v>
      </c>
      <c r="O98" s="12"/>
      <c r="P98" s="3">
        <f>--2609.16</f>
        <v>2609.16</v>
      </c>
      <c r="Q98" s="3"/>
      <c r="R98" s="20">
        <f>IF(P$12=0,0,P98/P$12)</f>
        <v>1.490546677457281E-3</v>
      </c>
      <c r="S98" s="3"/>
      <c r="T98" s="3">
        <f>--25224.91</f>
        <v>25224.91</v>
      </c>
      <c r="U98" s="3"/>
      <c r="V98" s="20">
        <f>IF(T$12=0,0,T98/T$12)</f>
        <v>1.2490321761046481E-2</v>
      </c>
      <c r="W98" s="3"/>
      <c r="X98" s="3">
        <f>+P98-T98</f>
        <v>-22615.75</v>
      </c>
      <c r="Y98" s="3"/>
      <c r="Z98" s="20">
        <f>IF(T98=0,0,X98/T98)</f>
        <v>-0.89656415027843506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2" customFormat="1" ht="15" customHeight="1" x14ac:dyDescent="0.3">
      <c r="A100" s="11"/>
      <c r="B100" s="27" t="s">
        <v>291</v>
      </c>
      <c r="C100" s="27"/>
      <c r="D100" s="22">
        <f>+D51-D53+D95</f>
        <v>68009.170000000027</v>
      </c>
      <c r="E100" s="15"/>
      <c r="F100" s="21">
        <f>IF(D$12=0,0,D100/D$12)</f>
        <v>0.14891578091241189</v>
      </c>
      <c r="G100" s="15"/>
      <c r="H100" s="22">
        <f>+H51-H53+H95</f>
        <v>81669.87</v>
      </c>
      <c r="I100" s="15"/>
      <c r="J100" s="21">
        <f>IF(H$12=0,0,H100/H$12)</f>
        <v>0.19033482995896897</v>
      </c>
      <c r="K100" s="17"/>
      <c r="L100" s="22">
        <f>+D100-H100</f>
        <v>-13660.699999999968</v>
      </c>
      <c r="M100" s="17"/>
      <c r="N100" s="21">
        <f>IF(H100=0,0,L100/H100)</f>
        <v>-0.1672673165758678</v>
      </c>
      <c r="O100" s="28"/>
      <c r="P100" s="22">
        <f>+P51-P53+P95</f>
        <v>144385.54</v>
      </c>
      <c r="Q100" s="15"/>
      <c r="R100" s="21">
        <f>IF(P$12=0,0,P100/P$12)</f>
        <v>8.24837828726009E-2</v>
      </c>
      <c r="S100" s="15"/>
      <c r="T100" s="22">
        <f>+T51-T53+T95</f>
        <v>57815.850000000108</v>
      </c>
      <c r="U100" s="15"/>
      <c r="V100" s="21">
        <f>IF(T$12=0,0,T100/T$12)</f>
        <v>2.8627993891292398E-2</v>
      </c>
      <c r="W100" s="17"/>
      <c r="X100" s="22">
        <f>+P100-T100</f>
        <v>86569.6899999999</v>
      </c>
      <c r="Y100" s="17"/>
      <c r="Z100" s="21">
        <f>IF(T100=0,0,X100/T100)</f>
        <v>1.4973349003776601</v>
      </c>
    </row>
    <row r="101" spans="1:26" ht="15" customHeight="1" x14ac:dyDescent="0.3">
      <c r="A101" s="10"/>
      <c r="B101" s="11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48"/>
      <c r="B102" s="11" t="s">
        <v>292</v>
      </c>
      <c r="C102" s="11"/>
      <c r="D102" s="5">
        <v>47421.86</v>
      </c>
      <c r="E102" s="5"/>
      <c r="F102" s="13">
        <f>IF(D$12=0,0,D102/D$12)</f>
        <v>0.10383692837626259</v>
      </c>
      <c r="G102" s="5"/>
      <c r="H102" s="5">
        <v>101243.25</v>
      </c>
      <c r="I102" s="5"/>
      <c r="J102" s="13">
        <f>IF(H$12=0,0,H102/H$12)</f>
        <v>0.23595135847826607</v>
      </c>
      <c r="K102" s="5"/>
      <c r="L102" s="5">
        <f>+D102-H102</f>
        <v>-53821.39</v>
      </c>
      <c r="M102" s="5"/>
      <c r="N102" s="13">
        <f>IF(H102=0,0,L102/H102)</f>
        <v>-0.53160472426556826</v>
      </c>
      <c r="O102" s="11"/>
      <c r="P102" s="5">
        <v>208914.52</v>
      </c>
      <c r="Q102" s="5"/>
      <c r="R102" s="13">
        <f>IF(P$12=0,0,P102/P$12)</f>
        <v>0.1193475462058987</v>
      </c>
      <c r="S102" s="5"/>
      <c r="T102" s="5">
        <v>416213.44</v>
      </c>
      <c r="U102" s="5"/>
      <c r="V102" s="13">
        <f>IF(T$12=0,0,T102/T$12)</f>
        <v>0.20609150981597216</v>
      </c>
      <c r="W102" s="5"/>
      <c r="X102" s="5">
        <f>+P102-T102</f>
        <v>-207298.92</v>
      </c>
      <c r="Y102" s="5"/>
      <c r="Z102" s="13">
        <f>IF(T102=0,0,X102/T102)</f>
        <v>-0.49805916887258617</v>
      </c>
    </row>
    <row r="103" spans="1:26" ht="15" customHeight="1" x14ac:dyDescent="0.3">
      <c r="A103" s="10"/>
      <c r="B103" s="11"/>
      <c r="C103" s="11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O103" s="11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2" customFormat="1" ht="15" customHeight="1" x14ac:dyDescent="0.3">
      <c r="A104" s="11"/>
      <c r="B104" s="27" t="s">
        <v>293</v>
      </c>
      <c r="C104" s="27"/>
      <c r="D104" s="34">
        <f>+D100-D102</f>
        <v>20587.310000000027</v>
      </c>
      <c r="E104" s="15"/>
      <c r="F104" s="33">
        <f>IF(D$12=0,0,D104/D$12)</f>
        <v>4.5078852536149308E-2</v>
      </c>
      <c r="G104" s="15"/>
      <c r="H104" s="34">
        <f>+H100-H102</f>
        <v>-19573.380000000005</v>
      </c>
      <c r="I104" s="15"/>
      <c r="J104" s="33">
        <f>IF(H$12=0,0,H104/H$12)</f>
        <v>-4.5616528519297081E-2</v>
      </c>
      <c r="K104" s="17"/>
      <c r="L104" s="34">
        <f>D104-H104</f>
        <v>40160.690000000031</v>
      </c>
      <c r="M104" s="17"/>
      <c r="N104" s="33">
        <f>IF(H104=0,0,L104/H104)</f>
        <v>-2.051801477312555</v>
      </c>
      <c r="O104" s="28"/>
      <c r="P104" s="34">
        <f>+P100-P102</f>
        <v>-64528.979999999981</v>
      </c>
      <c r="Q104" s="15"/>
      <c r="R104" s="33">
        <f>IF(P$12=0,0,P104/P$12)</f>
        <v>-3.6863763333297807E-2</v>
      </c>
      <c r="S104" s="15"/>
      <c r="T104" s="34">
        <f>+T100-T102</f>
        <v>-358397.58999999991</v>
      </c>
      <c r="U104" s="15"/>
      <c r="V104" s="33">
        <f>IF(T$12=0,0,T104/T$12)</f>
        <v>-0.17746351592467977</v>
      </c>
      <c r="W104" s="17"/>
      <c r="X104" s="34">
        <f>P104-T104</f>
        <v>293868.60999999993</v>
      </c>
      <c r="Y104" s="17"/>
      <c r="Z104" s="33">
        <f>IF(T104=0,0,X104/T104)</f>
        <v>-0.81995141206167155</v>
      </c>
    </row>
    <row r="105" spans="1:26" ht="15" customHeight="1" x14ac:dyDescent="0.3">
      <c r="A105" s="10"/>
      <c r="B105" s="10"/>
      <c r="C105" s="10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11"/>
      <c r="B107" s="27" t="s">
        <v>296</v>
      </c>
      <c r="C107" s="27"/>
      <c r="D107" s="31">
        <f>SUM(D104:D106)</f>
        <v>20587.310000000027</v>
      </c>
      <c r="E107" s="15"/>
      <c r="F107" s="32">
        <f>IF(D$12=0,0,D107/D$12)</f>
        <v>4.5078852536149308E-2</v>
      </c>
      <c r="G107" s="15"/>
      <c r="H107" s="31">
        <f>SUM(H104:H106)</f>
        <v>-19573.380000000005</v>
      </c>
      <c r="I107" s="15"/>
      <c r="J107" s="32">
        <f>IF(H$12=0,0,H107/H$12)</f>
        <v>-4.5616528519297081E-2</v>
      </c>
      <c r="K107" s="17"/>
      <c r="L107" s="31">
        <f>+D107-H107</f>
        <v>40160.690000000031</v>
      </c>
      <c r="M107" s="17"/>
      <c r="N107" s="32">
        <f>IF(H107=0,0,L107/H107)</f>
        <v>-2.051801477312555</v>
      </c>
      <c r="O107" s="28"/>
      <c r="P107" s="31">
        <f>SUM(P104:P106)</f>
        <v>-64528.979999999981</v>
      </c>
      <c r="Q107" s="15"/>
      <c r="R107" s="32">
        <f>IF(P$12=0,0,P107/P$12)</f>
        <v>-3.6863763333297807E-2</v>
      </c>
      <c r="S107" s="15"/>
      <c r="T107" s="31">
        <f>SUM(T104:T106)</f>
        <v>-358397.58999999991</v>
      </c>
      <c r="U107" s="15"/>
      <c r="V107" s="32">
        <f>IF(T$12=0,0,T107/T$12)</f>
        <v>-0.17746351592467977</v>
      </c>
      <c r="W107" s="17"/>
      <c r="X107" s="31">
        <f>+P107-T107</f>
        <v>293868.60999999993</v>
      </c>
      <c r="Y107" s="17"/>
      <c r="Z107" s="32">
        <f>IF(T107=0,0,X107/T107)</f>
        <v>-0.81995141206167155</v>
      </c>
    </row>
    <row r="108" spans="1:26" ht="15" customHeight="1" x14ac:dyDescent="0.3">
      <c r="A108" s="10"/>
      <c r="C108" s="10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A109" s="10"/>
      <c r="B109" s="56">
        <v>44663.03859679398</v>
      </c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  <row r="110" spans="1:26" ht="15" customHeight="1" x14ac:dyDescent="0.3">
      <c r="A110" s="10"/>
      <c r="B110" s="57" t="s">
        <v>297</v>
      </c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A111" s="10"/>
      <c r="B111" s="58"/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  <row r="112" spans="1:26" ht="15" customHeight="1" x14ac:dyDescent="0.3">
      <c r="D112" s="19"/>
      <c r="E112" s="19"/>
      <c r="G112" s="19"/>
      <c r="H112" s="19"/>
      <c r="I112" s="19"/>
      <c r="J112" s="40"/>
      <c r="K112" s="19"/>
      <c r="L112" s="19"/>
      <c r="M112" s="19"/>
      <c r="P112" s="19"/>
      <c r="Q112" s="19"/>
      <c r="R112" s="40"/>
      <c r="S112" s="19"/>
      <c r="T112" s="19"/>
      <c r="U112" s="19"/>
      <c r="V112" s="40"/>
      <c r="W112" s="19"/>
      <c r="X11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F8B07-AEDE-3A25-AB23-5D80007A3017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","320"," - ","Customer Service (old)")</f>
        <v>Department 320 - Customer Service (old)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","5092"," - ","PURCHASES @ COST-GRAD MERCH")</f>
        <v xml:space="preserve">          5092 - PURCHASES @ COST-GRAD MERCH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/>
      <c r="Q15" s="3"/>
      <c r="R15" s="20">
        <f>IF(P$12=0,0,P15/P$12)</f>
        <v>0</v>
      </c>
      <c r="S15" s="3"/>
      <c r="T15" s="3">
        <v>0</v>
      </c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","5592"," - ","FREIGHT-IN-GRAD MERCH")</f>
        <v xml:space="preserve">          5592 - FREIGHT-IN-GRAD MERCH</v>
      </c>
      <c r="C16" s="12"/>
      <c r="D16" s="3"/>
      <c r="E16" s="3"/>
      <c r="F16" s="20">
        <f>IF(D$12=0,0,D16/D$12)</f>
        <v>0</v>
      </c>
      <c r="G16" s="3"/>
      <c r="H16" s="3"/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0</v>
      </c>
      <c r="U16" s="3"/>
      <c r="V16" s="20">
        <f>IF(T$12=0,0,T16/T$12)</f>
        <v>0</v>
      </c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>
        <f>D12-D14</f>
        <v>0</v>
      </c>
      <c r="E18" s="15"/>
      <c r="F18" s="21">
        <f>IF(D$12=0,0,D18/D$12)</f>
        <v>0</v>
      </c>
      <c r="G18" s="15"/>
      <c r="H18" s="22">
        <f>H12-H14</f>
        <v>0</v>
      </c>
      <c r="I18" s="15"/>
      <c r="J18" s="21">
        <f>IF(H$12=0,0,H18/H$12)</f>
        <v>0</v>
      </c>
      <c r="K18" s="17"/>
      <c r="L18" s="22">
        <f>+D18-H18</f>
        <v>0</v>
      </c>
      <c r="M18" s="17"/>
      <c r="N18" s="21">
        <f>IF(H18=0,0,L18/H18)</f>
        <v>0</v>
      </c>
      <c r="O18" s="28"/>
      <c r="P18" s="22">
        <f>P12-P14</f>
        <v>0</v>
      </c>
      <c r="Q18" s="15"/>
      <c r="R18" s="21">
        <f>IF(P$12=0,0,P18/P$12)</f>
        <v>0</v>
      </c>
      <c r="S18" s="15"/>
      <c r="T18" s="22">
        <f>T12-T14</f>
        <v>0</v>
      </c>
      <c r="U18" s="15"/>
      <c r="V18" s="21">
        <f>IF(T$12=0,0,T18/T$12)</f>
        <v>0</v>
      </c>
      <c r="W18" s="17"/>
      <c r="X18" s="22">
        <f>+P18-T18</f>
        <v>0</v>
      </c>
      <c r="Y18" s="17"/>
      <c r="Z18" s="21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cm="1">
        <f t="array" ref="D20">SUM(OSRRefD22x_0)</f>
        <v>0</v>
      </c>
      <c r="E20" s="23"/>
      <c r="F20" s="35">
        <f t="shared" ref="F20:F27" si="0">IF(D$12=0,0,D20/D$12)</f>
        <v>0</v>
      </c>
      <c r="G20" s="23"/>
      <c r="H20" s="23" cm="1">
        <f t="array" ref="H20">SUM(OSRRefH22x_0)</f>
        <v>0</v>
      </c>
      <c r="I20" s="23"/>
      <c r="J20" s="35">
        <f t="shared" ref="J20:J27" si="1">IF(H$12=0,0,H20/H$12)</f>
        <v>0</v>
      </c>
      <c r="K20" s="5"/>
      <c r="L20" s="23">
        <f t="shared" ref="L20:L27" si="2">+D20-H20</f>
        <v>0</v>
      </c>
      <c r="M20" s="5"/>
      <c r="N20" s="35">
        <f t="shared" ref="N20:N27" si="3">IF(H20=0,0,L20/H20)</f>
        <v>0</v>
      </c>
      <c r="O20" s="11"/>
      <c r="P20" s="23" cm="1">
        <f t="array" ref="P20">SUM(OSRRefP22x_0)</f>
        <v>0</v>
      </c>
      <c r="Q20" s="23"/>
      <c r="R20" s="35">
        <f t="shared" ref="R20:R27" si="4">IF(P$12=0,0,P20/P$12)</f>
        <v>0</v>
      </c>
      <c r="S20" s="23"/>
      <c r="T20" s="23" cm="1">
        <f t="array" ref="T20">SUM(OSRRefT22x_0)</f>
        <v>0</v>
      </c>
      <c r="U20" s="23"/>
      <c r="V20" s="35">
        <f t="shared" ref="V20:V27" si="5">IF(T$12=0,0,T20/T$12)</f>
        <v>0</v>
      </c>
      <c r="W20" s="5"/>
      <c r="X20" s="23">
        <f t="shared" ref="X20:X27" si="6">+P20-T20</f>
        <v>0</v>
      </c>
      <c r="Y20" s="5"/>
      <c r="Z20" s="35">
        <f t="shared" ref="Z20:Z27" si="7">IF(T20=0,0,X20/T20)</f>
        <v>0</v>
      </c>
    </row>
    <row r="21" spans="1:26" s="68" customFormat="1" ht="15" customHeight="1" outlineLevel="1" collapsed="1" x14ac:dyDescent="0.3">
      <c r="A21" s="26"/>
      <c r="B21" s="14" t="str">
        <f>CONCATENATE("     ","Freight out/Postage                               ")</f>
        <v xml:space="preserve">     Freight out/Postage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0</v>
      </c>
      <c r="Y21" s="2"/>
      <c r="Z21" s="6">
        <f t="shared" si="7"/>
        <v>0</v>
      </c>
    </row>
    <row r="22" spans="1:26" s="69" customFormat="1" ht="15" hidden="1" customHeight="1" outlineLevel="2" x14ac:dyDescent="0.3">
      <c r="A22" s="25"/>
      <c r="B22" s="12" t="str">
        <f>CONCATENATE("          ","6305"," - ","FREIGHT OUT")</f>
        <v xml:space="preserve">          6305 - FREIGHT OUT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69" customFormat="1" ht="15" hidden="1" customHeight="1" outlineLevel="2" x14ac:dyDescent="0.3">
      <c r="A23" s="25"/>
      <c r="B23" s="12" t="str">
        <f>CONCATENATE("          ","6307"," - ","POSTAGE")</f>
        <v xml:space="preserve">          6307 - POSTAGE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0</v>
      </c>
      <c r="U23" s="3"/>
      <c r="V23" s="7">
        <f t="shared" si="5"/>
        <v>0</v>
      </c>
      <c r="W23" s="3"/>
      <c r="X23" s="8">
        <f t="shared" si="6"/>
        <v>0</v>
      </c>
      <c r="Y23" s="3"/>
      <c r="Z23" s="7">
        <f t="shared" si="7"/>
        <v>0</v>
      </c>
    </row>
    <row r="24" spans="1:26" s="68" customFormat="1" ht="15" customHeight="1" outlineLevel="1" collapsed="1" x14ac:dyDescent="0.3">
      <c r="A24" s="26"/>
      <c r="B24" s="14" t="str">
        <f>CONCATENATE("     ","Supplies                                          ")</f>
        <v xml:space="preserve">     Supplies                                          </v>
      </c>
      <c r="C24" s="14"/>
      <c r="D24" s="2">
        <f>SUM(OSRRefD22_1x_0)</f>
        <v>0</v>
      </c>
      <c r="E24" s="2"/>
      <c r="F24" s="6">
        <f t="shared" si="0"/>
        <v>0</v>
      </c>
      <c r="G24" s="2"/>
      <c r="H24" s="2">
        <f>SUM(OSRRefH22_1x_0)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SUM(OSRRefP22_1x_0)</f>
        <v>0</v>
      </c>
      <c r="Q24" s="2"/>
      <c r="R24" s="6">
        <f t="shared" si="4"/>
        <v>0</v>
      </c>
      <c r="S24" s="2"/>
      <c r="T24" s="2">
        <f>SUM(OSRRefT22_1x_0)</f>
        <v>0</v>
      </c>
      <c r="U24" s="2"/>
      <c r="V24" s="6">
        <f t="shared" si="5"/>
        <v>0</v>
      </c>
      <c r="W24" s="2"/>
      <c r="X24" s="2">
        <f t="shared" si="6"/>
        <v>0</v>
      </c>
      <c r="Y24" s="2"/>
      <c r="Z24" s="6">
        <f t="shared" si="7"/>
        <v>0</v>
      </c>
    </row>
    <row r="25" spans="1:26" s="69" customFormat="1" ht="15" hidden="1" customHeight="1" outlineLevel="2" x14ac:dyDescent="0.3">
      <c r="A25" s="25"/>
      <c r="B25" s="12" t="str">
        <f>CONCATENATE("          ","6247"," - ","STORE SUPPLIES")</f>
        <v xml:space="preserve">          6247 - STORE SUPPLIES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68" customFormat="1" ht="15" customHeight="1" outlineLevel="1" collapsed="1" x14ac:dyDescent="0.3">
      <c r="A26" s="26"/>
      <c r="B26" s="14" t="str">
        <f>CONCATENATE("     ","Telephone/Data Lines                              ")</f>
        <v xml:space="preserve">     Telephone/Data Lines                              </v>
      </c>
      <c r="C26" s="14"/>
      <c r="D26" s="2">
        <f>SUM(OSRRefD22_2x_0)</f>
        <v>0</v>
      </c>
      <c r="E26" s="2"/>
      <c r="F26" s="6">
        <f t="shared" si="0"/>
        <v>0</v>
      </c>
      <c r="G26" s="2"/>
      <c r="H26" s="2">
        <f>SUM(OSRRefH22_2x_0)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SUM(OSRRefP22_2x_0)</f>
        <v>0</v>
      </c>
      <c r="Q26" s="2"/>
      <c r="R26" s="6">
        <f t="shared" si="4"/>
        <v>0</v>
      </c>
      <c r="S26" s="2"/>
      <c r="T26" s="2">
        <f>SUM(OSRRefT22_2x_0)</f>
        <v>0</v>
      </c>
      <c r="U26" s="2"/>
      <c r="V26" s="6">
        <f t="shared" si="5"/>
        <v>0</v>
      </c>
      <c r="W26" s="2"/>
      <c r="X26" s="2">
        <f t="shared" si="6"/>
        <v>0</v>
      </c>
      <c r="Y26" s="2"/>
      <c r="Z26" s="6">
        <f t="shared" si="7"/>
        <v>0</v>
      </c>
    </row>
    <row r="27" spans="1:26" s="69" customFormat="1" ht="15" hidden="1" customHeight="1" outlineLevel="2" x14ac:dyDescent="0.3">
      <c r="A27" s="25"/>
      <c r="B27" s="12" t="str">
        <f>CONCATENATE("          ","6309"," - ","TELEPHONE")</f>
        <v xml:space="preserve">          6309 - TELEPHONE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0</v>
      </c>
      <c r="U27" s="3"/>
      <c r="V27" s="7">
        <f t="shared" si="5"/>
        <v>0</v>
      </c>
      <c r="W27" s="3"/>
      <c r="X27" s="8">
        <f t="shared" si="6"/>
        <v>0</v>
      </c>
      <c r="Y27" s="3"/>
      <c r="Z27" s="7">
        <f t="shared" si="7"/>
        <v>0</v>
      </c>
    </row>
    <row r="28" spans="1:26" s="64" customFormat="1" ht="15" customHeight="1" x14ac:dyDescent="0.3">
      <c r="A28" s="36"/>
      <c r="B28" s="36"/>
      <c r="C28" s="36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collapsed="1" x14ac:dyDescent="0.3">
      <c r="A29" s="11"/>
      <c r="B29" s="28" t="s">
        <v>290</v>
      </c>
      <c r="C29" s="11"/>
      <c r="D29" s="5">
        <f>SUM(OSRRefD25x_0)</f>
        <v>0</v>
      </c>
      <c r="E29" s="5"/>
      <c r="F29" s="13">
        <f>IF(D$12=0,0,D29/D$12)</f>
        <v>0</v>
      </c>
      <c r="G29" s="5"/>
      <c r="H29" s="5">
        <f>SUM(OSRRefH25x_0)</f>
        <v>0</v>
      </c>
      <c r="I29" s="5"/>
      <c r="J29" s="13">
        <f>IF(H$12=0,0,H29/H$12)</f>
        <v>0</v>
      </c>
      <c r="K29" s="5"/>
      <c r="L29" s="5">
        <f>+D29-H29</f>
        <v>0</v>
      </c>
      <c r="M29" s="5"/>
      <c r="N29" s="13">
        <f>IF(H29=0,0,L29/H29)</f>
        <v>0</v>
      </c>
      <c r="O29" s="11"/>
      <c r="P29" s="5">
        <f>SUM(OSRRefP25x_0)</f>
        <v>0</v>
      </c>
      <c r="Q29" s="5"/>
      <c r="R29" s="13">
        <f>IF(P$12=0,0,P29/P$12)</f>
        <v>0</v>
      </c>
      <c r="S29" s="5"/>
      <c r="T29" s="5">
        <f>SUM(OSRRefT25x_0)</f>
        <v>0</v>
      </c>
      <c r="U29" s="5"/>
      <c r="V29" s="13">
        <f>IF(T$12=0,0,T29/T$12)</f>
        <v>0</v>
      </c>
      <c r="W29" s="5"/>
      <c r="X29" s="5">
        <f>+P29-T29</f>
        <v>0</v>
      </c>
      <c r="Y29" s="5"/>
      <c r="Z29" s="13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","9163"," - ","MISC. INCOME")</f>
        <v xml:space="preserve">          9163 - MISC. INCOME</v>
      </c>
      <c r="C30" s="12"/>
      <c r="D30" s="3">
        <f>0</f>
        <v>0</v>
      </c>
      <c r="E30" s="3"/>
      <c r="F30" s="20">
        <f>IF(D$12=0,0,D30/D$12)</f>
        <v>0</v>
      </c>
      <c r="G30" s="3"/>
      <c r="H30" s="3">
        <f>0</f>
        <v>0</v>
      </c>
      <c r="I30" s="3"/>
      <c r="J30" s="20">
        <f>IF(H$12=0,0,H30/H$12)</f>
        <v>0</v>
      </c>
      <c r="K30" s="3"/>
      <c r="L30" s="3">
        <f>+D30-H30</f>
        <v>0</v>
      </c>
      <c r="M30" s="3"/>
      <c r="N30" s="20">
        <f>IF(H30=0,0,L30/H30)</f>
        <v>0</v>
      </c>
      <c r="O30" s="12"/>
      <c r="P30" s="3">
        <f>0</f>
        <v>0</v>
      </c>
      <c r="Q30" s="3"/>
      <c r="R30" s="20">
        <f>IF(P$12=0,0,P30/P$12)</f>
        <v>0</v>
      </c>
      <c r="S30" s="3"/>
      <c r="T30" s="3">
        <f>0</f>
        <v>0</v>
      </c>
      <c r="U30" s="3"/>
      <c r="V30" s="20">
        <f>IF(T$12=0,0,T30/T$12)</f>
        <v>0</v>
      </c>
      <c r="W30" s="3"/>
      <c r="X30" s="3">
        <f>+P30-T30</f>
        <v>0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7" t="s">
        <v>291</v>
      </c>
      <c r="C32" s="27"/>
      <c r="D32" s="22">
        <f>+D18-D20+D29</f>
        <v>0</v>
      </c>
      <c r="E32" s="15"/>
      <c r="F32" s="21">
        <f>IF(D$12=0,0,D32/D$12)</f>
        <v>0</v>
      </c>
      <c r="G32" s="15"/>
      <c r="H32" s="22">
        <f>+H18-H20+H29</f>
        <v>0</v>
      </c>
      <c r="I32" s="15"/>
      <c r="J32" s="21">
        <f>IF(H$12=0,0,H32/H$12)</f>
        <v>0</v>
      </c>
      <c r="K32" s="17"/>
      <c r="L32" s="22">
        <f>+D32-H32</f>
        <v>0</v>
      </c>
      <c r="M32" s="17"/>
      <c r="N32" s="21">
        <f>IF(H32=0,0,L32/H32)</f>
        <v>0</v>
      </c>
      <c r="O32" s="28"/>
      <c r="P32" s="22">
        <f>+P18-P20+P29</f>
        <v>0</v>
      </c>
      <c r="Q32" s="15"/>
      <c r="R32" s="21">
        <f>IF(P$12=0,0,P32/P$12)</f>
        <v>0</v>
      </c>
      <c r="S32" s="15"/>
      <c r="T32" s="22">
        <f>+T18-T20+T29</f>
        <v>0</v>
      </c>
      <c r="U32" s="15"/>
      <c r="V32" s="21">
        <f>IF(T$12=0,0,T32/T$12)</f>
        <v>0</v>
      </c>
      <c r="W32" s="17"/>
      <c r="X32" s="22">
        <f>+P32-T32</f>
        <v>0</v>
      </c>
      <c r="Y32" s="17"/>
      <c r="Z32" s="21">
        <f>IF(T32=0,0,X32/T32)</f>
        <v>0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293</v>
      </c>
      <c r="C36" s="27"/>
      <c r="D36" s="34">
        <f>+D32-D34</f>
        <v>0</v>
      </c>
      <c r="E36" s="15"/>
      <c r="F36" s="33">
        <f>IF(D$12=0,0,D36/D$12)</f>
        <v>0</v>
      </c>
      <c r="G36" s="15"/>
      <c r="H36" s="34">
        <f>+H32-H34</f>
        <v>0</v>
      </c>
      <c r="I36" s="15"/>
      <c r="J36" s="33">
        <f>IF(H$12=0,0,H36/H$12)</f>
        <v>0</v>
      </c>
      <c r="K36" s="17"/>
      <c r="L36" s="34">
        <f>D36-H36</f>
        <v>0</v>
      </c>
      <c r="M36" s="17"/>
      <c r="N36" s="33">
        <f>IF(H36=0,0,L36/H36)</f>
        <v>0</v>
      </c>
      <c r="O36" s="28"/>
      <c r="P36" s="34">
        <f>+P32-P34</f>
        <v>0</v>
      </c>
      <c r="Q36" s="15"/>
      <c r="R36" s="33">
        <f>IF(P$12=0,0,P36/P$12)</f>
        <v>0</v>
      </c>
      <c r="S36" s="15"/>
      <c r="T36" s="34">
        <f>+T32-T34</f>
        <v>0</v>
      </c>
      <c r="U36" s="15"/>
      <c r="V36" s="33">
        <f>IF(T$12=0,0,T36/T$12)</f>
        <v>0</v>
      </c>
      <c r="W36" s="17"/>
      <c r="X36" s="34">
        <f>P36-T36</f>
        <v>0</v>
      </c>
      <c r="Y36" s="17"/>
      <c r="Z36" s="33">
        <f>IF(T36=0,0,X36/T36)</f>
        <v>0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7" t="s">
        <v>296</v>
      </c>
      <c r="C39" s="27"/>
      <c r="D39" s="31">
        <f>SUM(D36:D38)</f>
        <v>0</v>
      </c>
      <c r="E39" s="15"/>
      <c r="F39" s="32">
        <f>IF(D$12=0,0,D39/D$12)</f>
        <v>0</v>
      </c>
      <c r="G39" s="15"/>
      <c r="H39" s="31">
        <f>SUM(H36:H38)</f>
        <v>0</v>
      </c>
      <c r="I39" s="15"/>
      <c r="J39" s="32">
        <f>IF(H$12=0,0,H39/H$12)</f>
        <v>0</v>
      </c>
      <c r="K39" s="17"/>
      <c r="L39" s="31">
        <f>+D39-H39</f>
        <v>0</v>
      </c>
      <c r="M39" s="17"/>
      <c r="N39" s="32">
        <f>IF(H39=0,0,L39/H39)</f>
        <v>0</v>
      </c>
      <c r="O39" s="28"/>
      <c r="P39" s="31">
        <f>SUM(P36:P38)</f>
        <v>0</v>
      </c>
      <c r="Q39" s="15"/>
      <c r="R39" s="32">
        <f>IF(P$12=0,0,P39/P$12)</f>
        <v>0</v>
      </c>
      <c r="S39" s="15"/>
      <c r="T39" s="31">
        <f>SUM(T36:T38)</f>
        <v>0</v>
      </c>
      <c r="U39" s="15"/>
      <c r="V39" s="32">
        <f>IF(T$12=0,0,T39/T$12)</f>
        <v>0</v>
      </c>
      <c r="W39" s="17"/>
      <c r="X39" s="31">
        <f>+P39-T39</f>
        <v>0</v>
      </c>
      <c r="Y39" s="17"/>
      <c r="Z39" s="32">
        <f>IF(T39=0,0,X39/T39)</f>
        <v>0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6">
        <v>44663.03859679398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7" t="s">
        <v>297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8"/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DBF61-754D-D353-46BA-F3154B5D8038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303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132932.81</v>
      </c>
      <c r="E12" s="5"/>
      <c r="F12" s="13"/>
      <c r="G12" s="5"/>
      <c r="H12" s="5">
        <f>SUM(OSRRefH13x_0)</f>
        <v>100.55</v>
      </c>
      <c r="I12" s="5"/>
      <c r="J12" s="13"/>
      <c r="K12" s="5"/>
      <c r="L12" s="5">
        <f t="shared" ref="L12:L23" si="0">+D12-H12</f>
        <v>132832.26</v>
      </c>
      <c r="M12" s="5"/>
      <c r="N12" s="13">
        <f t="shared" ref="N12:N23" si="1">IF(H12=0,0,L12/H12)</f>
        <v>1321.0567876678272</v>
      </c>
      <c r="O12" s="11"/>
      <c r="P12" s="5">
        <f>SUM(OSRRefP13x_0)</f>
        <v>308039.73000000004</v>
      </c>
      <c r="Q12" s="5"/>
      <c r="R12" s="13"/>
      <c r="S12" s="5"/>
      <c r="T12" s="5">
        <f>SUM(OSRRefT13x_0)</f>
        <v>2821.0200000000004</v>
      </c>
      <c r="U12" s="5"/>
      <c r="V12" s="13"/>
      <c r="W12" s="5"/>
      <c r="X12" s="5">
        <f t="shared" ref="X12:X23" si="2">+P12-T12</f>
        <v>305218.71000000002</v>
      </c>
      <c r="Y12" s="5"/>
      <c r="Z12" s="13">
        <f t="shared" ref="Z12:Z23" si="3">IF(T12=0,0,X12/T12)</f>
        <v>108.19445094327583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--19761.47</f>
        <v>19761.47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19761.47</v>
      </c>
      <c r="M13" s="3"/>
      <c r="N13" s="20">
        <f t="shared" si="1"/>
        <v>0</v>
      </c>
      <c r="O13" s="12"/>
      <c r="P13" s="3">
        <f>--48230.67</f>
        <v>48230.67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48230.67</v>
      </c>
      <c r="Y13" s="3"/>
      <c r="Z13" s="20">
        <f t="shared" si="3"/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--25.17</f>
        <v>25.17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25.17</v>
      </c>
      <c r="Y16" s="3"/>
      <c r="Z16" s="20">
        <f t="shared" si="3"/>
        <v>0</v>
      </c>
    </row>
    <row r="17" spans="1:26" s="69" customFormat="1" ht="15" hidden="1" customHeight="1" outlineLevel="1" x14ac:dyDescent="0.3">
      <c r="A17" s="42"/>
      <c r="B17" s="12" t="str">
        <f>CONCATENATE("          ","4053"," - ","TAXABLE SALES-FOOD")</f>
        <v xml:space="preserve">          4053 - TAXABLE SALES-FOOD</v>
      </c>
      <c r="C17" s="12"/>
      <c r="D17" s="3">
        <f>--412.69</f>
        <v>412.69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412.69</v>
      </c>
      <c r="M17" s="3"/>
      <c r="N17" s="20">
        <f t="shared" si="1"/>
        <v>0</v>
      </c>
      <c r="O17" s="12"/>
      <c r="P17" s="3">
        <f>--1111.41</f>
        <v>1111.4100000000001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1111.4100000000001</v>
      </c>
      <c r="Y17" s="3"/>
      <c r="Z17" s="20">
        <f t="shared" si="3"/>
        <v>0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--112758.65</f>
        <v>112758.65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112758.65</v>
      </c>
      <c r="M18" s="3"/>
      <c r="N18" s="20">
        <f t="shared" si="1"/>
        <v>0</v>
      </c>
      <c r="O18" s="12"/>
      <c r="P18" s="3">
        <f>--258466.16</f>
        <v>258466.16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258466.16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","4132"," - ","NON-TAXABLE SALES-JUICE")</f>
        <v xml:space="preserve">          4132 - NON-TAXABLE SALES-JUICE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--2031.88</f>
        <v>2031.88</v>
      </c>
      <c r="U19" s="3"/>
      <c r="V19" s="20"/>
      <c r="W19" s="3"/>
      <c r="X19" s="3">
        <f t="shared" si="2"/>
        <v>-2031.88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","4134"," - ","NON-TAXABLE SALES-SODA")</f>
        <v xml:space="preserve">          4134 - NON-TAXABLE SALES-SODA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","4137"," - ","NON-TAXABLE SALES-WATER")</f>
        <v xml:space="preserve">          4137 - NON-TAXABLE SALES-WATER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0</v>
      </c>
      <c r="Y21" s="3"/>
      <c r="Z21" s="20">
        <f t="shared" si="3"/>
        <v>0</v>
      </c>
    </row>
    <row r="22" spans="1:26" s="69" customFormat="1" ht="15" hidden="1" customHeight="1" outlineLevel="1" x14ac:dyDescent="0.3">
      <c r="A22" s="42"/>
      <c r="B22" s="12" t="str">
        <f>CONCATENATE("          ","4151"," - ","NON-TAXABLE SALES-FOOD")</f>
        <v xml:space="preserve">          4151 - NON-TAXABLE SALES-FOOD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--206.32</f>
        <v>206.32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206.32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","4153"," - ","NON-TAXABLE SALES-FOOD")</f>
        <v xml:space="preserve">          4153 - NON-TAXABLE SALES-FOOD</v>
      </c>
      <c r="C23" s="12"/>
      <c r="D23" s="3">
        <f>0</f>
        <v>0</v>
      </c>
      <c r="E23" s="3"/>
      <c r="F23" s="20"/>
      <c r="G23" s="3"/>
      <c r="H23" s="3">
        <f>--100.55</f>
        <v>100.55</v>
      </c>
      <c r="I23" s="3"/>
      <c r="J23" s="20"/>
      <c r="K23" s="3"/>
      <c r="L23" s="3">
        <f t="shared" si="0"/>
        <v>-100.55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--344.55</f>
        <v>344.55</v>
      </c>
      <c r="U23" s="3"/>
      <c r="V23" s="20"/>
      <c r="W23" s="3"/>
      <c r="X23" s="3">
        <f t="shared" si="2"/>
        <v>-344.55</v>
      </c>
      <c r="Y23" s="3"/>
      <c r="Z23" s="20">
        <f t="shared" si="3"/>
        <v>-1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2" customFormat="1" ht="15" customHeight="1" collapsed="1" x14ac:dyDescent="0.3">
      <c r="A25" s="11"/>
      <c r="B25" s="28" t="s">
        <v>287</v>
      </c>
      <c r="C25" s="11"/>
      <c r="D25" s="5">
        <f>SUM(OSRRefD16x_0)</f>
        <v>42306.34</v>
      </c>
      <c r="E25" s="5"/>
      <c r="F25" s="13">
        <f>IF(D$12=0,0,D25/D$12)</f>
        <v>0.31825355982469639</v>
      </c>
      <c r="G25" s="5"/>
      <c r="H25" s="5">
        <f>SUM(OSRRefH16x_0)</f>
        <v>195.4</v>
      </c>
      <c r="I25" s="5"/>
      <c r="J25" s="13">
        <f>IF(H$12=0,0,H25/H$12)</f>
        <v>1.9433117851815018</v>
      </c>
      <c r="K25" s="5"/>
      <c r="L25" s="5">
        <f>+D25-H25</f>
        <v>42110.939999999995</v>
      </c>
      <c r="M25" s="5"/>
      <c r="N25" s="13">
        <f>IF(H25=0,0,L25/H25)</f>
        <v>215.51146366427838</v>
      </c>
      <c r="O25" s="11"/>
      <c r="P25" s="5">
        <f>SUM(OSRRefP16x_0)</f>
        <v>140391.13</v>
      </c>
      <c r="Q25" s="5"/>
      <c r="R25" s="13">
        <f>IF(P$12=0,0,P25/P$12)</f>
        <v>0.45575656750510718</v>
      </c>
      <c r="S25" s="5"/>
      <c r="T25" s="5">
        <f>SUM(OSRRefT16x_0)</f>
        <v>28219.360000000001</v>
      </c>
      <c r="U25" s="5"/>
      <c r="V25" s="13">
        <f>IF(T$12=0,0,T25/T$12)</f>
        <v>10.003247052484561</v>
      </c>
      <c r="W25" s="5"/>
      <c r="X25" s="5">
        <f>+P25-T25</f>
        <v>112171.77</v>
      </c>
      <c r="Y25" s="5"/>
      <c r="Z25" s="13">
        <f>IF(T25=0,0,X25/T25)</f>
        <v>3.9749934087803549</v>
      </c>
    </row>
    <row r="26" spans="1:26" s="69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4647</v>
      </c>
      <c r="E26" s="3"/>
      <c r="F26" s="20">
        <f>IF(D$12=0,0,D26/D$12)</f>
        <v>3.4957509737438032E-2</v>
      </c>
      <c r="G26" s="3"/>
      <c r="H26" s="3"/>
      <c r="I26" s="3"/>
      <c r="J26" s="20">
        <f>IF(H$12=0,0,H26/H$12)</f>
        <v>0</v>
      </c>
      <c r="K26" s="3"/>
      <c r="L26" s="3">
        <f>+D26-H26</f>
        <v>4647</v>
      </c>
      <c r="M26" s="3"/>
      <c r="N26" s="20">
        <f>IF(H26=0,0,L26/H26)</f>
        <v>0</v>
      </c>
      <c r="O26" s="12"/>
      <c r="P26" s="3">
        <v>-5566</v>
      </c>
      <c r="Q26" s="3"/>
      <c r="R26" s="20">
        <f>IF(P$12=0,0,P26/P$12)</f>
        <v>-1.806909777514738E-2</v>
      </c>
      <c r="S26" s="3"/>
      <c r="T26" s="3"/>
      <c r="U26" s="3"/>
      <c r="V26" s="20">
        <f>IF(T$12=0,0,T26/T$12)</f>
        <v>0</v>
      </c>
      <c r="W26" s="3"/>
      <c r="X26" s="3">
        <f>+P26-T26</f>
        <v>-5566</v>
      </c>
      <c r="Y26" s="3"/>
      <c r="Z26" s="20">
        <f>IF(T26=0,0,X26/T26)</f>
        <v>0</v>
      </c>
    </row>
    <row r="27" spans="1:26" s="69" customFormat="1" ht="15" hidden="1" customHeight="1" outlineLevel="1" x14ac:dyDescent="0.3">
      <c r="A27" s="42"/>
      <c r="B27" s="12" t="str">
        <f>CONCATENATE("          ","5053"," - ","PURCHASES @ COST-FOOD")</f>
        <v xml:space="preserve">          5053 - PURCHASES @ COST-FOOD</v>
      </c>
      <c r="C27" s="12"/>
      <c r="D27" s="3">
        <v>-14878.27</v>
      </c>
      <c r="E27" s="3"/>
      <c r="F27" s="20">
        <f>IF(D$12=0,0,D27/D$12)</f>
        <v>-0.11192323400069555</v>
      </c>
      <c r="G27" s="3"/>
      <c r="H27" s="3">
        <v>176.4</v>
      </c>
      <c r="I27" s="3"/>
      <c r="J27" s="20">
        <f>IF(H$12=0,0,H27/H$12)</f>
        <v>1.754351069119841</v>
      </c>
      <c r="K27" s="3"/>
      <c r="L27" s="3">
        <f>+D27-H27</f>
        <v>-15054.67</v>
      </c>
      <c r="M27" s="3"/>
      <c r="N27" s="20">
        <f>IF(H27=0,0,L27/H27)</f>
        <v>-85.343934240362813</v>
      </c>
      <c r="O27" s="12"/>
      <c r="P27" s="3">
        <v>27059.34</v>
      </c>
      <c r="Q27" s="3"/>
      <c r="R27" s="20">
        <f>IF(P$12=0,0,P27/P$12)</f>
        <v>8.784366873714633E-2</v>
      </c>
      <c r="S27" s="3"/>
      <c r="T27" s="3">
        <v>-2646.55</v>
      </c>
      <c r="U27" s="3"/>
      <c r="V27" s="20">
        <f>IF(T$12=0,0,T27/T$12)</f>
        <v>-0.93815357565703172</v>
      </c>
      <c r="W27" s="3"/>
      <c r="X27" s="3">
        <f>+P27-T27</f>
        <v>29705.89</v>
      </c>
      <c r="Y27" s="3"/>
      <c r="Z27" s="20">
        <f>IF(T27=0,0,X27/T27)</f>
        <v>-11.224382686894257</v>
      </c>
    </row>
    <row r="28" spans="1:26" s="69" customFormat="1" ht="15" hidden="1" customHeight="1" outlineLevel="1" x14ac:dyDescent="0.3">
      <c r="A28" s="42"/>
      <c r="B28" s="12" t="str">
        <f>CONCATENATE("          ","5059"," - ","PURCHASES @ COST-FOOD")</f>
        <v xml:space="preserve">          5059 - PURCHASES @ COST-FOOD</v>
      </c>
      <c r="C28" s="12"/>
      <c r="D28" s="3">
        <v>52537.61</v>
      </c>
      <c r="E28" s="3"/>
      <c r="F28" s="20">
        <f>IF(D$12=0,0,D28/D$12)</f>
        <v>0.39521928408795393</v>
      </c>
      <c r="G28" s="3"/>
      <c r="H28" s="3">
        <v>19</v>
      </c>
      <c r="I28" s="3"/>
      <c r="J28" s="20">
        <f>IF(H$12=0,0,H28/H$12)</f>
        <v>0.18896071606166087</v>
      </c>
      <c r="K28" s="3"/>
      <c r="L28" s="3">
        <f>+D28-H28</f>
        <v>52518.61</v>
      </c>
      <c r="M28" s="3"/>
      <c r="N28" s="20">
        <f>IF(H28=0,0,L28/H28)</f>
        <v>2764.1373684210525</v>
      </c>
      <c r="O28" s="12"/>
      <c r="P28" s="3">
        <v>118897.79</v>
      </c>
      <c r="Q28" s="3"/>
      <c r="R28" s="20">
        <f>IF(P$12=0,0,P28/P$12)</f>
        <v>0.38598199654310816</v>
      </c>
      <c r="S28" s="3"/>
      <c r="T28" s="3">
        <v>30865.91</v>
      </c>
      <c r="U28" s="3"/>
      <c r="V28" s="20">
        <f>IF(T$12=0,0,T28/T$12)</f>
        <v>10.941400628141592</v>
      </c>
      <c r="W28" s="3"/>
      <c r="X28" s="3">
        <f>+P28-T28</f>
        <v>88031.87999999999</v>
      </c>
      <c r="Y28" s="3"/>
      <c r="Z28" s="20">
        <f>IF(T28=0,0,X28/T28)</f>
        <v>2.8520746674891488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7" t="s">
        <v>288</v>
      </c>
      <c r="C30" s="27"/>
      <c r="D30" s="22">
        <f>D12-D25</f>
        <v>90626.47</v>
      </c>
      <c r="E30" s="15"/>
      <c r="F30" s="21">
        <f>IF(D$12=0,0,D30/D$12)</f>
        <v>0.68174644017530361</v>
      </c>
      <c r="G30" s="15"/>
      <c r="H30" s="22">
        <f>H12-H25</f>
        <v>-94.850000000000009</v>
      </c>
      <c r="I30" s="15"/>
      <c r="J30" s="21">
        <f>IF(H$12=0,0,H30/H$12)</f>
        <v>-0.94331178518150183</v>
      </c>
      <c r="K30" s="17"/>
      <c r="L30" s="22">
        <f>+D30-H30</f>
        <v>90721.32</v>
      </c>
      <c r="M30" s="17"/>
      <c r="N30" s="21">
        <f>IF(H30=0,0,L30/H30)</f>
        <v>-956.47148128624144</v>
      </c>
      <c r="O30" s="28"/>
      <c r="P30" s="22">
        <f>P12-P25</f>
        <v>167648.60000000003</v>
      </c>
      <c r="Q30" s="15"/>
      <c r="R30" s="21">
        <f>IF(P$12=0,0,P30/P$12)</f>
        <v>0.54424343249489282</v>
      </c>
      <c r="S30" s="15"/>
      <c r="T30" s="22">
        <f>T12-T25</f>
        <v>-25398.34</v>
      </c>
      <c r="U30" s="15"/>
      <c r="V30" s="21">
        <f>IF(T$12=0,0,T30/T$12)</f>
        <v>-9.0032470524845607</v>
      </c>
      <c r="W30" s="17"/>
      <c r="X30" s="22">
        <f>+P30-T30</f>
        <v>193046.94000000003</v>
      </c>
      <c r="Y30" s="17"/>
      <c r="Z30" s="21">
        <f>IF(T30=0,0,X30/T30)</f>
        <v>-7.6007699715808208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3">
      <c r="A32" s="11"/>
      <c r="B32" s="28" t="s">
        <v>289</v>
      </c>
      <c r="C32" s="11"/>
      <c r="D32" s="23" cm="1">
        <f t="array" ref="D32">SUM(OSRRefD22x_0)</f>
        <v>61126.029999999992</v>
      </c>
      <c r="E32" s="23"/>
      <c r="F32" s="35">
        <f t="shared" ref="F32:F63" si="4">IF(D$12=0,0,D32/D$12)</f>
        <v>0.45982650934709041</v>
      </c>
      <c r="G32" s="23"/>
      <c r="H32" s="23" cm="1">
        <f t="array" ref="H32">SUM(OSRRefH22x_0)</f>
        <v>13938.990000000003</v>
      </c>
      <c r="I32" s="23"/>
      <c r="J32" s="35">
        <f t="shared" ref="J32:J63" si="5">IF(H$12=0,0,H32/H$12)</f>
        <v>138.6274490303332</v>
      </c>
      <c r="K32" s="5"/>
      <c r="L32" s="23">
        <f t="shared" ref="L32:L63" si="6">+D32-H32</f>
        <v>47187.039999999986</v>
      </c>
      <c r="M32" s="5"/>
      <c r="N32" s="35">
        <f t="shared" ref="N32:N63" si="7">IF(H32=0,0,L32/H32)</f>
        <v>3.3852553162029655</v>
      </c>
      <c r="O32" s="11"/>
      <c r="P32" s="23" cm="1">
        <f t="array" ref="P32">SUM(OSRRefP22x_0)</f>
        <v>264757.29000000004</v>
      </c>
      <c r="Q32" s="23"/>
      <c r="R32" s="35">
        <f t="shared" ref="R32:R63" si="8">IF(P$12=0,0,P32/P$12)</f>
        <v>0.85949072218703737</v>
      </c>
      <c r="S32" s="23"/>
      <c r="T32" s="23" cm="1">
        <f t="array" ref="T32">SUM(OSRRefT22x_0)</f>
        <v>217530.89999999997</v>
      </c>
      <c r="U32" s="23"/>
      <c r="V32" s="35">
        <f t="shared" ref="V32:V63" si="9">IF(T$12=0,0,T32/T$12)</f>
        <v>77.110725907650405</v>
      </c>
      <c r="W32" s="5"/>
      <c r="X32" s="23">
        <f t="shared" ref="X32:X63" si="10">+P32-T32</f>
        <v>47226.390000000072</v>
      </c>
      <c r="Y32" s="5"/>
      <c r="Z32" s="35">
        <f t="shared" ref="Z32:Z63" si="11">IF(T32=0,0,X32/T32)</f>
        <v>0.2171019841319099</v>
      </c>
    </row>
    <row r="33" spans="1:26" s="68" customFormat="1" ht="15" customHeight="1" outlineLevel="1" collapsed="1" x14ac:dyDescent="0.3">
      <c r="A33" s="26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7218.6</v>
      </c>
      <c r="E33" s="2"/>
      <c r="F33" s="6">
        <f t="shared" si="4"/>
        <v>5.4302621000789801E-2</v>
      </c>
      <c r="G33" s="2"/>
      <c r="H33" s="2">
        <f>SUM(OSRRefH22_0x_0)</f>
        <v>0</v>
      </c>
      <c r="I33" s="2"/>
      <c r="J33" s="6">
        <f t="shared" si="5"/>
        <v>0</v>
      </c>
      <c r="K33" s="2"/>
      <c r="L33" s="2">
        <f t="shared" si="6"/>
        <v>7218.6</v>
      </c>
      <c r="M33" s="2"/>
      <c r="N33" s="6">
        <f t="shared" si="7"/>
        <v>0</v>
      </c>
      <c r="O33" s="14"/>
      <c r="P33" s="2">
        <f>SUM(OSRRefP22_0x_0)</f>
        <v>22876.93</v>
      </c>
      <c r="Q33" s="2"/>
      <c r="R33" s="6">
        <f t="shared" si="8"/>
        <v>7.4266166899964486E-2</v>
      </c>
      <c r="S33" s="2"/>
      <c r="T33" s="2">
        <f>SUM(OSRRefT22_0x_0)</f>
        <v>35025.26</v>
      </c>
      <c r="U33" s="2"/>
      <c r="V33" s="6">
        <f t="shared" si="9"/>
        <v>12.415814138148612</v>
      </c>
      <c r="W33" s="2"/>
      <c r="X33" s="2">
        <f t="shared" si="10"/>
        <v>-12148.330000000002</v>
      </c>
      <c r="Y33" s="2"/>
      <c r="Z33" s="6">
        <f t="shared" si="11"/>
        <v>-0.34684481999562605</v>
      </c>
    </row>
    <row r="34" spans="1:26" s="69" customFormat="1" ht="15" hidden="1" customHeight="1" outlineLevel="2" x14ac:dyDescent="0.3">
      <c r="A34" s="25"/>
      <c r="B34" s="12" t="str">
        <f>CONCATENATE("          ","6111"," - ","F.I.C.A.")</f>
        <v xml:space="preserve">          6111 - F.I.C.A.</v>
      </c>
      <c r="C34" s="12"/>
      <c r="D34" s="8">
        <v>1318.39</v>
      </c>
      <c r="E34" s="3"/>
      <c r="F34" s="7">
        <f t="shared" si="4"/>
        <v>9.917717078274357E-3</v>
      </c>
      <c r="G34" s="3"/>
      <c r="H34" s="8"/>
      <c r="I34" s="3"/>
      <c r="J34" s="7">
        <f t="shared" si="5"/>
        <v>0</v>
      </c>
      <c r="K34" s="3"/>
      <c r="L34" s="8">
        <f t="shared" si="6"/>
        <v>1318.39</v>
      </c>
      <c r="M34" s="3"/>
      <c r="N34" s="7">
        <f t="shared" si="7"/>
        <v>0</v>
      </c>
      <c r="O34" s="12"/>
      <c r="P34" s="8">
        <v>4469.57</v>
      </c>
      <c r="Q34" s="3"/>
      <c r="R34" s="7">
        <f t="shared" si="8"/>
        <v>1.4509719249526673E-2</v>
      </c>
      <c r="S34" s="3"/>
      <c r="T34" s="8">
        <v>3909.68</v>
      </c>
      <c r="U34" s="3"/>
      <c r="V34" s="7">
        <f t="shared" si="9"/>
        <v>1.3859100608999579</v>
      </c>
      <c r="W34" s="3"/>
      <c r="X34" s="8">
        <f t="shared" si="10"/>
        <v>559.88999999999987</v>
      </c>
      <c r="Y34" s="3"/>
      <c r="Z34" s="7">
        <f t="shared" si="11"/>
        <v>0.14320609359333752</v>
      </c>
    </row>
    <row r="35" spans="1:26" s="69" customFormat="1" ht="15" hidden="1" customHeight="1" outlineLevel="2" x14ac:dyDescent="0.3">
      <c r="A35" s="25"/>
      <c r="B35" s="12" t="str">
        <f>CONCATENATE("          ","6112"," - ","COMPENSATION INSURANCE")</f>
        <v xml:space="preserve">          6112 - COMPENSATION INSURANCE</v>
      </c>
      <c r="C35" s="12"/>
      <c r="D35" s="8">
        <v>507.04</v>
      </c>
      <c r="E35" s="3"/>
      <c r="F35" s="7">
        <f t="shared" si="4"/>
        <v>3.814257744194229E-3</v>
      </c>
      <c r="G35" s="3"/>
      <c r="H35" s="8"/>
      <c r="I35" s="3"/>
      <c r="J35" s="7">
        <f t="shared" si="5"/>
        <v>0</v>
      </c>
      <c r="K35" s="3"/>
      <c r="L35" s="8">
        <f t="shared" si="6"/>
        <v>507.04</v>
      </c>
      <c r="M35" s="3"/>
      <c r="N35" s="7">
        <f t="shared" si="7"/>
        <v>0</v>
      </c>
      <c r="O35" s="12"/>
      <c r="P35" s="8">
        <v>1513.68</v>
      </c>
      <c r="Q35" s="3"/>
      <c r="R35" s="7">
        <f t="shared" si="8"/>
        <v>4.9139115918586211E-3</v>
      </c>
      <c r="S35" s="3"/>
      <c r="T35" s="8">
        <v>830.67</v>
      </c>
      <c r="U35" s="3"/>
      <c r="V35" s="7">
        <f t="shared" si="9"/>
        <v>0.29445732394665752</v>
      </c>
      <c r="W35" s="3"/>
      <c r="X35" s="8">
        <f t="shared" si="10"/>
        <v>683.0100000000001</v>
      </c>
      <c r="Y35" s="3"/>
      <c r="Z35" s="7">
        <f t="shared" si="11"/>
        <v>0.82223987865217252</v>
      </c>
    </row>
    <row r="36" spans="1:26" s="69" customFormat="1" ht="15" hidden="1" customHeight="1" outlineLevel="2" x14ac:dyDescent="0.3">
      <c r="A36" s="25"/>
      <c r="B36" s="12" t="str">
        <f>CONCATENATE("          ","6113"," - ","GROUP INSURANCE")</f>
        <v xml:space="preserve">          6113 - GROUP INSURANCE</v>
      </c>
      <c r="C36" s="12"/>
      <c r="D36" s="8">
        <v>3036.65</v>
      </c>
      <c r="E36" s="3"/>
      <c r="F36" s="7">
        <f t="shared" si="4"/>
        <v>2.2843495146156922E-2</v>
      </c>
      <c r="G36" s="3"/>
      <c r="H36" s="8"/>
      <c r="I36" s="3"/>
      <c r="J36" s="7">
        <f t="shared" si="5"/>
        <v>0</v>
      </c>
      <c r="K36" s="3"/>
      <c r="L36" s="8">
        <f t="shared" si="6"/>
        <v>3036.65</v>
      </c>
      <c r="M36" s="3"/>
      <c r="N36" s="7">
        <f t="shared" si="7"/>
        <v>0</v>
      </c>
      <c r="O36" s="12"/>
      <c r="P36" s="8">
        <v>9143.7900000000009</v>
      </c>
      <c r="Q36" s="3"/>
      <c r="R36" s="7">
        <f t="shared" si="8"/>
        <v>2.9683800852571839E-2</v>
      </c>
      <c r="S36" s="3"/>
      <c r="T36" s="8">
        <v>18067.72</v>
      </c>
      <c r="U36" s="3"/>
      <c r="V36" s="7">
        <f t="shared" si="9"/>
        <v>6.4046763227485091</v>
      </c>
      <c r="W36" s="3"/>
      <c r="X36" s="8">
        <f t="shared" si="10"/>
        <v>-8923.93</v>
      </c>
      <c r="Y36" s="3"/>
      <c r="Z36" s="7">
        <f t="shared" si="11"/>
        <v>-0.49391566838538564</v>
      </c>
    </row>
    <row r="37" spans="1:26" s="69" customFormat="1" ht="15" hidden="1" customHeight="1" outlineLevel="2" x14ac:dyDescent="0.3">
      <c r="A37" s="25"/>
      <c r="B37" s="12" t="str">
        <f>CONCATENATE("          ","6114"," - ","STATE UNEMPLOYMENT INSURANCE")</f>
        <v xml:space="preserve">          6114 - STATE UNEMPLOYMENT INSURANCE</v>
      </c>
      <c r="C37" s="12"/>
      <c r="D37" s="8">
        <v>89.08</v>
      </c>
      <c r="E37" s="3"/>
      <c r="F37" s="7">
        <f t="shared" si="4"/>
        <v>6.7011296910070588E-4</v>
      </c>
      <c r="G37" s="3"/>
      <c r="H37" s="8"/>
      <c r="I37" s="3"/>
      <c r="J37" s="7">
        <f t="shared" si="5"/>
        <v>0</v>
      </c>
      <c r="K37" s="3"/>
      <c r="L37" s="8">
        <f t="shared" si="6"/>
        <v>89.08</v>
      </c>
      <c r="M37" s="3"/>
      <c r="N37" s="7">
        <f t="shared" si="7"/>
        <v>0</v>
      </c>
      <c r="O37" s="12"/>
      <c r="P37" s="8">
        <v>243.49</v>
      </c>
      <c r="Q37" s="3"/>
      <c r="R37" s="7">
        <f t="shared" si="8"/>
        <v>7.9044998513665751E-4</v>
      </c>
      <c r="S37" s="3"/>
      <c r="T37" s="8">
        <v>132.15</v>
      </c>
      <c r="U37" s="3"/>
      <c r="V37" s="7">
        <f t="shared" si="9"/>
        <v>4.6844758278920387E-2</v>
      </c>
      <c r="W37" s="3"/>
      <c r="X37" s="8">
        <f t="shared" si="10"/>
        <v>111.34</v>
      </c>
      <c r="Y37" s="3"/>
      <c r="Z37" s="7">
        <f t="shared" si="11"/>
        <v>0.84252743094967841</v>
      </c>
    </row>
    <row r="38" spans="1:26" s="69" customFormat="1" ht="15" hidden="1" customHeight="1" outlineLevel="2" x14ac:dyDescent="0.3">
      <c r="A38" s="25"/>
      <c r="B38" s="12" t="str">
        <f>CONCATENATE("          ","6115"," - ","P.E.R.S.")</f>
        <v xml:space="preserve">          6115 - P.E.R.S.</v>
      </c>
      <c r="C38" s="12"/>
      <c r="D38" s="8">
        <v>548.17999999999995</v>
      </c>
      <c r="E38" s="3"/>
      <c r="F38" s="7">
        <f t="shared" si="4"/>
        <v>4.1237373978628752E-3</v>
      </c>
      <c r="G38" s="3"/>
      <c r="H38" s="8"/>
      <c r="I38" s="3"/>
      <c r="J38" s="7">
        <f t="shared" si="5"/>
        <v>0</v>
      </c>
      <c r="K38" s="3"/>
      <c r="L38" s="8">
        <f t="shared" si="6"/>
        <v>548.17999999999995</v>
      </c>
      <c r="M38" s="3"/>
      <c r="N38" s="7">
        <f t="shared" si="7"/>
        <v>0</v>
      </c>
      <c r="O38" s="12"/>
      <c r="P38" s="8">
        <v>1644.54</v>
      </c>
      <c r="Q38" s="3"/>
      <c r="R38" s="7">
        <f t="shared" si="8"/>
        <v>5.338726923309535E-3</v>
      </c>
      <c r="S38" s="3"/>
      <c r="T38" s="8">
        <v>5525.49</v>
      </c>
      <c r="U38" s="3"/>
      <c r="V38" s="7">
        <f t="shared" si="9"/>
        <v>1.9586851564327792</v>
      </c>
      <c r="W38" s="3"/>
      <c r="X38" s="8">
        <f t="shared" si="10"/>
        <v>-3880.95</v>
      </c>
      <c r="Y38" s="3"/>
      <c r="Z38" s="7">
        <f t="shared" si="11"/>
        <v>-0.70237209731625616</v>
      </c>
    </row>
    <row r="39" spans="1:26" s="69" customFormat="1" ht="15" hidden="1" customHeight="1" outlineLevel="2" x14ac:dyDescent="0.3">
      <c r="A39" s="25"/>
      <c r="B39" s="12" t="str">
        <f>CONCATENATE("          ","6117"," - ","RETIREMENT STAFF HOURLY")</f>
        <v xml:space="preserve">          6117 - RETIREMENT STAFF HOURLY</v>
      </c>
      <c r="C39" s="12"/>
      <c r="D39" s="8">
        <v>294.60000000000002</v>
      </c>
      <c r="E39" s="3"/>
      <c r="F39" s="7">
        <f t="shared" si="4"/>
        <v>2.216157169926672E-3</v>
      </c>
      <c r="G39" s="3"/>
      <c r="H39" s="8"/>
      <c r="I39" s="3"/>
      <c r="J39" s="7">
        <f t="shared" si="5"/>
        <v>0</v>
      </c>
      <c r="K39" s="3"/>
      <c r="L39" s="8">
        <f t="shared" si="6"/>
        <v>294.60000000000002</v>
      </c>
      <c r="M39" s="3"/>
      <c r="N39" s="7">
        <f t="shared" si="7"/>
        <v>0</v>
      </c>
      <c r="O39" s="12"/>
      <c r="P39" s="8">
        <v>757.03</v>
      </c>
      <c r="Q39" s="3"/>
      <c r="R39" s="7">
        <f t="shared" si="8"/>
        <v>2.4575725994825403E-3</v>
      </c>
      <c r="S39" s="3"/>
      <c r="T39" s="8"/>
      <c r="U39" s="3"/>
      <c r="V39" s="7">
        <f t="shared" si="9"/>
        <v>0</v>
      </c>
      <c r="W39" s="3"/>
      <c r="X39" s="8">
        <f t="shared" si="10"/>
        <v>757.03</v>
      </c>
      <c r="Y39" s="3"/>
      <c r="Z39" s="7">
        <f t="shared" si="11"/>
        <v>0</v>
      </c>
    </row>
    <row r="40" spans="1:26" s="69" customFormat="1" ht="15" hidden="1" customHeight="1" outlineLevel="2" x14ac:dyDescent="0.3">
      <c r="A40" s="25"/>
      <c r="B40" s="12" t="str">
        <f>CONCATENATE("          ","6118"," - ","VACATION")</f>
        <v xml:space="preserve">          6118 - VACATION</v>
      </c>
      <c r="C40" s="12"/>
      <c r="D40" s="8">
        <v>531.67999999999995</v>
      </c>
      <c r="E40" s="3"/>
      <c r="F40" s="7">
        <f t="shared" si="4"/>
        <v>3.9996145421134178E-3</v>
      </c>
      <c r="G40" s="3"/>
      <c r="H40" s="8"/>
      <c r="I40" s="3"/>
      <c r="J40" s="7">
        <f t="shared" si="5"/>
        <v>0</v>
      </c>
      <c r="K40" s="3"/>
      <c r="L40" s="8">
        <f t="shared" si="6"/>
        <v>531.67999999999995</v>
      </c>
      <c r="M40" s="3"/>
      <c r="N40" s="7">
        <f t="shared" si="7"/>
        <v>0</v>
      </c>
      <c r="O40" s="12"/>
      <c r="P40" s="8">
        <v>1839.9</v>
      </c>
      <c r="Q40" s="3"/>
      <c r="R40" s="7">
        <f t="shared" si="8"/>
        <v>5.9729308294095692E-3</v>
      </c>
      <c r="S40" s="3"/>
      <c r="T40" s="8">
        <v>3386</v>
      </c>
      <c r="U40" s="3"/>
      <c r="V40" s="7">
        <f t="shared" si="9"/>
        <v>1.2002750778087357</v>
      </c>
      <c r="W40" s="3"/>
      <c r="X40" s="8">
        <f t="shared" si="10"/>
        <v>-1546.1</v>
      </c>
      <c r="Y40" s="3"/>
      <c r="Z40" s="7">
        <f t="shared" si="11"/>
        <v>-0.45661547548730064</v>
      </c>
    </row>
    <row r="41" spans="1:26" s="69" customFormat="1" ht="15" hidden="1" customHeight="1" outlineLevel="2" x14ac:dyDescent="0.3">
      <c r="A41" s="25"/>
      <c r="B41" s="12" t="str">
        <f>CONCATENATE("          ","6119"," - ","SICK LEAVE")</f>
        <v xml:space="preserve">          6119 - SICK LEAVE</v>
      </c>
      <c r="C41" s="12"/>
      <c r="D41" s="8">
        <v>427.98</v>
      </c>
      <c r="E41" s="3"/>
      <c r="F41" s="7">
        <f t="shared" si="4"/>
        <v>3.219521200221375E-3</v>
      </c>
      <c r="G41" s="3"/>
      <c r="H41" s="8"/>
      <c r="I41" s="3"/>
      <c r="J41" s="7">
        <f t="shared" si="5"/>
        <v>0</v>
      </c>
      <c r="K41" s="3"/>
      <c r="L41" s="8">
        <f t="shared" si="6"/>
        <v>427.98</v>
      </c>
      <c r="M41" s="3"/>
      <c r="N41" s="7">
        <f t="shared" si="7"/>
        <v>0</v>
      </c>
      <c r="O41" s="12"/>
      <c r="P41" s="8">
        <v>1577.31</v>
      </c>
      <c r="Q41" s="3"/>
      <c r="R41" s="7">
        <f t="shared" si="8"/>
        <v>5.1204758555008466E-3</v>
      </c>
      <c r="S41" s="3"/>
      <c r="T41" s="8">
        <v>2447.1799999999998</v>
      </c>
      <c r="U41" s="3"/>
      <c r="V41" s="7">
        <f t="shared" si="9"/>
        <v>0.86748055667808077</v>
      </c>
      <c r="W41" s="3"/>
      <c r="X41" s="8">
        <f t="shared" si="10"/>
        <v>-869.86999999999989</v>
      </c>
      <c r="Y41" s="3"/>
      <c r="Z41" s="7">
        <f t="shared" si="11"/>
        <v>-0.35545811914121556</v>
      </c>
    </row>
    <row r="42" spans="1:26" s="69" customFormat="1" ht="15" hidden="1" customHeight="1" outlineLevel="2" x14ac:dyDescent="0.3">
      <c r="A42" s="25"/>
      <c r="B42" s="12" t="str">
        <f>CONCATENATE("          ","6156"," - ","EMPLOYEE MEALS")</f>
        <v xml:space="preserve">          6156 - EMPLOYEE MEALS</v>
      </c>
      <c r="C42" s="12"/>
      <c r="D42" s="8">
        <v>465</v>
      </c>
      <c r="E42" s="3"/>
      <c r="F42" s="7">
        <f t="shared" si="4"/>
        <v>3.4980077529392483E-3</v>
      </c>
      <c r="G42" s="3"/>
      <c r="H42" s="8"/>
      <c r="I42" s="3"/>
      <c r="J42" s="7">
        <f t="shared" si="5"/>
        <v>0</v>
      </c>
      <c r="K42" s="3"/>
      <c r="L42" s="8">
        <f t="shared" si="6"/>
        <v>465</v>
      </c>
      <c r="M42" s="3"/>
      <c r="N42" s="7">
        <f t="shared" si="7"/>
        <v>0</v>
      </c>
      <c r="O42" s="12"/>
      <c r="P42" s="8">
        <v>1687.62</v>
      </c>
      <c r="Q42" s="3"/>
      <c r="R42" s="7">
        <f t="shared" si="8"/>
        <v>5.4785790131682026E-3</v>
      </c>
      <c r="S42" s="3"/>
      <c r="T42" s="8">
        <v>726.37</v>
      </c>
      <c r="U42" s="3"/>
      <c r="V42" s="7">
        <f t="shared" si="9"/>
        <v>0.25748488135497088</v>
      </c>
      <c r="W42" s="3"/>
      <c r="X42" s="8">
        <f t="shared" si="10"/>
        <v>961.24999999999989</v>
      </c>
      <c r="Y42" s="3"/>
      <c r="Z42" s="7">
        <f t="shared" si="11"/>
        <v>1.3233613723033715</v>
      </c>
    </row>
    <row r="43" spans="1:26" s="68" customFormat="1" ht="15" customHeight="1" outlineLevel="1" collapsed="1" x14ac:dyDescent="0.3">
      <c r="A43" s="26"/>
      <c r="B43" s="14" t="str">
        <f>CONCATENATE("     ","*Payroll                                          ")</f>
        <v xml:space="preserve">     *Payroll                                          </v>
      </c>
      <c r="C43" s="14"/>
      <c r="D43" s="2">
        <f>SUM(OSRRefD22_1x_0)</f>
        <v>33405.89</v>
      </c>
      <c r="E43" s="2"/>
      <c r="F43" s="6">
        <f t="shared" si="4"/>
        <v>0.25129905852437784</v>
      </c>
      <c r="G43" s="2"/>
      <c r="H43" s="2">
        <f>SUM(OSRRefH22_1x_0)</f>
        <v>0</v>
      </c>
      <c r="I43" s="2"/>
      <c r="J43" s="6">
        <f t="shared" si="5"/>
        <v>0</v>
      </c>
      <c r="K43" s="2"/>
      <c r="L43" s="2">
        <f t="shared" si="6"/>
        <v>33405.89</v>
      </c>
      <c r="M43" s="2"/>
      <c r="N43" s="6">
        <f t="shared" si="7"/>
        <v>0</v>
      </c>
      <c r="O43" s="14"/>
      <c r="P43" s="2">
        <f>SUM(OSRRefP22_1x_0)</f>
        <v>99443.73000000001</v>
      </c>
      <c r="Q43" s="2"/>
      <c r="R43" s="6">
        <f t="shared" si="8"/>
        <v>0.32282761058127146</v>
      </c>
      <c r="S43" s="2"/>
      <c r="T43" s="2">
        <f>SUM(OSRRefT22_1x_0)</f>
        <v>41960.38</v>
      </c>
      <c r="U43" s="2"/>
      <c r="V43" s="6">
        <f t="shared" si="9"/>
        <v>14.874187350674575</v>
      </c>
      <c r="W43" s="2"/>
      <c r="X43" s="2">
        <f t="shared" si="10"/>
        <v>57483.350000000013</v>
      </c>
      <c r="Y43" s="2"/>
      <c r="Z43" s="6">
        <f t="shared" si="11"/>
        <v>1.3699435038481542</v>
      </c>
    </row>
    <row r="44" spans="1:26" s="69" customFormat="1" ht="15" hidden="1" customHeight="1" outlineLevel="2" x14ac:dyDescent="0.3">
      <c r="A44" s="25"/>
      <c r="B44" s="12" t="str">
        <f>CONCATENATE("          ","6002"," - ","STAFF SALARIES")</f>
        <v xml:space="preserve">          6002 - STAFF SALARIES</v>
      </c>
      <c r="C44" s="12"/>
      <c r="D44" s="8">
        <v>4534.6099999999997</v>
      </c>
      <c r="E44" s="3"/>
      <c r="F44" s="7">
        <f t="shared" si="4"/>
        <v>3.4112045024851274E-2</v>
      </c>
      <c r="G44" s="3"/>
      <c r="H44" s="8"/>
      <c r="I44" s="3"/>
      <c r="J44" s="7">
        <f t="shared" si="5"/>
        <v>0</v>
      </c>
      <c r="K44" s="3"/>
      <c r="L44" s="8">
        <f t="shared" si="6"/>
        <v>4534.6099999999997</v>
      </c>
      <c r="M44" s="3"/>
      <c r="N44" s="7">
        <f t="shared" si="7"/>
        <v>0</v>
      </c>
      <c r="O44" s="12"/>
      <c r="P44" s="8">
        <v>15619.61</v>
      </c>
      <c r="Q44" s="3"/>
      <c r="R44" s="7">
        <f t="shared" si="8"/>
        <v>5.0706478674033377E-2</v>
      </c>
      <c r="S44" s="3"/>
      <c r="T44" s="8">
        <v>39828.42</v>
      </c>
      <c r="U44" s="3"/>
      <c r="V44" s="7">
        <f t="shared" si="9"/>
        <v>14.118446519344063</v>
      </c>
      <c r="W44" s="3"/>
      <c r="X44" s="8">
        <f t="shared" si="10"/>
        <v>-24208.809999999998</v>
      </c>
      <c r="Y44" s="3"/>
      <c r="Z44" s="7">
        <f t="shared" si="11"/>
        <v>-0.60782752617352132</v>
      </c>
    </row>
    <row r="45" spans="1:26" s="69" customFormat="1" ht="15" hidden="1" customHeight="1" outlineLevel="2" x14ac:dyDescent="0.3">
      <c r="A45" s="25"/>
      <c r="B45" s="12" t="str">
        <f>CONCATENATE("          ","6004"," - ","STAFF HOURLY")</f>
        <v xml:space="preserve">          6004 - STAFF HOURLY</v>
      </c>
      <c r="C45" s="12"/>
      <c r="D45" s="8">
        <v>4230.8900000000003</v>
      </c>
      <c r="E45" s="3"/>
      <c r="F45" s="7">
        <f t="shared" si="4"/>
        <v>3.1827281767383087E-2</v>
      </c>
      <c r="G45" s="3"/>
      <c r="H45" s="8"/>
      <c r="I45" s="3"/>
      <c r="J45" s="7">
        <f t="shared" si="5"/>
        <v>0</v>
      </c>
      <c r="K45" s="3"/>
      <c r="L45" s="8">
        <f t="shared" si="6"/>
        <v>4230.8900000000003</v>
      </c>
      <c r="M45" s="3"/>
      <c r="N45" s="7">
        <f t="shared" si="7"/>
        <v>0</v>
      </c>
      <c r="O45" s="12"/>
      <c r="P45" s="8">
        <v>18392.22</v>
      </c>
      <c r="Q45" s="3"/>
      <c r="R45" s="7">
        <f t="shared" si="8"/>
        <v>5.9707298146248859E-2</v>
      </c>
      <c r="S45" s="3"/>
      <c r="T45" s="8"/>
      <c r="U45" s="3"/>
      <c r="V45" s="7">
        <f t="shared" si="9"/>
        <v>0</v>
      </c>
      <c r="W45" s="3"/>
      <c r="X45" s="8">
        <f t="shared" si="10"/>
        <v>18392.22</v>
      </c>
      <c r="Y45" s="3"/>
      <c r="Z45" s="7">
        <f t="shared" si="11"/>
        <v>0</v>
      </c>
    </row>
    <row r="46" spans="1:26" s="69" customFormat="1" ht="15" hidden="1" customHeight="1" outlineLevel="2" x14ac:dyDescent="0.3">
      <c r="A46" s="25"/>
      <c r="B46" s="12" t="str">
        <f>CONCATENATE("          ","6005"," - ","TEMPORARY WAGES-HOURLY")</f>
        <v xml:space="preserve">          6005 - TEMPORARY WAGES-HOURLY</v>
      </c>
      <c r="C46" s="12"/>
      <c r="D46" s="8">
        <v>2910.34</v>
      </c>
      <c r="E46" s="3"/>
      <c r="F46" s="7">
        <f t="shared" si="4"/>
        <v>2.1893315878901531E-2</v>
      </c>
      <c r="G46" s="3"/>
      <c r="H46" s="8"/>
      <c r="I46" s="3"/>
      <c r="J46" s="7">
        <f t="shared" si="5"/>
        <v>0</v>
      </c>
      <c r="K46" s="3"/>
      <c r="L46" s="8">
        <f t="shared" si="6"/>
        <v>2910.34</v>
      </c>
      <c r="M46" s="3"/>
      <c r="N46" s="7">
        <f t="shared" si="7"/>
        <v>0</v>
      </c>
      <c r="O46" s="12"/>
      <c r="P46" s="8">
        <v>21207.67</v>
      </c>
      <c r="Q46" s="3"/>
      <c r="R46" s="7">
        <f t="shared" si="8"/>
        <v>6.884719058804524E-2</v>
      </c>
      <c r="S46" s="3"/>
      <c r="T46" s="8">
        <v>2131.96</v>
      </c>
      <c r="U46" s="3"/>
      <c r="V46" s="7">
        <f t="shared" si="9"/>
        <v>0.75574083133051151</v>
      </c>
      <c r="W46" s="3"/>
      <c r="X46" s="8">
        <f t="shared" si="10"/>
        <v>19075.71</v>
      </c>
      <c r="Y46" s="3"/>
      <c r="Z46" s="7">
        <f t="shared" si="11"/>
        <v>8.9474990149908997</v>
      </c>
    </row>
    <row r="47" spans="1:26" s="69" customFormat="1" ht="15" hidden="1" customHeight="1" outlineLevel="2" x14ac:dyDescent="0.3">
      <c r="A47" s="25"/>
      <c r="B47" s="12" t="str">
        <f>CONCATENATE("          ","6006"," - ","TEMPORARY PART TIME")</f>
        <v xml:space="preserve">          6006 - TEMPORARY PART TIME</v>
      </c>
      <c r="C47" s="12"/>
      <c r="D47" s="8">
        <v>1702.24</v>
      </c>
      <c r="E47" s="3"/>
      <c r="F47" s="7">
        <f t="shared" si="4"/>
        <v>1.2805266058845818E-2</v>
      </c>
      <c r="G47" s="3"/>
      <c r="H47" s="8"/>
      <c r="I47" s="3"/>
      <c r="J47" s="7">
        <f t="shared" si="5"/>
        <v>0</v>
      </c>
      <c r="K47" s="3"/>
      <c r="L47" s="8">
        <f t="shared" si="6"/>
        <v>1702.24</v>
      </c>
      <c r="M47" s="3"/>
      <c r="N47" s="7">
        <f t="shared" si="7"/>
        <v>0</v>
      </c>
      <c r="O47" s="12"/>
      <c r="P47" s="8">
        <v>2343.2399999999998</v>
      </c>
      <c r="Q47" s="3"/>
      <c r="R47" s="7">
        <f t="shared" si="8"/>
        <v>7.6069408319504742E-3</v>
      </c>
      <c r="S47" s="3"/>
      <c r="T47" s="8"/>
      <c r="U47" s="3"/>
      <c r="V47" s="7">
        <f t="shared" si="9"/>
        <v>0</v>
      </c>
      <c r="W47" s="3"/>
      <c r="X47" s="8">
        <f t="shared" si="10"/>
        <v>2343.2399999999998</v>
      </c>
      <c r="Y47" s="3"/>
      <c r="Z47" s="7">
        <f t="shared" si="11"/>
        <v>0</v>
      </c>
    </row>
    <row r="48" spans="1:26" s="69" customFormat="1" ht="15" hidden="1" customHeight="1" outlineLevel="2" x14ac:dyDescent="0.3">
      <c r="A48" s="25"/>
      <c r="B48" s="12" t="str">
        <f>CONCATENATE("          ","6007"," - ","STUDENT HOURLY")</f>
        <v xml:space="preserve">          6007 - STUDENT HOURLY</v>
      </c>
      <c r="C48" s="12"/>
      <c r="D48" s="8">
        <v>17283.04</v>
      </c>
      <c r="E48" s="3"/>
      <c r="F48" s="7">
        <f t="shared" si="4"/>
        <v>0.13001335035346054</v>
      </c>
      <c r="G48" s="3"/>
      <c r="H48" s="8"/>
      <c r="I48" s="3"/>
      <c r="J48" s="7">
        <f t="shared" si="5"/>
        <v>0</v>
      </c>
      <c r="K48" s="3"/>
      <c r="L48" s="8">
        <f t="shared" si="6"/>
        <v>17283.04</v>
      </c>
      <c r="M48" s="3"/>
      <c r="N48" s="7">
        <f t="shared" si="7"/>
        <v>0</v>
      </c>
      <c r="O48" s="12"/>
      <c r="P48" s="8">
        <v>37991.42</v>
      </c>
      <c r="Q48" s="3"/>
      <c r="R48" s="7">
        <f t="shared" si="8"/>
        <v>0.12333285709606352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37991.42</v>
      </c>
      <c r="Y48" s="3"/>
      <c r="Z48" s="7">
        <f t="shared" si="11"/>
        <v>0</v>
      </c>
    </row>
    <row r="49" spans="1:26" s="69" customFormat="1" ht="15" hidden="1" customHeight="1" outlineLevel="2" x14ac:dyDescent="0.3">
      <c r="A49" s="25"/>
      <c r="B49" s="12" t="str">
        <f>CONCATENATE("          ","6008"," - ","STUDENT HOURLY-FICA EXEMPT")</f>
        <v xml:space="preserve">          6008 - STUDENT HOURLY-FICA EXEMPT</v>
      </c>
      <c r="C49" s="12"/>
      <c r="D49" s="8">
        <v>2744.77</v>
      </c>
      <c r="E49" s="3"/>
      <c r="F49" s="7">
        <f t="shared" si="4"/>
        <v>2.0647799440935612E-2</v>
      </c>
      <c r="G49" s="3"/>
      <c r="H49" s="8"/>
      <c r="I49" s="3"/>
      <c r="J49" s="7">
        <f t="shared" si="5"/>
        <v>0</v>
      </c>
      <c r="K49" s="3"/>
      <c r="L49" s="8">
        <f t="shared" si="6"/>
        <v>2744.77</v>
      </c>
      <c r="M49" s="3"/>
      <c r="N49" s="7">
        <f t="shared" si="7"/>
        <v>0</v>
      </c>
      <c r="O49" s="12"/>
      <c r="P49" s="8">
        <v>3889.57</v>
      </c>
      <c r="Q49" s="3"/>
      <c r="R49" s="7">
        <f t="shared" si="8"/>
        <v>1.262684524492993E-2</v>
      </c>
      <c r="S49" s="3"/>
      <c r="T49" s="8"/>
      <c r="U49" s="3"/>
      <c r="V49" s="7">
        <f t="shared" si="9"/>
        <v>0</v>
      </c>
      <c r="W49" s="3"/>
      <c r="X49" s="8">
        <f t="shared" si="10"/>
        <v>3889.57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6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8.81</v>
      </c>
      <c r="E50" s="2"/>
      <c r="F50" s="6">
        <f t="shared" si="4"/>
        <v>6.6274082372891991E-5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8.81</v>
      </c>
      <c r="M50" s="2"/>
      <c r="N50" s="6">
        <f t="shared" si="7"/>
        <v>0</v>
      </c>
      <c r="O50" s="14"/>
      <c r="P50" s="2">
        <f>SUM(OSRRefP22_2x_0)</f>
        <v>625.16999999999996</v>
      </c>
      <c r="Q50" s="2"/>
      <c r="R50" s="6">
        <f t="shared" si="8"/>
        <v>2.0295109335409425E-3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625.16999999999996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5"/>
      <c r="B51" s="12" t="str">
        <f>CONCATENATE("          ","6362"," - ","ADVERTISING EXPENSE")</f>
        <v xml:space="preserve">          6362 - ADVERTISING EXPENSE</v>
      </c>
      <c r="C51" s="12"/>
      <c r="D51" s="8">
        <v>8.81</v>
      </c>
      <c r="E51" s="3"/>
      <c r="F51" s="7">
        <f t="shared" si="4"/>
        <v>6.6274082372891991E-5</v>
      </c>
      <c r="G51" s="3"/>
      <c r="H51" s="8"/>
      <c r="I51" s="3"/>
      <c r="J51" s="7">
        <f t="shared" si="5"/>
        <v>0</v>
      </c>
      <c r="K51" s="3"/>
      <c r="L51" s="8">
        <f t="shared" si="6"/>
        <v>8.81</v>
      </c>
      <c r="M51" s="3"/>
      <c r="N51" s="7">
        <f t="shared" si="7"/>
        <v>0</v>
      </c>
      <c r="O51" s="12"/>
      <c r="P51" s="8">
        <v>625.16999999999996</v>
      </c>
      <c r="Q51" s="3"/>
      <c r="R51" s="7">
        <f t="shared" si="8"/>
        <v>2.0295109335409425E-3</v>
      </c>
      <c r="S51" s="3"/>
      <c r="T51" s="8"/>
      <c r="U51" s="3"/>
      <c r="V51" s="7">
        <f t="shared" si="9"/>
        <v>0</v>
      </c>
      <c r="W51" s="3"/>
      <c r="X51" s="8">
        <f t="shared" si="10"/>
        <v>625.16999999999996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6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-0.75</v>
      </c>
      <c r="E52" s="2"/>
      <c r="F52" s="6">
        <f t="shared" si="4"/>
        <v>-5.6419479886116901E-6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-0.75</v>
      </c>
      <c r="M52" s="2"/>
      <c r="N52" s="6">
        <f t="shared" si="7"/>
        <v>0</v>
      </c>
      <c r="O52" s="14"/>
      <c r="P52" s="2">
        <f>SUM(OSRRefP22_3x_0)</f>
        <v>8.36</v>
      </c>
      <c r="Q52" s="2"/>
      <c r="R52" s="6">
        <f t="shared" si="8"/>
        <v>2.7139356342118592E-5</v>
      </c>
      <c r="S52" s="2"/>
      <c r="T52" s="2">
        <f>SUM(OSRRefT22_3x_0)</f>
        <v>3.31</v>
      </c>
      <c r="U52" s="2"/>
      <c r="V52" s="6">
        <f t="shared" si="9"/>
        <v>1.1733344676748126E-3</v>
      </c>
      <c r="W52" s="2"/>
      <c r="X52" s="2">
        <f t="shared" si="10"/>
        <v>5.0499999999999989</v>
      </c>
      <c r="Y52" s="2"/>
      <c r="Z52" s="6">
        <f t="shared" si="11"/>
        <v>1.5256797583081567</v>
      </c>
    </row>
    <row r="53" spans="1:26" s="69" customFormat="1" ht="15" hidden="1" customHeight="1" outlineLevel="2" x14ac:dyDescent="0.3">
      <c r="A53" s="25"/>
      <c r="B53" s="12" t="str">
        <f>CONCATENATE("          ","6272"," - ","CASH (OVER/SHORT)")</f>
        <v xml:space="preserve">          6272 - CASH (OVER/SHORT)</v>
      </c>
      <c r="C53" s="12"/>
      <c r="D53" s="8">
        <v>-0.75</v>
      </c>
      <c r="E53" s="3"/>
      <c r="F53" s="7">
        <f t="shared" si="4"/>
        <v>-5.6419479886116901E-6</v>
      </c>
      <c r="G53" s="3"/>
      <c r="H53" s="8"/>
      <c r="I53" s="3"/>
      <c r="J53" s="7">
        <f t="shared" si="5"/>
        <v>0</v>
      </c>
      <c r="K53" s="3"/>
      <c r="L53" s="8">
        <f t="shared" si="6"/>
        <v>-0.75</v>
      </c>
      <c r="M53" s="3"/>
      <c r="N53" s="7">
        <f t="shared" si="7"/>
        <v>0</v>
      </c>
      <c r="O53" s="12"/>
      <c r="P53" s="8">
        <v>8.36</v>
      </c>
      <c r="Q53" s="3"/>
      <c r="R53" s="7">
        <f t="shared" si="8"/>
        <v>2.7139356342118592E-5</v>
      </c>
      <c r="S53" s="3"/>
      <c r="T53" s="8">
        <v>3.31</v>
      </c>
      <c r="U53" s="3"/>
      <c r="V53" s="7">
        <f t="shared" si="9"/>
        <v>1.1733344676748126E-3</v>
      </c>
      <c r="W53" s="3"/>
      <c r="X53" s="8">
        <f t="shared" si="10"/>
        <v>5.0499999999999989</v>
      </c>
      <c r="Y53" s="3"/>
      <c r="Z53" s="7">
        <f t="shared" si="11"/>
        <v>1.5256797583081567</v>
      </c>
    </row>
    <row r="54" spans="1:26" s="68" customFormat="1" ht="15" customHeight="1" outlineLevel="1" collapsed="1" x14ac:dyDescent="0.3">
      <c r="A54" s="26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5878.33</v>
      </c>
      <c r="E54" s="2"/>
      <c r="F54" s="6">
        <f t="shared" si="4"/>
        <v>4.4220309493194346E-2</v>
      </c>
      <c r="G54" s="2"/>
      <c r="H54" s="2">
        <f>SUM(OSRRefH22_4x_0)</f>
        <v>224.95</v>
      </c>
      <c r="I54" s="2"/>
      <c r="J54" s="6">
        <f t="shared" si="5"/>
        <v>2.2371954251616111</v>
      </c>
      <c r="K54" s="2"/>
      <c r="L54" s="2">
        <f t="shared" si="6"/>
        <v>5653.38</v>
      </c>
      <c r="M54" s="2"/>
      <c r="N54" s="6">
        <f t="shared" si="7"/>
        <v>25.131718159591021</v>
      </c>
      <c r="O54" s="14"/>
      <c r="P54" s="2">
        <f>SUM(OSRRefP22_4x_0)</f>
        <v>13958.63</v>
      </c>
      <c r="Q54" s="2"/>
      <c r="R54" s="6">
        <f t="shared" si="8"/>
        <v>4.5314382011696991E-2</v>
      </c>
      <c r="S54" s="2"/>
      <c r="T54" s="2">
        <f>SUM(OSRRefT22_4x_0)</f>
        <v>1588.18</v>
      </c>
      <c r="U54" s="2"/>
      <c r="V54" s="6">
        <f t="shared" si="9"/>
        <v>0.56298076582229117</v>
      </c>
      <c r="W54" s="2"/>
      <c r="X54" s="2">
        <f t="shared" si="10"/>
        <v>12370.449999999999</v>
      </c>
      <c r="Y54" s="2"/>
      <c r="Z54" s="6">
        <f t="shared" si="11"/>
        <v>7.7890730269868644</v>
      </c>
    </row>
    <row r="55" spans="1:26" s="69" customFormat="1" ht="15" hidden="1" customHeight="1" outlineLevel="2" x14ac:dyDescent="0.3">
      <c r="A55" s="25"/>
      <c r="B55" s="12" t="str">
        <f>CONCATENATE("          ","6381"," - ","BANK/CREDIT CARD FEES")</f>
        <v xml:space="preserve">          6381 - BANK/CREDIT CARD FEES</v>
      </c>
      <c r="C55" s="12"/>
      <c r="D55" s="8">
        <v>5878.33</v>
      </c>
      <c r="E55" s="3"/>
      <c r="F55" s="7">
        <f t="shared" si="4"/>
        <v>4.4220309493194346E-2</v>
      </c>
      <c r="G55" s="3"/>
      <c r="H55" s="8">
        <v>224.95</v>
      </c>
      <c r="I55" s="3"/>
      <c r="J55" s="7">
        <f t="shared" si="5"/>
        <v>2.2371954251616111</v>
      </c>
      <c r="K55" s="3"/>
      <c r="L55" s="8">
        <f t="shared" si="6"/>
        <v>5653.38</v>
      </c>
      <c r="M55" s="3"/>
      <c r="N55" s="7">
        <f t="shared" si="7"/>
        <v>25.131718159591021</v>
      </c>
      <c r="O55" s="12"/>
      <c r="P55" s="8">
        <v>13958.63</v>
      </c>
      <c r="Q55" s="3"/>
      <c r="R55" s="7">
        <f t="shared" si="8"/>
        <v>4.5314382011696991E-2</v>
      </c>
      <c r="S55" s="3"/>
      <c r="T55" s="8">
        <v>1588.18</v>
      </c>
      <c r="U55" s="3"/>
      <c r="V55" s="7">
        <f t="shared" si="9"/>
        <v>0.56298076582229117</v>
      </c>
      <c r="W55" s="3"/>
      <c r="X55" s="8">
        <f t="shared" si="10"/>
        <v>12370.449999999999</v>
      </c>
      <c r="Y55" s="3"/>
      <c r="Z55" s="7">
        <f t="shared" si="11"/>
        <v>7.7890730269868644</v>
      </c>
    </row>
    <row r="56" spans="1:26" s="68" customFormat="1" ht="15" customHeight="1" outlineLevel="1" collapsed="1" x14ac:dyDescent="0.3">
      <c r="A56" s="26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6324.75</v>
      </c>
      <c r="E56" s="2"/>
      <c r="F56" s="6">
        <f t="shared" si="4"/>
        <v>4.7578547387962383E-2</v>
      </c>
      <c r="G56" s="2"/>
      <c r="H56" s="2">
        <f>SUM(OSRRefH22_5x_0)</f>
        <v>9152.09</v>
      </c>
      <c r="I56" s="2"/>
      <c r="J56" s="6">
        <f t="shared" si="5"/>
        <v>91.020288413724515</v>
      </c>
      <c r="K56" s="2"/>
      <c r="L56" s="2">
        <f t="shared" si="6"/>
        <v>-2827.34</v>
      </c>
      <c r="M56" s="2"/>
      <c r="N56" s="6">
        <f t="shared" si="7"/>
        <v>-0.30892834314347872</v>
      </c>
      <c r="O56" s="14"/>
      <c r="P56" s="2">
        <f>SUM(OSRRefP22_5x_0)</f>
        <v>59355.11</v>
      </c>
      <c r="Q56" s="2"/>
      <c r="R56" s="6">
        <f t="shared" si="8"/>
        <v>0.19268654079134531</v>
      </c>
      <c r="S56" s="2"/>
      <c r="T56" s="2">
        <f>SUM(OSRRefT22_5x_0)</f>
        <v>82550.09</v>
      </c>
      <c r="U56" s="2"/>
      <c r="V56" s="6">
        <f t="shared" si="9"/>
        <v>29.262497252766725</v>
      </c>
      <c r="W56" s="2"/>
      <c r="X56" s="2">
        <f t="shared" si="10"/>
        <v>-23194.979999999996</v>
      </c>
      <c r="Y56" s="2"/>
      <c r="Z56" s="6">
        <f t="shared" si="11"/>
        <v>-0.28098067488478812</v>
      </c>
    </row>
    <row r="57" spans="1:26" s="69" customFormat="1" ht="15" hidden="1" customHeight="1" outlineLevel="2" x14ac:dyDescent="0.3">
      <c r="A57" s="25"/>
      <c r="B57" s="12" t="str">
        <f>CONCATENATE("          ","6321"," - ","BUILDING DEPRECIATION")</f>
        <v xml:space="preserve">          6321 - BUILDING DEPRECIATION</v>
      </c>
      <c r="C57" s="12"/>
      <c r="D57" s="8">
        <v>5080.51</v>
      </c>
      <c r="E57" s="3"/>
      <c r="F57" s="7">
        <f t="shared" si="4"/>
        <v>3.8218630900828776E-2</v>
      </c>
      <c r="G57" s="3"/>
      <c r="H57" s="8">
        <v>5080.51</v>
      </c>
      <c r="I57" s="3"/>
      <c r="J57" s="7">
        <f t="shared" si="5"/>
        <v>50.527200397812038</v>
      </c>
      <c r="K57" s="3"/>
      <c r="L57" s="8">
        <f t="shared" si="6"/>
        <v>0</v>
      </c>
      <c r="M57" s="3"/>
      <c r="N57" s="7">
        <f t="shared" si="7"/>
        <v>0</v>
      </c>
      <c r="O57" s="12"/>
      <c r="P57" s="8">
        <v>45724.59</v>
      </c>
      <c r="Q57" s="3"/>
      <c r="R57" s="7">
        <f t="shared" si="8"/>
        <v>0.14843731358938664</v>
      </c>
      <c r="S57" s="3"/>
      <c r="T57" s="8">
        <v>45724.59</v>
      </c>
      <c r="U57" s="3"/>
      <c r="V57" s="7">
        <f t="shared" si="9"/>
        <v>16.20853095688793</v>
      </c>
      <c r="W57" s="3"/>
      <c r="X57" s="8">
        <f t="shared" si="10"/>
        <v>0</v>
      </c>
      <c r="Y57" s="3"/>
      <c r="Z57" s="7">
        <f t="shared" si="11"/>
        <v>0</v>
      </c>
    </row>
    <row r="58" spans="1:26" s="69" customFormat="1" ht="15" hidden="1" customHeight="1" outlineLevel="2" x14ac:dyDescent="0.3">
      <c r="A58" s="25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1244.24</v>
      </c>
      <c r="E58" s="3"/>
      <c r="F58" s="7">
        <f t="shared" si="4"/>
        <v>9.3599164871336123E-3</v>
      </c>
      <c r="G58" s="3"/>
      <c r="H58" s="8">
        <v>4071.58</v>
      </c>
      <c r="I58" s="3"/>
      <c r="J58" s="7">
        <f t="shared" si="5"/>
        <v>40.493088015912484</v>
      </c>
      <c r="K58" s="3"/>
      <c r="L58" s="8">
        <f t="shared" si="6"/>
        <v>-2827.34</v>
      </c>
      <c r="M58" s="3"/>
      <c r="N58" s="7">
        <f t="shared" si="7"/>
        <v>-0.69440855883956598</v>
      </c>
      <c r="O58" s="12"/>
      <c r="P58" s="8">
        <v>13630.52</v>
      </c>
      <c r="Q58" s="3"/>
      <c r="R58" s="7">
        <f t="shared" si="8"/>
        <v>4.4249227201958653E-2</v>
      </c>
      <c r="S58" s="3"/>
      <c r="T58" s="8">
        <v>36825.5</v>
      </c>
      <c r="U58" s="3"/>
      <c r="V58" s="7">
        <f t="shared" si="9"/>
        <v>13.053966295878794</v>
      </c>
      <c r="W58" s="3"/>
      <c r="X58" s="8">
        <f t="shared" si="10"/>
        <v>-23194.98</v>
      </c>
      <c r="Y58" s="3"/>
      <c r="Z58" s="7">
        <f t="shared" si="11"/>
        <v>-0.62986191633514821</v>
      </c>
    </row>
    <row r="59" spans="1:26" s="68" customFormat="1" ht="15" customHeight="1" outlineLevel="1" collapsed="1" x14ac:dyDescent="0.3">
      <c r="A59" s="26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SUM(OSRRefD22_6x_0)</f>
        <v>0</v>
      </c>
      <c r="E59" s="2"/>
      <c r="F59" s="6">
        <f t="shared" si="4"/>
        <v>0</v>
      </c>
      <c r="G59" s="2"/>
      <c r="H59" s="2">
        <f>SUM(OSRRefH22_6x_0)</f>
        <v>0</v>
      </c>
      <c r="I59" s="2"/>
      <c r="J59" s="6">
        <f t="shared" si="5"/>
        <v>0</v>
      </c>
      <c r="K59" s="2"/>
      <c r="L59" s="2">
        <f t="shared" si="6"/>
        <v>0</v>
      </c>
      <c r="M59" s="2"/>
      <c r="N59" s="6">
        <f t="shared" si="7"/>
        <v>0</v>
      </c>
      <c r="O59" s="14"/>
      <c r="P59" s="2">
        <f>SUM(OSRRefP22_6x_0)</f>
        <v>30</v>
      </c>
      <c r="Q59" s="2"/>
      <c r="R59" s="6">
        <f t="shared" si="8"/>
        <v>9.7390034720521272E-5</v>
      </c>
      <c r="S59" s="2"/>
      <c r="T59" s="2">
        <f>SUM(OSRRefT22_6x_0)</f>
        <v>440.95</v>
      </c>
      <c r="U59" s="2"/>
      <c r="V59" s="6">
        <f t="shared" si="9"/>
        <v>0.15630871103359775</v>
      </c>
      <c r="W59" s="2"/>
      <c r="X59" s="2">
        <f t="shared" si="10"/>
        <v>-410.95</v>
      </c>
      <c r="Y59" s="2"/>
      <c r="Z59" s="6">
        <f t="shared" si="11"/>
        <v>-0.93196507540537477</v>
      </c>
    </row>
    <row r="60" spans="1:26" s="69" customFormat="1" ht="15" hidden="1" customHeight="1" outlineLevel="2" x14ac:dyDescent="0.3">
      <c r="A60" s="25"/>
      <c r="B60" s="12" t="str">
        <f>CONCATENATE("          ","6351"," - ","EQUIPMENT RENTAL")</f>
        <v xml:space="preserve">          6351 - EQUIPMENT RENTAL</v>
      </c>
      <c r="C60" s="12"/>
      <c r="D60" s="8"/>
      <c r="E60" s="3"/>
      <c r="F60" s="7">
        <f t="shared" si="4"/>
        <v>0</v>
      </c>
      <c r="G60" s="3"/>
      <c r="H60" s="8"/>
      <c r="I60" s="3"/>
      <c r="J60" s="7">
        <f t="shared" si="5"/>
        <v>0</v>
      </c>
      <c r="K60" s="3"/>
      <c r="L60" s="8">
        <f t="shared" si="6"/>
        <v>0</v>
      </c>
      <c r="M60" s="3"/>
      <c r="N60" s="7">
        <f t="shared" si="7"/>
        <v>0</v>
      </c>
      <c r="O60" s="12"/>
      <c r="P60" s="8">
        <v>30</v>
      </c>
      <c r="Q60" s="3"/>
      <c r="R60" s="7">
        <f t="shared" si="8"/>
        <v>9.7390034720521272E-5</v>
      </c>
      <c r="S60" s="3"/>
      <c r="T60" s="8">
        <v>440.95</v>
      </c>
      <c r="U60" s="3"/>
      <c r="V60" s="7">
        <f t="shared" si="9"/>
        <v>0.15630871103359775</v>
      </c>
      <c r="W60" s="3"/>
      <c r="X60" s="8">
        <f t="shared" si="10"/>
        <v>-410.95</v>
      </c>
      <c r="Y60" s="3"/>
      <c r="Z60" s="7">
        <f t="shared" si="11"/>
        <v>-0.93196507540537477</v>
      </c>
    </row>
    <row r="61" spans="1:26" s="68" customFormat="1" ht="15" customHeight="1" outlineLevel="1" collapsed="1" x14ac:dyDescent="0.3">
      <c r="A61" s="26"/>
      <c r="B61" s="14" t="str">
        <f>CONCATENATE("     ","Freight out/Postage                               ")</f>
        <v xml:space="preserve">     Freight out/Postage                               </v>
      </c>
      <c r="C61" s="14"/>
      <c r="D61" s="2">
        <f>SUM(OSRRefD22_7x_0)</f>
        <v>0</v>
      </c>
      <c r="E61" s="2"/>
      <c r="F61" s="6">
        <f t="shared" si="4"/>
        <v>0</v>
      </c>
      <c r="G61" s="2"/>
      <c r="H61" s="2">
        <f>SUM(OSRRefH22_7x_0)</f>
        <v>41.93</v>
      </c>
      <c r="I61" s="2"/>
      <c r="J61" s="6">
        <f t="shared" si="5"/>
        <v>0.41700646444554951</v>
      </c>
      <c r="K61" s="2"/>
      <c r="L61" s="2">
        <f t="shared" si="6"/>
        <v>-41.93</v>
      </c>
      <c r="M61" s="2"/>
      <c r="N61" s="6">
        <f t="shared" si="7"/>
        <v>-1</v>
      </c>
      <c r="O61" s="14"/>
      <c r="P61" s="2">
        <f>SUM(OSRRefP22_7x_0)</f>
        <v>0</v>
      </c>
      <c r="Q61" s="2"/>
      <c r="R61" s="6">
        <f t="shared" si="8"/>
        <v>0</v>
      </c>
      <c r="S61" s="2"/>
      <c r="T61" s="2">
        <f>SUM(OSRRefT22_7x_0)</f>
        <v>249.82</v>
      </c>
      <c r="U61" s="2"/>
      <c r="V61" s="6">
        <f t="shared" si="9"/>
        <v>8.8556621363903826E-2</v>
      </c>
      <c r="W61" s="2"/>
      <c r="X61" s="2">
        <f t="shared" si="10"/>
        <v>-249.82</v>
      </c>
      <c r="Y61" s="2"/>
      <c r="Z61" s="6">
        <f t="shared" si="11"/>
        <v>-1</v>
      </c>
    </row>
    <row r="62" spans="1:26" s="69" customFormat="1" ht="15" hidden="1" customHeight="1" outlineLevel="2" x14ac:dyDescent="0.3">
      <c r="A62" s="25"/>
      <c r="B62" s="12" t="str">
        <f>CONCATENATE("          ","6305"," - ","FREIGHT OUT")</f>
        <v xml:space="preserve">          6305 - FREIGHT OUT</v>
      </c>
      <c r="C62" s="12"/>
      <c r="D62" s="8"/>
      <c r="E62" s="3"/>
      <c r="F62" s="7">
        <f t="shared" si="4"/>
        <v>0</v>
      </c>
      <c r="G62" s="3"/>
      <c r="H62" s="8">
        <v>41.93</v>
      </c>
      <c r="I62" s="3"/>
      <c r="J62" s="7">
        <f t="shared" si="5"/>
        <v>0.41700646444554951</v>
      </c>
      <c r="K62" s="3"/>
      <c r="L62" s="8">
        <f t="shared" si="6"/>
        <v>-41.93</v>
      </c>
      <c r="M62" s="3"/>
      <c r="N62" s="7">
        <f t="shared" si="7"/>
        <v>-1</v>
      </c>
      <c r="O62" s="12"/>
      <c r="P62" s="8"/>
      <c r="Q62" s="3"/>
      <c r="R62" s="7">
        <f t="shared" si="8"/>
        <v>0</v>
      </c>
      <c r="S62" s="3"/>
      <c r="T62" s="8">
        <v>249.82</v>
      </c>
      <c r="U62" s="3"/>
      <c r="V62" s="7">
        <f t="shared" si="9"/>
        <v>8.8556621363903826E-2</v>
      </c>
      <c r="W62" s="3"/>
      <c r="X62" s="8">
        <f t="shared" si="10"/>
        <v>-249.82</v>
      </c>
      <c r="Y62" s="3"/>
      <c r="Z62" s="7">
        <f t="shared" si="11"/>
        <v>-1</v>
      </c>
    </row>
    <row r="63" spans="1:26" s="68" customFormat="1" ht="15" customHeight="1" outlineLevel="1" collapsed="1" x14ac:dyDescent="0.3">
      <c r="A63" s="26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0</v>
      </c>
      <c r="E63" s="2"/>
      <c r="F63" s="6">
        <f t="shared" si="4"/>
        <v>0</v>
      </c>
      <c r="G63" s="2"/>
      <c r="H63" s="2">
        <f>SUM(OSRRefH22_8x_0)</f>
        <v>646.37</v>
      </c>
      <c r="I63" s="2"/>
      <c r="J63" s="6">
        <f t="shared" si="5"/>
        <v>6.4283441074092496</v>
      </c>
      <c r="K63" s="2"/>
      <c r="L63" s="2">
        <f t="shared" si="6"/>
        <v>-646.37</v>
      </c>
      <c r="M63" s="2"/>
      <c r="N63" s="6">
        <f t="shared" si="7"/>
        <v>-1</v>
      </c>
      <c r="O63" s="14"/>
      <c r="P63" s="2">
        <f>SUM(OSRRefP22_8x_0)</f>
        <v>3761.91</v>
      </c>
      <c r="Q63" s="2"/>
      <c r="R63" s="6">
        <f t="shared" si="8"/>
        <v>1.2212418183849204E-2</v>
      </c>
      <c r="S63" s="2"/>
      <c r="T63" s="2">
        <f>SUM(OSRRefT22_8x_0)</f>
        <v>3434.86</v>
      </c>
      <c r="U63" s="2"/>
      <c r="V63" s="6">
        <f t="shared" si="9"/>
        <v>1.21759505427115</v>
      </c>
      <c r="W63" s="2"/>
      <c r="X63" s="2">
        <f t="shared" si="10"/>
        <v>327.04999999999973</v>
      </c>
      <c r="Y63" s="2"/>
      <c r="Z63" s="6">
        <f t="shared" si="11"/>
        <v>9.5214943258240425E-2</v>
      </c>
    </row>
    <row r="64" spans="1:26" s="69" customFormat="1" ht="15" hidden="1" customHeight="1" outlineLevel="2" x14ac:dyDescent="0.3">
      <c r="A64" s="25"/>
      <c r="B64" s="12" t="str">
        <f>CONCATENATE("          ","6279"," - ","GENERAL EXPENSE")</f>
        <v xml:space="preserve">          6279 - GENERAL EXPENSE</v>
      </c>
      <c r="C64" s="12"/>
      <c r="D64" s="8"/>
      <c r="E64" s="3"/>
      <c r="F64" s="7">
        <f t="shared" ref="F64:F91" si="12">IF(D$12=0,0,D64/D$12)</f>
        <v>0</v>
      </c>
      <c r="G64" s="3"/>
      <c r="H64" s="8">
        <v>646.37</v>
      </c>
      <c r="I64" s="3"/>
      <c r="J64" s="7">
        <f t="shared" ref="J64:J91" si="13">IF(H$12=0,0,H64/H$12)</f>
        <v>6.4283441074092496</v>
      </c>
      <c r="K64" s="3"/>
      <c r="L64" s="8">
        <f t="shared" ref="L64:L91" si="14">+D64-H64</f>
        <v>-646.37</v>
      </c>
      <c r="M64" s="3"/>
      <c r="N64" s="7">
        <f t="shared" ref="N64:N91" si="15">IF(H64=0,0,L64/H64)</f>
        <v>-1</v>
      </c>
      <c r="O64" s="12"/>
      <c r="P64" s="8">
        <v>3761.91</v>
      </c>
      <c r="Q64" s="3"/>
      <c r="R64" s="7">
        <f t="shared" ref="R64:R91" si="16">IF(P$12=0,0,P64/P$12)</f>
        <v>1.2212418183849204E-2</v>
      </c>
      <c r="S64" s="3"/>
      <c r="T64" s="8">
        <v>3434.86</v>
      </c>
      <c r="U64" s="3"/>
      <c r="V64" s="7">
        <f t="shared" ref="V64:V91" si="17">IF(T$12=0,0,T64/T$12)</f>
        <v>1.21759505427115</v>
      </c>
      <c r="W64" s="3"/>
      <c r="X64" s="8">
        <f t="shared" ref="X64:X91" si="18">+P64-T64</f>
        <v>327.04999999999973</v>
      </c>
      <c r="Y64" s="3"/>
      <c r="Z64" s="7">
        <f t="shared" ref="Z64:Z91" si="19">IF(T64=0,0,X64/T64)</f>
        <v>9.5214943258240425E-2</v>
      </c>
    </row>
    <row r="65" spans="1:26" s="68" customFormat="1" ht="15" customHeight="1" outlineLevel="1" collapsed="1" x14ac:dyDescent="0.3">
      <c r="A65" s="26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2.4900549382804739E-3</v>
      </c>
      <c r="G65" s="2"/>
      <c r="H65" s="2">
        <f>SUM(OSRRefH22_9x_0)</f>
        <v>243.54</v>
      </c>
      <c r="I65" s="2"/>
      <c r="J65" s="6">
        <f t="shared" si="13"/>
        <v>2.4220785678766781</v>
      </c>
      <c r="K65" s="2"/>
      <c r="L65" s="2">
        <f t="shared" si="14"/>
        <v>87.47</v>
      </c>
      <c r="M65" s="2"/>
      <c r="N65" s="6">
        <f t="shared" si="15"/>
        <v>0.35916071281924944</v>
      </c>
      <c r="O65" s="14"/>
      <c r="P65" s="2">
        <f>SUM(OSRRefP22_9x_0)</f>
        <v>2979.09</v>
      </c>
      <c r="Q65" s="2"/>
      <c r="R65" s="6">
        <f t="shared" si="16"/>
        <v>9.6711226178519231E-3</v>
      </c>
      <c r="S65" s="2"/>
      <c r="T65" s="2">
        <f>SUM(OSRRefT22_9x_0)</f>
        <v>2191.86</v>
      </c>
      <c r="U65" s="2"/>
      <c r="V65" s="6">
        <f t="shared" si="17"/>
        <v>0.77697428589659057</v>
      </c>
      <c r="W65" s="2"/>
      <c r="X65" s="2">
        <f t="shared" si="18"/>
        <v>787.23</v>
      </c>
      <c r="Y65" s="2"/>
      <c r="Z65" s="6">
        <f t="shared" si="19"/>
        <v>0.35916071281924938</v>
      </c>
    </row>
    <row r="66" spans="1:26" s="69" customFormat="1" ht="15" hidden="1" customHeight="1" outlineLevel="2" x14ac:dyDescent="0.3">
      <c r="A66" s="25"/>
      <c r="B66" s="12" t="str">
        <f>CONCATENATE("          ","6314"," - ","LIABILITY INSURANCE")</f>
        <v xml:space="preserve">          6314 - LIABILITY INSURANCE</v>
      </c>
      <c r="C66" s="12"/>
      <c r="D66" s="8">
        <v>331.01</v>
      </c>
      <c r="E66" s="3"/>
      <c r="F66" s="7">
        <f t="shared" si="12"/>
        <v>2.4900549382804739E-3</v>
      </c>
      <c r="G66" s="3"/>
      <c r="H66" s="8">
        <v>243.54</v>
      </c>
      <c r="I66" s="3"/>
      <c r="J66" s="7">
        <f t="shared" si="13"/>
        <v>2.4220785678766781</v>
      </c>
      <c r="K66" s="3"/>
      <c r="L66" s="8">
        <f t="shared" si="14"/>
        <v>87.47</v>
      </c>
      <c r="M66" s="3"/>
      <c r="N66" s="7">
        <f t="shared" si="15"/>
        <v>0.35916071281924944</v>
      </c>
      <c r="O66" s="12"/>
      <c r="P66" s="8">
        <v>2979.09</v>
      </c>
      <c r="Q66" s="3"/>
      <c r="R66" s="7">
        <f t="shared" si="16"/>
        <v>9.6711226178519231E-3</v>
      </c>
      <c r="S66" s="3"/>
      <c r="T66" s="8">
        <v>2191.86</v>
      </c>
      <c r="U66" s="3"/>
      <c r="V66" s="7">
        <f t="shared" si="17"/>
        <v>0.77697428589659057</v>
      </c>
      <c r="W66" s="3"/>
      <c r="X66" s="8">
        <f t="shared" si="18"/>
        <v>787.23</v>
      </c>
      <c r="Y66" s="3"/>
      <c r="Z66" s="7">
        <f t="shared" si="19"/>
        <v>0.35916071281924938</v>
      </c>
    </row>
    <row r="67" spans="1:26" s="68" customFormat="1" ht="15" customHeight="1" outlineLevel="1" collapsed="1" x14ac:dyDescent="0.3">
      <c r="A67" s="26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3905</v>
      </c>
      <c r="E67" s="2"/>
      <c r="F67" s="6">
        <f t="shared" si="12"/>
        <v>2.9375742527371535E-2</v>
      </c>
      <c r="G67" s="2"/>
      <c r="H67" s="2">
        <f>SUM(OSRRefH22_10x_0)</f>
        <v>4044</v>
      </c>
      <c r="I67" s="2"/>
      <c r="J67" s="6">
        <f t="shared" si="13"/>
        <v>40.218796618597715</v>
      </c>
      <c r="K67" s="2"/>
      <c r="L67" s="2">
        <f t="shared" si="14"/>
        <v>-139</v>
      </c>
      <c r="M67" s="2"/>
      <c r="N67" s="6">
        <f t="shared" si="15"/>
        <v>-3.4371909000989118E-2</v>
      </c>
      <c r="O67" s="14"/>
      <c r="P67" s="2">
        <f>SUM(OSRRefP22_10x_0)</f>
        <v>34869</v>
      </c>
      <c r="Q67" s="2"/>
      <c r="R67" s="6">
        <f t="shared" si="16"/>
        <v>0.11319643735566187</v>
      </c>
      <c r="S67" s="2"/>
      <c r="T67" s="2">
        <f>SUM(OSRRefT22_10x_0)</f>
        <v>36133.85</v>
      </c>
      <c r="U67" s="2"/>
      <c r="V67" s="6">
        <f t="shared" si="17"/>
        <v>12.808789019574478</v>
      </c>
      <c r="W67" s="2"/>
      <c r="X67" s="2">
        <f t="shared" si="18"/>
        <v>-1264.8499999999985</v>
      </c>
      <c r="Y67" s="2"/>
      <c r="Z67" s="6">
        <f t="shared" si="19"/>
        <v>-3.5004573274090602E-2</v>
      </c>
    </row>
    <row r="68" spans="1:26" s="69" customFormat="1" ht="15" hidden="1" customHeight="1" outlineLevel="2" x14ac:dyDescent="0.3">
      <c r="A68" s="25"/>
      <c r="B68" s="12" t="str">
        <f>CONCATENATE("          ","6401"," - ","INTEREST EXPENSE")</f>
        <v xml:space="preserve">          6401 - INTEREST EXPENSE</v>
      </c>
      <c r="C68" s="12"/>
      <c r="D68" s="8">
        <v>3905</v>
      </c>
      <c r="E68" s="3"/>
      <c r="F68" s="7">
        <f t="shared" si="12"/>
        <v>2.9375742527371535E-2</v>
      </c>
      <c r="G68" s="3"/>
      <c r="H68" s="8">
        <v>4044</v>
      </c>
      <c r="I68" s="3"/>
      <c r="J68" s="7">
        <f t="shared" si="13"/>
        <v>40.218796618597715</v>
      </c>
      <c r="K68" s="3"/>
      <c r="L68" s="8">
        <f t="shared" si="14"/>
        <v>-139</v>
      </c>
      <c r="M68" s="3"/>
      <c r="N68" s="7">
        <f t="shared" si="15"/>
        <v>-3.4371909000989118E-2</v>
      </c>
      <c r="O68" s="12"/>
      <c r="P68" s="8">
        <v>34869</v>
      </c>
      <c r="Q68" s="3"/>
      <c r="R68" s="7">
        <f t="shared" si="16"/>
        <v>0.11319643735566187</v>
      </c>
      <c r="S68" s="3"/>
      <c r="T68" s="8">
        <v>36133.85</v>
      </c>
      <c r="U68" s="3"/>
      <c r="V68" s="7">
        <f t="shared" si="17"/>
        <v>12.808789019574478</v>
      </c>
      <c r="W68" s="3"/>
      <c r="X68" s="8">
        <f t="shared" si="18"/>
        <v>-1264.8499999999985</v>
      </c>
      <c r="Y68" s="3"/>
      <c r="Z68" s="7">
        <f t="shared" si="19"/>
        <v>-3.5004573274090602E-2</v>
      </c>
    </row>
    <row r="69" spans="1:26" s="68" customFormat="1" ht="15" customHeight="1" outlineLevel="1" collapsed="1" x14ac:dyDescent="0.3">
      <c r="A69" s="26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607.80999999999995</v>
      </c>
      <c r="E69" s="2"/>
      <c r="F69" s="6">
        <f t="shared" si="12"/>
        <v>4.5723098759440951E-3</v>
      </c>
      <c r="G69" s="2"/>
      <c r="H69" s="2">
        <f>SUM(OSRRefH22_11x_0)</f>
        <v>426.45</v>
      </c>
      <c r="I69" s="2"/>
      <c r="J69" s="6">
        <f t="shared" si="13"/>
        <v>4.241173545499751</v>
      </c>
      <c r="K69" s="2"/>
      <c r="L69" s="2">
        <f t="shared" si="14"/>
        <v>181.35999999999996</v>
      </c>
      <c r="M69" s="2"/>
      <c r="N69" s="6">
        <f t="shared" si="15"/>
        <v>0.42527846171884148</v>
      </c>
      <c r="O69" s="14"/>
      <c r="P69" s="2">
        <f>SUM(OSRRefP22_11x_0)</f>
        <v>6650.5199999999995</v>
      </c>
      <c r="Q69" s="2"/>
      <c r="R69" s="6">
        <f t="shared" si="16"/>
        <v>2.1589812456984034E-2</v>
      </c>
      <c r="S69" s="2"/>
      <c r="T69" s="2">
        <f>SUM(OSRRefT22_11x_0)</f>
        <v>2826.3</v>
      </c>
      <c r="U69" s="2"/>
      <c r="V69" s="6">
        <f t="shared" si="17"/>
        <v>1.0018716634408831</v>
      </c>
      <c r="W69" s="2"/>
      <c r="X69" s="2">
        <f t="shared" si="18"/>
        <v>3824.2199999999993</v>
      </c>
      <c r="Y69" s="2"/>
      <c r="Z69" s="6">
        <f t="shared" si="19"/>
        <v>1.3530835367795349</v>
      </c>
    </row>
    <row r="70" spans="1:26" s="69" customFormat="1" ht="15" hidden="1" customHeight="1" outlineLevel="2" x14ac:dyDescent="0.3">
      <c r="A70" s="25"/>
      <c r="B70" s="12" t="str">
        <f>CONCATENATE("          ","6373"," - ","MAINTENANCE CONTRACTS")</f>
        <v xml:space="preserve">          6373 - MAINTENANCE CONTRACTS</v>
      </c>
      <c r="C70" s="12"/>
      <c r="D70" s="8">
        <v>212.2</v>
      </c>
      <c r="E70" s="3"/>
      <c r="F70" s="7">
        <f t="shared" si="12"/>
        <v>1.5962951509112008E-3</v>
      </c>
      <c r="G70" s="3"/>
      <c r="H70" s="8">
        <v>301.45</v>
      </c>
      <c r="I70" s="3"/>
      <c r="J70" s="7">
        <f t="shared" si="13"/>
        <v>2.9980109398309298</v>
      </c>
      <c r="K70" s="3"/>
      <c r="L70" s="8">
        <f t="shared" si="14"/>
        <v>-89.25</v>
      </c>
      <c r="M70" s="3"/>
      <c r="N70" s="7">
        <f t="shared" si="15"/>
        <v>-0.29606899983413504</v>
      </c>
      <c r="O70" s="12"/>
      <c r="P70" s="8">
        <v>1029.2</v>
      </c>
      <c r="Q70" s="3"/>
      <c r="R70" s="7">
        <f t="shared" si="16"/>
        <v>3.3411274578120163E-3</v>
      </c>
      <c r="S70" s="3"/>
      <c r="T70" s="8">
        <v>1258.05</v>
      </c>
      <c r="U70" s="3"/>
      <c r="V70" s="7">
        <f t="shared" si="17"/>
        <v>0.44595571814450086</v>
      </c>
      <c r="W70" s="3"/>
      <c r="X70" s="8">
        <f t="shared" si="18"/>
        <v>-228.84999999999991</v>
      </c>
      <c r="Y70" s="3"/>
      <c r="Z70" s="7">
        <f t="shared" si="19"/>
        <v>-0.18190850920074711</v>
      </c>
    </row>
    <row r="71" spans="1:26" s="69" customFormat="1" ht="15" hidden="1" customHeight="1" outlineLevel="2" x14ac:dyDescent="0.3">
      <c r="A71" s="25"/>
      <c r="B71" s="12" t="str">
        <f>CONCATENATE("          ","6375"," - ","OUTSIDE REPAIRS &amp; MAINTENANCE")</f>
        <v xml:space="preserve">          6375 - OUTSIDE REPAIRS &amp; MAINTENANCE</v>
      </c>
      <c r="C71" s="12"/>
      <c r="D71" s="8">
        <v>395.61</v>
      </c>
      <c r="E71" s="3"/>
      <c r="F71" s="7">
        <f t="shared" si="12"/>
        <v>2.9760147250328947E-3</v>
      </c>
      <c r="G71" s="3"/>
      <c r="H71" s="8">
        <v>125</v>
      </c>
      <c r="I71" s="3"/>
      <c r="J71" s="7">
        <f t="shared" si="13"/>
        <v>1.2431626056688214</v>
      </c>
      <c r="K71" s="3"/>
      <c r="L71" s="8">
        <f t="shared" si="14"/>
        <v>270.61</v>
      </c>
      <c r="M71" s="3"/>
      <c r="N71" s="7">
        <f t="shared" si="15"/>
        <v>2.1648800000000001</v>
      </c>
      <c r="O71" s="12"/>
      <c r="P71" s="8">
        <v>5621.32</v>
      </c>
      <c r="Q71" s="3"/>
      <c r="R71" s="7">
        <f t="shared" si="16"/>
        <v>1.8248684999172021E-2</v>
      </c>
      <c r="S71" s="3"/>
      <c r="T71" s="8">
        <v>1568.25</v>
      </c>
      <c r="U71" s="3"/>
      <c r="V71" s="7">
        <f t="shared" si="17"/>
        <v>0.55591594529638211</v>
      </c>
      <c r="W71" s="3"/>
      <c r="X71" s="8">
        <f t="shared" si="18"/>
        <v>4053.0699999999997</v>
      </c>
      <c r="Y71" s="3"/>
      <c r="Z71" s="7">
        <f t="shared" si="19"/>
        <v>2.5844540092459747</v>
      </c>
    </row>
    <row r="72" spans="1:26" s="68" customFormat="1" ht="15" customHeight="1" outlineLevel="1" collapsed="1" x14ac:dyDescent="0.3">
      <c r="A72" s="26"/>
      <c r="B72" s="14" t="str">
        <f>CONCATENATE("     ","Royalty &amp; Commissions                             ")</f>
        <v xml:space="preserve">     Royalty &amp; Commissions                             </v>
      </c>
      <c r="C72" s="14"/>
      <c r="D72" s="2">
        <f>SUM(OSRRefD22_12x_0)</f>
        <v>0</v>
      </c>
      <c r="E72" s="2"/>
      <c r="F72" s="6">
        <f t="shared" si="12"/>
        <v>0</v>
      </c>
      <c r="G72" s="2"/>
      <c r="H72" s="2">
        <f>SUM(OSRRefH22_12x_0)</f>
        <v>0</v>
      </c>
      <c r="I72" s="2"/>
      <c r="J72" s="6">
        <f t="shared" si="13"/>
        <v>0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SUM(OSRRefP22_12x_0)</f>
        <v>0</v>
      </c>
      <c r="Q72" s="2"/>
      <c r="R72" s="6">
        <f t="shared" si="16"/>
        <v>0</v>
      </c>
      <c r="S72" s="2"/>
      <c r="T72" s="2">
        <f>SUM(OSRRefT22_12x_0)</f>
        <v>185.7</v>
      </c>
      <c r="U72" s="2"/>
      <c r="V72" s="6">
        <f t="shared" si="17"/>
        <v>6.5827253971967578E-2</v>
      </c>
      <c r="W72" s="2"/>
      <c r="X72" s="2">
        <f t="shared" si="18"/>
        <v>-185.7</v>
      </c>
      <c r="Y72" s="2"/>
      <c r="Z72" s="6">
        <f t="shared" si="19"/>
        <v>-1</v>
      </c>
    </row>
    <row r="73" spans="1:26" s="69" customFormat="1" ht="15" hidden="1" customHeight="1" outlineLevel="2" x14ac:dyDescent="0.3">
      <c r="A73" s="25"/>
      <c r="B73" s="12" t="str">
        <f>CONCATENATE("          ","6254"," - ","ROYALTY &amp; COMMISSIONS")</f>
        <v xml:space="preserve">          6254 - ROYALTY &amp; COMMISSIONS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185.7</v>
      </c>
      <c r="U73" s="3"/>
      <c r="V73" s="7">
        <f t="shared" si="17"/>
        <v>6.5827253971967578E-2</v>
      </c>
      <c r="W73" s="3"/>
      <c r="X73" s="8">
        <f t="shared" si="18"/>
        <v>-185.7</v>
      </c>
      <c r="Y73" s="3"/>
      <c r="Z73" s="7">
        <f t="shared" si="19"/>
        <v>-1</v>
      </c>
    </row>
    <row r="74" spans="1:26" s="68" customFormat="1" ht="15" customHeight="1" outlineLevel="1" collapsed="1" x14ac:dyDescent="0.3">
      <c r="A74" s="26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SUM(OSRRefD22_13x_0)</f>
        <v>830.62</v>
      </c>
      <c r="E74" s="2"/>
      <c r="F74" s="6">
        <f t="shared" si="12"/>
        <v>6.2484197844008566E-3</v>
      </c>
      <c r="G74" s="2"/>
      <c r="H74" s="2">
        <f>SUM(OSRRefH22_13x_0)</f>
        <v>160.20999999999998</v>
      </c>
      <c r="I74" s="2"/>
      <c r="J74" s="6">
        <f t="shared" si="13"/>
        <v>1.5933366484336149</v>
      </c>
      <c r="K74" s="2"/>
      <c r="L74" s="2">
        <f t="shared" si="14"/>
        <v>670.41000000000008</v>
      </c>
      <c r="M74" s="2"/>
      <c r="N74" s="6">
        <f t="shared" si="15"/>
        <v>4.1845702515448489</v>
      </c>
      <c r="O74" s="14"/>
      <c r="P74" s="2">
        <f>SUM(OSRRefP22_13x_0)</f>
        <v>11503.02</v>
      </c>
      <c r="Q74" s="2"/>
      <c r="R74" s="6">
        <f t="shared" si="16"/>
        <v>3.7342650573028352E-2</v>
      </c>
      <c r="S74" s="2"/>
      <c r="T74" s="2">
        <f>SUM(OSRRefT22_13x_0)</f>
        <v>2005.3600000000001</v>
      </c>
      <c r="U74" s="2"/>
      <c r="V74" s="6">
        <f t="shared" si="17"/>
        <v>0.71086344655479217</v>
      </c>
      <c r="W74" s="2"/>
      <c r="X74" s="2">
        <f t="shared" si="18"/>
        <v>9497.66</v>
      </c>
      <c r="Y74" s="2"/>
      <c r="Z74" s="6">
        <f t="shared" si="19"/>
        <v>4.7361371524314828</v>
      </c>
    </row>
    <row r="75" spans="1:26" s="69" customFormat="1" ht="15" hidden="1" customHeight="1" outlineLevel="2" x14ac:dyDescent="0.3">
      <c r="A75" s="25"/>
      <c r="B75" s="12" t="str">
        <f>CONCATENATE("          ","6282"," - ","JANITORIAL/EXTERMINATOR EXPENS")</f>
        <v xml:space="preserve">          6282 - JANITORIAL/EXTERMINATOR EXPENS</v>
      </c>
      <c r="C75" s="12"/>
      <c r="D75" s="8">
        <v>578.25</v>
      </c>
      <c r="E75" s="3"/>
      <c r="F75" s="7">
        <f t="shared" si="12"/>
        <v>4.3499418992196132E-3</v>
      </c>
      <c r="G75" s="3"/>
      <c r="H75" s="8">
        <v>441.21</v>
      </c>
      <c r="I75" s="3"/>
      <c r="J75" s="7">
        <f t="shared" si="13"/>
        <v>4.3879661859771257</v>
      </c>
      <c r="K75" s="3"/>
      <c r="L75" s="8">
        <f t="shared" si="14"/>
        <v>137.04000000000002</v>
      </c>
      <c r="M75" s="3"/>
      <c r="N75" s="7">
        <f t="shared" si="15"/>
        <v>0.31060039437002795</v>
      </c>
      <c r="O75" s="12"/>
      <c r="P75" s="8">
        <v>2971.85</v>
      </c>
      <c r="Q75" s="3"/>
      <c r="R75" s="7">
        <f t="shared" si="16"/>
        <v>9.6476191561393702E-3</v>
      </c>
      <c r="S75" s="3"/>
      <c r="T75" s="8">
        <v>1934.96</v>
      </c>
      <c r="U75" s="3"/>
      <c r="V75" s="7">
        <f t="shared" si="17"/>
        <v>0.68590793400968431</v>
      </c>
      <c r="W75" s="3"/>
      <c r="X75" s="8">
        <f t="shared" si="18"/>
        <v>1036.8899999999999</v>
      </c>
      <c r="Y75" s="3"/>
      <c r="Z75" s="7">
        <f t="shared" si="19"/>
        <v>0.53587154256418734</v>
      </c>
    </row>
    <row r="76" spans="1:26" s="69" customFormat="1" ht="15" hidden="1" customHeight="1" outlineLevel="2" x14ac:dyDescent="0.3">
      <c r="A76" s="25"/>
      <c r="B76" s="12" t="str">
        <f>CONCATENATE("          ","6284"," - ","TRASH REMOVAL EXPENSE")</f>
        <v xml:space="preserve">          6284 - TRASH REMOVAL EXPENSE</v>
      </c>
      <c r="C76" s="12"/>
      <c r="D76" s="8"/>
      <c r="E76" s="3"/>
      <c r="F76" s="7">
        <f t="shared" si="12"/>
        <v>0</v>
      </c>
      <c r="G76" s="3"/>
      <c r="H76" s="8">
        <v>-281</v>
      </c>
      <c r="I76" s="3"/>
      <c r="J76" s="7">
        <f t="shared" si="13"/>
        <v>-2.7946295375435106</v>
      </c>
      <c r="K76" s="3"/>
      <c r="L76" s="8">
        <f t="shared" si="14"/>
        <v>281</v>
      </c>
      <c r="M76" s="3"/>
      <c r="N76" s="7">
        <f t="shared" si="15"/>
        <v>-1</v>
      </c>
      <c r="O76" s="12"/>
      <c r="P76" s="8"/>
      <c r="Q76" s="3"/>
      <c r="R76" s="7">
        <f t="shared" si="16"/>
        <v>0</v>
      </c>
      <c r="S76" s="3"/>
      <c r="T76" s="8">
        <v>875</v>
      </c>
      <c r="U76" s="3"/>
      <c r="V76" s="7">
        <f t="shared" si="17"/>
        <v>0.31017149825240509</v>
      </c>
      <c r="W76" s="3"/>
      <c r="X76" s="8">
        <f t="shared" si="18"/>
        <v>-875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5"/>
      <c r="B77" s="12" t="str">
        <f>CONCATENATE("          ","6285"," - ","JANITORIAL SERVICES")</f>
        <v xml:space="preserve">          6285 - JANITORIAL SERVICES</v>
      </c>
      <c r="C77" s="12"/>
      <c r="D77" s="8">
        <v>57.08</v>
      </c>
      <c r="E77" s="3"/>
      <c r="F77" s="7">
        <f t="shared" si="12"/>
        <v>4.2938985491994036E-4</v>
      </c>
      <c r="G77" s="3"/>
      <c r="H77" s="8"/>
      <c r="I77" s="3"/>
      <c r="J77" s="7">
        <f t="shared" si="13"/>
        <v>0</v>
      </c>
      <c r="K77" s="3"/>
      <c r="L77" s="8">
        <f t="shared" si="14"/>
        <v>57.08</v>
      </c>
      <c r="M77" s="3"/>
      <c r="N77" s="7">
        <f t="shared" si="15"/>
        <v>0</v>
      </c>
      <c r="O77" s="12"/>
      <c r="P77" s="8">
        <v>7738.84</v>
      </c>
      <c r="Q77" s="3"/>
      <c r="R77" s="7">
        <f t="shared" si="16"/>
        <v>2.5122863209885292E-2</v>
      </c>
      <c r="S77" s="3"/>
      <c r="T77" s="8">
        <v>-804.6</v>
      </c>
      <c r="U77" s="3"/>
      <c r="V77" s="7">
        <f t="shared" si="17"/>
        <v>-0.28521598570729734</v>
      </c>
      <c r="W77" s="3"/>
      <c r="X77" s="8">
        <f t="shared" si="18"/>
        <v>8543.44</v>
      </c>
      <c r="Y77" s="3"/>
      <c r="Z77" s="7">
        <f t="shared" si="19"/>
        <v>-10.618245090728312</v>
      </c>
    </row>
    <row r="78" spans="1:26" s="69" customFormat="1" ht="15" hidden="1" customHeight="1" outlineLevel="2" x14ac:dyDescent="0.3">
      <c r="A78" s="25"/>
      <c r="B78" s="12" t="str">
        <f>CONCATENATE("          ","6286"," - ","LAUNDRY EXPENSE")</f>
        <v xml:space="preserve">          6286 - LAUNDRY EXPENSE</v>
      </c>
      <c r="C78" s="12"/>
      <c r="D78" s="8">
        <v>195.29</v>
      </c>
      <c r="E78" s="3"/>
      <c r="F78" s="7">
        <f t="shared" si="12"/>
        <v>1.4690880302613027E-3</v>
      </c>
      <c r="G78" s="3"/>
      <c r="H78" s="8"/>
      <c r="I78" s="3"/>
      <c r="J78" s="7">
        <f t="shared" si="13"/>
        <v>0</v>
      </c>
      <c r="K78" s="3"/>
      <c r="L78" s="8">
        <f t="shared" si="14"/>
        <v>195.29</v>
      </c>
      <c r="M78" s="3"/>
      <c r="N78" s="7">
        <f t="shared" si="15"/>
        <v>0</v>
      </c>
      <c r="O78" s="12"/>
      <c r="P78" s="8">
        <v>792.33</v>
      </c>
      <c r="Q78" s="3"/>
      <c r="R78" s="7">
        <f t="shared" si="16"/>
        <v>2.5721682070036873E-3</v>
      </c>
      <c r="S78" s="3"/>
      <c r="T78" s="8"/>
      <c r="U78" s="3"/>
      <c r="V78" s="7">
        <f t="shared" si="17"/>
        <v>0</v>
      </c>
      <c r="W78" s="3"/>
      <c r="X78" s="8">
        <f t="shared" si="18"/>
        <v>792.33</v>
      </c>
      <c r="Y78" s="3"/>
      <c r="Z78" s="7">
        <f t="shared" si="19"/>
        <v>0</v>
      </c>
    </row>
    <row r="79" spans="1:26" s="68" customFormat="1" ht="15" customHeight="1" outlineLevel="1" collapsed="1" x14ac:dyDescent="0.3">
      <c r="A79" s="26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SUM(OSRRefD22_14x_0)</f>
        <v>2262.46</v>
      </c>
      <c r="E79" s="2"/>
      <c r="F79" s="6">
        <f t="shared" si="12"/>
        <v>1.7019575528419206E-2</v>
      </c>
      <c r="G79" s="2"/>
      <c r="H79" s="2">
        <f>SUM(OSRRefH22_14x_0)</f>
        <v>0</v>
      </c>
      <c r="I79" s="2"/>
      <c r="J79" s="6">
        <f t="shared" si="13"/>
        <v>0</v>
      </c>
      <c r="K79" s="2"/>
      <c r="L79" s="2">
        <f t="shared" si="14"/>
        <v>2262.46</v>
      </c>
      <c r="M79" s="2"/>
      <c r="N79" s="6">
        <f t="shared" si="15"/>
        <v>0</v>
      </c>
      <c r="O79" s="14"/>
      <c r="P79" s="2">
        <f>SUM(OSRRefP22_14x_0)</f>
        <v>6232.82</v>
      </c>
      <c r="Q79" s="2"/>
      <c r="R79" s="6">
        <f t="shared" si="16"/>
        <v>2.023381854022531E-2</v>
      </c>
      <c r="S79" s="2"/>
      <c r="T79" s="2">
        <f>SUM(OSRRefT22_14x_0)</f>
        <v>1094.0899999999999</v>
      </c>
      <c r="U79" s="2"/>
      <c r="V79" s="6">
        <f t="shared" si="17"/>
        <v>0.38783489659768444</v>
      </c>
      <c r="W79" s="2"/>
      <c r="X79" s="2">
        <f t="shared" si="18"/>
        <v>5138.7299999999996</v>
      </c>
      <c r="Y79" s="2"/>
      <c r="Z79" s="6">
        <f t="shared" si="19"/>
        <v>4.696807392444863</v>
      </c>
    </row>
    <row r="80" spans="1:26" s="69" customFormat="1" ht="15" hidden="1" customHeight="1" outlineLevel="2" x14ac:dyDescent="0.3">
      <c r="A80" s="25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1194.8900000000001</v>
      </c>
      <c r="Q80" s="3"/>
      <c r="R80" s="7">
        <f t="shared" si="16"/>
        <v>3.8790126195734553E-3</v>
      </c>
      <c r="S80" s="3"/>
      <c r="T80" s="8">
        <v>316.67</v>
      </c>
      <c r="U80" s="3"/>
      <c r="V80" s="7">
        <f t="shared" si="17"/>
        <v>0.11225372383038758</v>
      </c>
      <c r="W80" s="3"/>
      <c r="X80" s="8">
        <f t="shared" si="18"/>
        <v>878.22</v>
      </c>
      <c r="Y80" s="3"/>
      <c r="Z80" s="7">
        <f t="shared" si="19"/>
        <v>2.7732971231881769</v>
      </c>
    </row>
    <row r="81" spans="1:26" s="69" customFormat="1" ht="15" hidden="1" customHeight="1" outlineLevel="2" x14ac:dyDescent="0.3">
      <c r="A81" s="25"/>
      <c r="B81" s="12" t="str">
        <f>CONCATENATE("          ","6235"," - ","COVID-19 EXPENSES")</f>
        <v xml:space="preserve">          6235 - COVID-19 EXPENSES</v>
      </c>
      <c r="C81" s="12"/>
      <c r="D81" s="8">
        <v>71.45</v>
      </c>
      <c r="E81" s="3"/>
      <c r="F81" s="7">
        <f t="shared" si="12"/>
        <v>5.3748957838174044E-4</v>
      </c>
      <c r="G81" s="3"/>
      <c r="H81" s="8"/>
      <c r="I81" s="3"/>
      <c r="J81" s="7">
        <f t="shared" si="13"/>
        <v>0</v>
      </c>
      <c r="K81" s="3"/>
      <c r="L81" s="8">
        <f t="shared" si="14"/>
        <v>71.45</v>
      </c>
      <c r="M81" s="3"/>
      <c r="N81" s="7">
        <f t="shared" si="15"/>
        <v>0</v>
      </c>
      <c r="O81" s="12"/>
      <c r="P81" s="8">
        <v>71.45</v>
      </c>
      <c r="Q81" s="3"/>
      <c r="R81" s="7">
        <f t="shared" si="16"/>
        <v>2.3195059935937482E-4</v>
      </c>
      <c r="S81" s="3"/>
      <c r="T81" s="8">
        <v>207.27</v>
      </c>
      <c r="U81" s="3"/>
      <c r="V81" s="7">
        <f t="shared" si="17"/>
        <v>7.3473424506029728E-2</v>
      </c>
      <c r="W81" s="3"/>
      <c r="X81" s="8">
        <f t="shared" si="18"/>
        <v>-135.82</v>
      </c>
      <c r="Y81" s="3"/>
      <c r="Z81" s="7">
        <f t="shared" si="19"/>
        <v>-0.65528055193708679</v>
      </c>
    </row>
    <row r="82" spans="1:26" s="69" customFormat="1" ht="15" hidden="1" customHeight="1" outlineLevel="2" x14ac:dyDescent="0.3">
      <c r="A82" s="25"/>
      <c r="B82" s="12" t="str">
        <f>CONCATENATE("          ","6237"," - ","JANITORIAL SUPPLIES")</f>
        <v xml:space="preserve">          6237 - JANITORIAL SUPPLIES</v>
      </c>
      <c r="C82" s="12"/>
      <c r="D82" s="8">
        <v>201.78</v>
      </c>
      <c r="E82" s="3"/>
      <c r="F82" s="7">
        <f t="shared" si="12"/>
        <v>1.5179096868560892E-3</v>
      </c>
      <c r="G82" s="3"/>
      <c r="H82" s="8"/>
      <c r="I82" s="3"/>
      <c r="J82" s="7">
        <f t="shared" si="13"/>
        <v>0</v>
      </c>
      <c r="K82" s="3"/>
      <c r="L82" s="8">
        <f t="shared" si="14"/>
        <v>201.78</v>
      </c>
      <c r="M82" s="3"/>
      <c r="N82" s="7">
        <f t="shared" si="15"/>
        <v>0</v>
      </c>
      <c r="O82" s="12"/>
      <c r="P82" s="8">
        <v>888.69</v>
      </c>
      <c r="Q82" s="3"/>
      <c r="R82" s="7">
        <f t="shared" si="16"/>
        <v>2.8849849985260016E-3</v>
      </c>
      <c r="S82" s="3"/>
      <c r="T82" s="8">
        <v>317.57</v>
      </c>
      <c r="U82" s="3"/>
      <c r="V82" s="7">
        <f t="shared" si="17"/>
        <v>0.11257275737144719</v>
      </c>
      <c r="W82" s="3"/>
      <c r="X82" s="8">
        <f t="shared" si="18"/>
        <v>571.12000000000012</v>
      </c>
      <c r="Y82" s="3"/>
      <c r="Z82" s="7">
        <f t="shared" si="19"/>
        <v>1.7984066505022518</v>
      </c>
    </row>
    <row r="83" spans="1:26" s="69" customFormat="1" ht="15" hidden="1" customHeight="1" outlineLevel="2" x14ac:dyDescent="0.3">
      <c r="A83" s="25"/>
      <c r="B83" s="12" t="str">
        <f>CONCATENATE("          ","6241"," - ","OFFICE EXPENSE")</f>
        <v xml:space="preserve">          6241 - OFFICE EXPENSE</v>
      </c>
      <c r="C83" s="12"/>
      <c r="D83" s="8">
        <v>17.63</v>
      </c>
      <c r="E83" s="3"/>
      <c r="F83" s="7">
        <f t="shared" si="12"/>
        <v>1.3262339071896546E-4</v>
      </c>
      <c r="G83" s="3"/>
      <c r="H83" s="8"/>
      <c r="I83" s="3"/>
      <c r="J83" s="7">
        <f t="shared" si="13"/>
        <v>0</v>
      </c>
      <c r="K83" s="3"/>
      <c r="L83" s="8">
        <f t="shared" si="14"/>
        <v>17.63</v>
      </c>
      <c r="M83" s="3"/>
      <c r="N83" s="7">
        <f t="shared" si="15"/>
        <v>0</v>
      </c>
      <c r="O83" s="12"/>
      <c r="P83" s="8">
        <v>476.56</v>
      </c>
      <c r="Q83" s="3"/>
      <c r="R83" s="7">
        <f t="shared" si="16"/>
        <v>1.5470731648803871E-3</v>
      </c>
      <c r="S83" s="3"/>
      <c r="T83" s="8">
        <v>131.30000000000001</v>
      </c>
      <c r="U83" s="3"/>
      <c r="V83" s="7">
        <f t="shared" si="17"/>
        <v>4.6543448823475192E-2</v>
      </c>
      <c r="W83" s="3"/>
      <c r="X83" s="8">
        <f t="shared" si="18"/>
        <v>345.26</v>
      </c>
      <c r="Y83" s="3"/>
      <c r="Z83" s="7">
        <f t="shared" si="19"/>
        <v>2.6295506473724291</v>
      </c>
    </row>
    <row r="84" spans="1:26" s="69" customFormat="1" ht="15" hidden="1" customHeight="1" outlineLevel="2" x14ac:dyDescent="0.3">
      <c r="A84" s="25"/>
      <c r="B84" s="12" t="str">
        <f>CONCATENATE("          ","6243"," - ","PAPER SUPPLIES")</f>
        <v xml:space="preserve">          6243 - PAPER SUPPLIES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>
        <v>44.38</v>
      </c>
      <c r="Q84" s="3"/>
      <c r="R84" s="7">
        <f t="shared" si="16"/>
        <v>1.4407232469655781E-4</v>
      </c>
      <c r="S84" s="3"/>
      <c r="T84" s="8"/>
      <c r="U84" s="3"/>
      <c r="V84" s="7">
        <f t="shared" si="17"/>
        <v>0</v>
      </c>
      <c r="W84" s="3"/>
      <c r="X84" s="8">
        <f t="shared" si="18"/>
        <v>44.38</v>
      </c>
      <c r="Y84" s="3"/>
      <c r="Z84" s="7">
        <f t="shared" si="19"/>
        <v>0</v>
      </c>
    </row>
    <row r="85" spans="1:26" s="69" customFormat="1" ht="15" hidden="1" customHeight="1" outlineLevel="2" x14ac:dyDescent="0.3">
      <c r="A85" s="25"/>
      <c r="B85" s="12" t="str">
        <f>CONCATENATE("          ","6247"," - ","STORE SUPPLIES")</f>
        <v xml:space="preserve">          6247 - STORE SUPPLIES</v>
      </c>
      <c r="C85" s="12"/>
      <c r="D85" s="8">
        <v>1971.6</v>
      </c>
      <c r="E85" s="3"/>
      <c r="F85" s="7">
        <f t="shared" si="12"/>
        <v>1.4831552872462411E-2</v>
      </c>
      <c r="G85" s="3"/>
      <c r="H85" s="8"/>
      <c r="I85" s="3"/>
      <c r="J85" s="7">
        <f t="shared" si="13"/>
        <v>0</v>
      </c>
      <c r="K85" s="3"/>
      <c r="L85" s="8">
        <f t="shared" si="14"/>
        <v>1971.6</v>
      </c>
      <c r="M85" s="3"/>
      <c r="N85" s="7">
        <f t="shared" si="15"/>
        <v>0</v>
      </c>
      <c r="O85" s="12"/>
      <c r="P85" s="8">
        <v>3556.85</v>
      </c>
      <c r="Q85" s="3"/>
      <c r="R85" s="7">
        <f t="shared" si="16"/>
        <v>1.1546724833189536E-2</v>
      </c>
      <c r="S85" s="3"/>
      <c r="T85" s="8">
        <v>121.28</v>
      </c>
      <c r="U85" s="3"/>
      <c r="V85" s="7">
        <f t="shared" si="17"/>
        <v>4.2991542066344791E-2</v>
      </c>
      <c r="W85" s="3"/>
      <c r="X85" s="8">
        <f t="shared" si="18"/>
        <v>3435.5699999999997</v>
      </c>
      <c r="Y85" s="3"/>
      <c r="Z85" s="7">
        <f t="shared" si="19"/>
        <v>28.327589050131923</v>
      </c>
    </row>
    <row r="86" spans="1:26" s="68" customFormat="1" ht="15" customHeight="1" outlineLevel="1" collapsed="1" x14ac:dyDescent="0.3">
      <c r="A86" s="26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253.5</v>
      </c>
      <c r="E86" s="2"/>
      <c r="F86" s="6">
        <f t="shared" si="12"/>
        <v>1.9069784201507514E-3</v>
      </c>
      <c r="G86" s="2"/>
      <c r="H86" s="2">
        <f>SUM(OSRRefH22_15x_0)</f>
        <v>181.45</v>
      </c>
      <c r="I86" s="2"/>
      <c r="J86" s="6">
        <f t="shared" si="13"/>
        <v>1.8045748383888611</v>
      </c>
      <c r="K86" s="2"/>
      <c r="L86" s="2">
        <f t="shared" si="14"/>
        <v>72.050000000000011</v>
      </c>
      <c r="M86" s="2"/>
      <c r="N86" s="6">
        <f t="shared" si="15"/>
        <v>0.39707908514742363</v>
      </c>
      <c r="O86" s="14"/>
      <c r="P86" s="2">
        <f>SUM(OSRRefP22_15x_0)</f>
        <v>1243</v>
      </c>
      <c r="Q86" s="2"/>
      <c r="R86" s="6">
        <f t="shared" si="16"/>
        <v>4.0351937719202641E-3</v>
      </c>
      <c r="S86" s="2"/>
      <c r="T86" s="2">
        <f>SUM(OSRRefT22_15x_0)</f>
        <v>3192.89</v>
      </c>
      <c r="U86" s="2"/>
      <c r="V86" s="6">
        <f t="shared" si="17"/>
        <v>1.1318211143487105</v>
      </c>
      <c r="W86" s="2"/>
      <c r="X86" s="2">
        <f t="shared" si="18"/>
        <v>-1949.8899999999999</v>
      </c>
      <c r="Y86" s="2"/>
      <c r="Z86" s="6">
        <f t="shared" si="19"/>
        <v>-0.6106975185490261</v>
      </c>
    </row>
    <row r="87" spans="1:26" s="69" customFormat="1" ht="15" hidden="1" customHeight="1" outlineLevel="2" x14ac:dyDescent="0.3">
      <c r="A87" s="25"/>
      <c r="B87" s="12" t="str">
        <f>CONCATENATE("          ","6309"," - ","TELEPHONE")</f>
        <v xml:space="preserve">          6309 - TELEPHONE</v>
      </c>
      <c r="C87" s="12"/>
      <c r="D87" s="8">
        <v>253.5</v>
      </c>
      <c r="E87" s="3"/>
      <c r="F87" s="7">
        <f t="shared" si="12"/>
        <v>1.9069784201507514E-3</v>
      </c>
      <c r="G87" s="3"/>
      <c r="H87" s="8">
        <v>181.45</v>
      </c>
      <c r="I87" s="3"/>
      <c r="J87" s="7">
        <f t="shared" si="13"/>
        <v>1.8045748383888611</v>
      </c>
      <c r="K87" s="3"/>
      <c r="L87" s="8">
        <f t="shared" si="14"/>
        <v>72.050000000000011</v>
      </c>
      <c r="M87" s="3"/>
      <c r="N87" s="7">
        <f t="shared" si="15"/>
        <v>0.39707908514742363</v>
      </c>
      <c r="O87" s="12"/>
      <c r="P87" s="8">
        <v>1243</v>
      </c>
      <c r="Q87" s="3"/>
      <c r="R87" s="7">
        <f t="shared" si="16"/>
        <v>4.0351937719202641E-3</v>
      </c>
      <c r="S87" s="3"/>
      <c r="T87" s="8">
        <v>3192.89</v>
      </c>
      <c r="U87" s="3"/>
      <c r="V87" s="7">
        <f t="shared" si="17"/>
        <v>1.1318211143487105</v>
      </c>
      <c r="W87" s="3"/>
      <c r="X87" s="8">
        <f t="shared" si="18"/>
        <v>-1949.8899999999999</v>
      </c>
      <c r="Y87" s="3"/>
      <c r="Z87" s="7">
        <f t="shared" si="19"/>
        <v>-0.6106975185490261</v>
      </c>
    </row>
    <row r="88" spans="1:26" s="68" customFormat="1" ht="15" customHeight="1" outlineLevel="1" collapsed="1" x14ac:dyDescent="0.3">
      <c r="A88" s="26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0</v>
      </c>
      <c r="E88" s="2"/>
      <c r="F88" s="6">
        <f t="shared" si="12"/>
        <v>0</v>
      </c>
      <c r="G88" s="2"/>
      <c r="H88" s="2">
        <f>SUM(OSRRefH22_16x_0)</f>
        <v>0</v>
      </c>
      <c r="I88" s="2"/>
      <c r="J88" s="6">
        <f t="shared" si="13"/>
        <v>0</v>
      </c>
      <c r="K88" s="2"/>
      <c r="L88" s="2">
        <f t="shared" si="14"/>
        <v>0</v>
      </c>
      <c r="M88" s="2"/>
      <c r="N88" s="6">
        <f t="shared" si="15"/>
        <v>0</v>
      </c>
      <c r="O88" s="14"/>
      <c r="P88" s="2">
        <f>SUM(OSRRefP22_16x_0)</f>
        <v>320</v>
      </c>
      <c r="Q88" s="2"/>
      <c r="R88" s="6">
        <f t="shared" si="16"/>
        <v>1.0388270370188936E-3</v>
      </c>
      <c r="S88" s="2"/>
      <c r="T88" s="2">
        <f>SUM(OSRRefT22_16x_0)</f>
        <v>0</v>
      </c>
      <c r="U88" s="2"/>
      <c r="V88" s="6">
        <f t="shared" si="17"/>
        <v>0</v>
      </c>
      <c r="W88" s="2"/>
      <c r="X88" s="2">
        <f t="shared" si="18"/>
        <v>320</v>
      </c>
      <c r="Y88" s="2"/>
      <c r="Z88" s="6">
        <f t="shared" si="19"/>
        <v>0</v>
      </c>
    </row>
    <row r="89" spans="1:26" s="69" customFormat="1" ht="15" hidden="1" customHeight="1" outlineLevel="2" x14ac:dyDescent="0.3">
      <c r="A89" s="25"/>
      <c r="B89" s="12" t="str">
        <f>CONCATENATE("          ","6376"," - ","TRAINING")</f>
        <v xml:space="preserve">          6376 - TRAINING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320</v>
      </c>
      <c r="Q89" s="3"/>
      <c r="R89" s="7">
        <f t="shared" si="16"/>
        <v>1.0388270370188936E-3</v>
      </c>
      <c r="S89" s="3"/>
      <c r="T89" s="8"/>
      <c r="U89" s="3"/>
      <c r="V89" s="7">
        <f t="shared" si="17"/>
        <v>0</v>
      </c>
      <c r="W89" s="3"/>
      <c r="X89" s="8">
        <f t="shared" si="18"/>
        <v>320</v>
      </c>
      <c r="Y89" s="3"/>
      <c r="Z89" s="7">
        <f t="shared" si="19"/>
        <v>0</v>
      </c>
    </row>
    <row r="90" spans="1:26" s="68" customFormat="1" ht="15" customHeight="1" outlineLevel="1" collapsed="1" x14ac:dyDescent="0.3">
      <c r="A90" s="26"/>
      <c r="B90" s="14" t="str">
        <f>CONCATENATE("     ","Utilities                                         ")</f>
        <v xml:space="preserve">     Utilities                                         </v>
      </c>
      <c r="C90" s="14"/>
      <c r="D90" s="2">
        <f>SUM(OSRRefD22_17x_0)</f>
        <v>100</v>
      </c>
      <c r="E90" s="2"/>
      <c r="F90" s="6">
        <f t="shared" si="12"/>
        <v>7.5225973181489202E-4</v>
      </c>
      <c r="G90" s="2"/>
      <c r="H90" s="2">
        <f>SUM(OSRRefH22_17x_0)</f>
        <v>-1182</v>
      </c>
      <c r="I90" s="2"/>
      <c r="J90" s="6">
        <f t="shared" si="13"/>
        <v>-11.755345599204377</v>
      </c>
      <c r="K90" s="2"/>
      <c r="L90" s="2">
        <f t="shared" si="14"/>
        <v>1282</v>
      </c>
      <c r="M90" s="2"/>
      <c r="N90" s="6">
        <f t="shared" si="15"/>
        <v>-1.0846023688663282</v>
      </c>
      <c r="O90" s="14"/>
      <c r="P90" s="2">
        <f>SUM(OSRRefP22_17x_0)</f>
        <v>900</v>
      </c>
      <c r="Q90" s="2"/>
      <c r="R90" s="6">
        <f t="shared" si="16"/>
        <v>2.9217010416156381E-3</v>
      </c>
      <c r="S90" s="2"/>
      <c r="T90" s="2">
        <f>SUM(OSRRefT22_17x_0)</f>
        <v>4648</v>
      </c>
      <c r="U90" s="2"/>
      <c r="V90" s="6">
        <f t="shared" si="17"/>
        <v>1.6476309987167759</v>
      </c>
      <c r="W90" s="2"/>
      <c r="X90" s="2">
        <f t="shared" si="18"/>
        <v>-3748</v>
      </c>
      <c r="Y90" s="2"/>
      <c r="Z90" s="6">
        <f t="shared" si="19"/>
        <v>-0.80636833046471601</v>
      </c>
    </row>
    <row r="91" spans="1:26" s="69" customFormat="1" ht="15" hidden="1" customHeight="1" outlineLevel="2" x14ac:dyDescent="0.3">
      <c r="A91" s="25"/>
      <c r="B91" s="12" t="str">
        <f>CONCATENATE("          ","6274"," - ","UTILITIES")</f>
        <v xml:space="preserve">          6274 - UTILITIES</v>
      </c>
      <c r="C91" s="12"/>
      <c r="D91" s="8">
        <v>100</v>
      </c>
      <c r="E91" s="3"/>
      <c r="F91" s="7">
        <f t="shared" si="12"/>
        <v>7.5225973181489202E-4</v>
      </c>
      <c r="G91" s="3"/>
      <c r="H91" s="8">
        <v>-1182</v>
      </c>
      <c r="I91" s="3"/>
      <c r="J91" s="7">
        <f t="shared" si="13"/>
        <v>-11.755345599204377</v>
      </c>
      <c r="K91" s="3"/>
      <c r="L91" s="8">
        <f t="shared" si="14"/>
        <v>1282</v>
      </c>
      <c r="M91" s="3"/>
      <c r="N91" s="7">
        <f t="shared" si="15"/>
        <v>-1.0846023688663282</v>
      </c>
      <c r="O91" s="12"/>
      <c r="P91" s="8">
        <v>900</v>
      </c>
      <c r="Q91" s="3"/>
      <c r="R91" s="7">
        <f t="shared" si="16"/>
        <v>2.9217010416156381E-3</v>
      </c>
      <c r="S91" s="3"/>
      <c r="T91" s="8">
        <v>4648</v>
      </c>
      <c r="U91" s="3"/>
      <c r="V91" s="7">
        <f t="shared" si="17"/>
        <v>1.6476309987167759</v>
      </c>
      <c r="W91" s="3"/>
      <c r="X91" s="8">
        <f t="shared" si="18"/>
        <v>-3748</v>
      </c>
      <c r="Y91" s="3"/>
      <c r="Z91" s="7">
        <f t="shared" si="19"/>
        <v>-0.80636833046471601</v>
      </c>
    </row>
    <row r="92" spans="1:26" s="64" customFormat="1" ht="15" customHeight="1" x14ac:dyDescent="0.3">
      <c r="A92" s="36"/>
      <c r="B92" s="36"/>
      <c r="C92" s="36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3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62" customFormat="1" ht="15" customHeight="1" x14ac:dyDescent="0.3">
      <c r="A93" s="11"/>
      <c r="B93" s="28" t="s">
        <v>290</v>
      </c>
      <c r="C93" s="11"/>
      <c r="D93" s="5">
        <f>SUM(0)</f>
        <v>0</v>
      </c>
      <c r="E93" s="5"/>
      <c r="F93" s="13">
        <f>IF(D$12=0,0,D93/D$12)</f>
        <v>0</v>
      </c>
      <c r="G93" s="5"/>
      <c r="H93" s="5">
        <f>SUM(0)</f>
        <v>0</v>
      </c>
      <c r="I93" s="5"/>
      <c r="J93" s="13">
        <f>IF(H$12=0,0,H93/H$12)</f>
        <v>0</v>
      </c>
      <c r="K93" s="5"/>
      <c r="L93" s="5">
        <f>+D93-H93</f>
        <v>0</v>
      </c>
      <c r="M93" s="5"/>
      <c r="N93" s="13">
        <f>IF(H93=0,0,L93/H93)</f>
        <v>0</v>
      </c>
      <c r="O93" s="11"/>
      <c r="P93" s="5">
        <f>SUM(0)</f>
        <v>0</v>
      </c>
      <c r="Q93" s="5"/>
      <c r="R93" s="13">
        <f>IF(P$12=0,0,P93/P$12)</f>
        <v>0</v>
      </c>
      <c r="S93" s="5"/>
      <c r="T93" s="5">
        <f>SUM(0)</f>
        <v>0</v>
      </c>
      <c r="U93" s="5"/>
      <c r="V93" s="13">
        <f>IF(T$12=0,0,T93/T$12)</f>
        <v>0</v>
      </c>
      <c r="W93" s="5"/>
      <c r="X93" s="5">
        <f>+P93-T93</f>
        <v>0</v>
      </c>
      <c r="Y93" s="5"/>
      <c r="Z93" s="13">
        <f>IF(T93=0,0,X93/T93)</f>
        <v>0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x14ac:dyDescent="0.3">
      <c r="A95" s="11"/>
      <c r="B95" s="27" t="s">
        <v>291</v>
      </c>
      <c r="C95" s="27"/>
      <c r="D95" s="22">
        <f>+D30-D32+D93</f>
        <v>29500.44000000001</v>
      </c>
      <c r="E95" s="15"/>
      <c r="F95" s="21">
        <f>IF(D$12=0,0,D95/D$12)</f>
        <v>0.22191993082821321</v>
      </c>
      <c r="G95" s="15"/>
      <c r="H95" s="22">
        <f>+H30-H32+H93</f>
        <v>-14033.840000000004</v>
      </c>
      <c r="I95" s="15"/>
      <c r="J95" s="21">
        <f>IF(H$12=0,0,H95/H$12)</f>
        <v>-139.57076081551472</v>
      </c>
      <c r="K95" s="17"/>
      <c r="L95" s="22">
        <f>+D95-H95</f>
        <v>43534.280000000013</v>
      </c>
      <c r="M95" s="17"/>
      <c r="N95" s="21">
        <f>IF(H95=0,0,L95/H95)</f>
        <v>-3.1020932260877991</v>
      </c>
      <c r="O95" s="28"/>
      <c r="P95" s="22">
        <f>+P30-P32+P93</f>
        <v>-97108.69</v>
      </c>
      <c r="Q95" s="15"/>
      <c r="R95" s="21">
        <f>IF(P$12=0,0,P95/P$12)</f>
        <v>-0.31524728969214455</v>
      </c>
      <c r="S95" s="15"/>
      <c r="T95" s="22">
        <f>+T30-T32+T93</f>
        <v>-242929.23999999996</v>
      </c>
      <c r="U95" s="15"/>
      <c r="V95" s="21">
        <f>IF(T$12=0,0,T95/T$12)</f>
        <v>-86.113972960134959</v>
      </c>
      <c r="W95" s="17"/>
      <c r="X95" s="22">
        <f>+P95-T95</f>
        <v>145820.54999999996</v>
      </c>
      <c r="Y95" s="17"/>
      <c r="Z95" s="21">
        <f>IF(T95=0,0,X95/T95)</f>
        <v>-0.60025935947438847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48"/>
      <c r="B97" s="11" t="s">
        <v>292</v>
      </c>
      <c r="C97" s="11"/>
      <c r="D97" s="5">
        <v>14906.45</v>
      </c>
      <c r="E97" s="5"/>
      <c r="F97" s="13">
        <f>IF(D$12=0,0,D97/D$12)</f>
        <v>0.11213522079312098</v>
      </c>
      <c r="G97" s="5"/>
      <c r="H97" s="5">
        <v>42.64</v>
      </c>
      <c r="I97" s="5"/>
      <c r="J97" s="13">
        <f>IF(H$12=0,0,H97/H$12)</f>
        <v>0.42406762804574838</v>
      </c>
      <c r="K97" s="5"/>
      <c r="L97" s="5">
        <f>+D97-H97</f>
        <v>14863.810000000001</v>
      </c>
      <c r="M97" s="5"/>
      <c r="N97" s="13">
        <f>IF(H97=0,0,L97/H97)</f>
        <v>348.58841463414637</v>
      </c>
      <c r="O97" s="11"/>
      <c r="P97" s="5">
        <v>36763.78</v>
      </c>
      <c r="Q97" s="5"/>
      <c r="R97" s="13">
        <f>IF(P$12=0,0,P97/P$12)</f>
        <v>0.11934752702192017</v>
      </c>
      <c r="S97" s="5"/>
      <c r="T97" s="5">
        <v>581.39</v>
      </c>
      <c r="U97" s="5"/>
      <c r="V97" s="13">
        <f>IF(T$12=0,0,T97/T$12)</f>
        <v>0.2060921227073895</v>
      </c>
      <c r="W97" s="5"/>
      <c r="X97" s="5">
        <f>+P97-T97</f>
        <v>36182.39</v>
      </c>
      <c r="Y97" s="5"/>
      <c r="Z97" s="13">
        <f>IF(T97=0,0,X97/T97)</f>
        <v>62.234283355406873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7" t="s">
        <v>293</v>
      </c>
      <c r="C99" s="27"/>
      <c r="D99" s="34">
        <f>+D95-D97</f>
        <v>14593.990000000009</v>
      </c>
      <c r="E99" s="15"/>
      <c r="F99" s="33">
        <f>IF(D$12=0,0,D99/D$12)</f>
        <v>0.10978471003509223</v>
      </c>
      <c r="G99" s="15"/>
      <c r="H99" s="34">
        <f>+H95-H97</f>
        <v>-14076.480000000003</v>
      </c>
      <c r="I99" s="15"/>
      <c r="J99" s="33">
        <f>IF(H$12=0,0,H99/H$12)</f>
        <v>-139.99482844356046</v>
      </c>
      <c r="K99" s="17"/>
      <c r="L99" s="34">
        <f>D99-H99</f>
        <v>28670.470000000012</v>
      </c>
      <c r="M99" s="17"/>
      <c r="N99" s="33">
        <f>IF(H99=0,0,L99/H99)</f>
        <v>-2.0367641626315676</v>
      </c>
      <c r="O99" s="28"/>
      <c r="P99" s="34">
        <f>+P95-P97</f>
        <v>-133872.47</v>
      </c>
      <c r="Q99" s="15"/>
      <c r="R99" s="33">
        <f>IF(P$12=0,0,P99/P$12)</f>
        <v>-0.43459481671406475</v>
      </c>
      <c r="S99" s="15"/>
      <c r="T99" s="34">
        <f>+T95-T97</f>
        <v>-243510.62999999998</v>
      </c>
      <c r="U99" s="15"/>
      <c r="V99" s="33">
        <f>IF(T$12=0,0,T99/T$12)</f>
        <v>-86.320065082842348</v>
      </c>
      <c r="W99" s="17"/>
      <c r="X99" s="34">
        <f>P99-T99</f>
        <v>109638.15999999997</v>
      </c>
      <c r="Y99" s="17"/>
      <c r="Z99" s="33">
        <f>IF(T99=0,0,X99/T99)</f>
        <v>-0.45023972875434631</v>
      </c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11"/>
      <c r="B102" s="27" t="s">
        <v>296</v>
      </c>
      <c r="C102" s="27"/>
      <c r="D102" s="31">
        <f>SUM(D99:D101)</f>
        <v>14593.990000000009</v>
      </c>
      <c r="E102" s="15"/>
      <c r="F102" s="32">
        <f>IF(D$12=0,0,D102/D$12)</f>
        <v>0.10978471003509223</v>
      </c>
      <c r="G102" s="15"/>
      <c r="H102" s="31">
        <f>SUM(H99:H101)</f>
        <v>-14076.480000000003</v>
      </c>
      <c r="I102" s="15"/>
      <c r="J102" s="32">
        <f>IF(H$12=0,0,H102/H$12)</f>
        <v>-139.99482844356046</v>
      </c>
      <c r="K102" s="17"/>
      <c r="L102" s="31">
        <f>+D102-H102</f>
        <v>28670.470000000012</v>
      </c>
      <c r="M102" s="17"/>
      <c r="N102" s="32">
        <f>IF(H102=0,0,L102/H102)</f>
        <v>-2.0367641626315676</v>
      </c>
      <c r="O102" s="28"/>
      <c r="P102" s="31">
        <f>SUM(P99:P101)</f>
        <v>-133872.47</v>
      </c>
      <c r="Q102" s="15"/>
      <c r="R102" s="32">
        <f>IF(P$12=0,0,P102/P$12)</f>
        <v>-0.43459481671406475</v>
      </c>
      <c r="S102" s="15"/>
      <c r="T102" s="31">
        <f>SUM(T99:T101)</f>
        <v>-243510.62999999998</v>
      </c>
      <c r="U102" s="15"/>
      <c r="V102" s="32">
        <f>IF(T$12=0,0,T102/T$12)</f>
        <v>-86.320065082842348</v>
      </c>
      <c r="W102" s="17"/>
      <c r="X102" s="31">
        <f>+P102-T102</f>
        <v>109638.15999999997</v>
      </c>
      <c r="Y102" s="17"/>
      <c r="Z102" s="32">
        <f>IF(T102=0,0,X102/T102)</f>
        <v>-0.45023972875434631</v>
      </c>
    </row>
    <row r="103" spans="1:26" ht="15" customHeight="1" x14ac:dyDescent="0.3">
      <c r="A103" s="10"/>
      <c r="C103" s="10"/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6">
        <v>44663.038553819446</v>
      </c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A105" s="10"/>
      <c r="B105" s="57" t="s">
        <v>297</v>
      </c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8"/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07A6-ED9D-48A4-1AE3-DBD575F20456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","309"," - ","Carts")</f>
        <v>Department 309 - Carts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30822.959999999999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30822.959999999999</v>
      </c>
      <c r="M12" s="5"/>
      <c r="N12" s="13">
        <f>IF(H12=0,0,L12/H12)</f>
        <v>0</v>
      </c>
      <c r="O12" s="11"/>
      <c r="P12" s="5">
        <f>SUM(OSRRefP13x_0)</f>
        <v>52876.57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52876.57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--5091.71</f>
        <v>5091.71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5091.71</v>
      </c>
      <c r="M13" s="3"/>
      <c r="N13" s="20">
        <f>IF(H13=0,0,L13/H13)</f>
        <v>0</v>
      </c>
      <c r="O13" s="12"/>
      <c r="P13" s="3">
        <f>--8811.81</f>
        <v>8811.81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8811.81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--25731.25</f>
        <v>25731.25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25731.25</v>
      </c>
      <c r="M15" s="3"/>
      <c r="N15" s="20">
        <f>IF(H15=0,0,L15/H15)</f>
        <v>0</v>
      </c>
      <c r="O15" s="12"/>
      <c r="P15" s="3">
        <f>--43833.27</f>
        <v>43833.27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43833.27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8" t="s">
        <v>287</v>
      </c>
      <c r="C18" s="11"/>
      <c r="D18" s="5">
        <f>SUM(OSRRefD16x_0)</f>
        <v>11465.89</v>
      </c>
      <c r="E18" s="5"/>
      <c r="F18" s="13">
        <f>IF(D$12=0,0,D18/D$12)</f>
        <v>0.37199185282659419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11465.89</v>
      </c>
      <c r="M18" s="5"/>
      <c r="N18" s="13">
        <f>IF(H18=0,0,L18/H18)</f>
        <v>0</v>
      </c>
      <c r="O18" s="11"/>
      <c r="P18" s="5">
        <f>SUM(OSRRefP16x_0)</f>
        <v>25506</v>
      </c>
      <c r="Q18" s="5"/>
      <c r="R18" s="13">
        <f>IF(P$12=0,0,P18/P$12)</f>
        <v>0.48236865590941319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25506</v>
      </c>
      <c r="Y18" s="5"/>
      <c r="Z18" s="13">
        <f>IF(T18=0,0,X18/T18)</f>
        <v>0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11465.89</v>
      </c>
      <c r="E20" s="3"/>
      <c r="F20" s="20">
        <f>IF(D$12=0,0,D20/D$12)</f>
        <v>0.37199185282659419</v>
      </c>
      <c r="G20" s="3"/>
      <c r="H20" s="3"/>
      <c r="I20" s="3"/>
      <c r="J20" s="20">
        <f>IF(H$12=0,0,H20/H$12)</f>
        <v>0</v>
      </c>
      <c r="K20" s="3"/>
      <c r="L20" s="3">
        <f>+D20-H20</f>
        <v>11465.89</v>
      </c>
      <c r="M20" s="3"/>
      <c r="N20" s="20">
        <f>IF(H20=0,0,L20/H20)</f>
        <v>0</v>
      </c>
      <c r="O20" s="12"/>
      <c r="P20" s="3">
        <v>25506</v>
      </c>
      <c r="Q20" s="3"/>
      <c r="R20" s="20">
        <f>IF(P$12=0,0,P20/P$12)</f>
        <v>0.48236865590941319</v>
      </c>
      <c r="S20" s="3"/>
      <c r="T20" s="3"/>
      <c r="U20" s="3"/>
      <c r="V20" s="20">
        <f>IF(T$12=0,0,T20/T$12)</f>
        <v>0</v>
      </c>
      <c r="W20" s="3"/>
      <c r="X20" s="3">
        <f>+P20-T20</f>
        <v>25506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7" t="s">
        <v>288</v>
      </c>
      <c r="C22" s="27"/>
      <c r="D22" s="22">
        <f>D12-D18</f>
        <v>19357.07</v>
      </c>
      <c r="E22" s="15"/>
      <c r="F22" s="21">
        <f>IF(D$12=0,0,D22/D$12)</f>
        <v>0.62800814717340581</v>
      </c>
      <c r="G22" s="15"/>
      <c r="H22" s="22">
        <f>H12-H18</f>
        <v>0</v>
      </c>
      <c r="I22" s="15"/>
      <c r="J22" s="21">
        <f>IF(H$12=0,0,H22/H$12)</f>
        <v>0</v>
      </c>
      <c r="K22" s="17"/>
      <c r="L22" s="22">
        <f>+D22-H22</f>
        <v>19357.07</v>
      </c>
      <c r="M22" s="17"/>
      <c r="N22" s="21">
        <f>IF(H22=0,0,L22/H22)</f>
        <v>0</v>
      </c>
      <c r="O22" s="28"/>
      <c r="P22" s="22">
        <f>P12-P18</f>
        <v>27370.57</v>
      </c>
      <c r="Q22" s="15"/>
      <c r="R22" s="21">
        <f>IF(P$12=0,0,P22/P$12)</f>
        <v>0.51763134409058686</v>
      </c>
      <c r="S22" s="15"/>
      <c r="T22" s="22">
        <f>T12-T18</f>
        <v>0</v>
      </c>
      <c r="U22" s="15"/>
      <c r="V22" s="21">
        <f>IF(T$12=0,0,T22/T$12)</f>
        <v>0</v>
      </c>
      <c r="W22" s="17"/>
      <c r="X22" s="22">
        <f>+P22-T22</f>
        <v>27370.57</v>
      </c>
      <c r="Y22" s="17"/>
      <c r="Z22" s="21">
        <f>IF(T22=0,0,X22/T22)</f>
        <v>0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x14ac:dyDescent="0.3">
      <c r="A24" s="11"/>
      <c r="B24" s="28" t="s">
        <v>289</v>
      </c>
      <c r="C24" s="11"/>
      <c r="D24" s="23" cm="1">
        <f t="array" ref="D24">SUM(OSRRefD22x_0)</f>
        <v>9940.2800000000007</v>
      </c>
      <c r="E24" s="23"/>
      <c r="F24" s="35">
        <f t="shared" ref="F24:F55" si="0">IF(D$12=0,0,D24/D$12)</f>
        <v>0.32249595755891064</v>
      </c>
      <c r="G24" s="23"/>
      <c r="H24" s="23" cm="1">
        <f t="array" ref="H24">SUM(OSRRefH22x_0)</f>
        <v>950.26</v>
      </c>
      <c r="I24" s="23"/>
      <c r="J24" s="35">
        <f t="shared" ref="J24:J55" si="1">IF(H$12=0,0,H24/H$12)</f>
        <v>0</v>
      </c>
      <c r="K24" s="5"/>
      <c r="L24" s="23">
        <f t="shared" ref="L24:L55" si="2">+D24-H24</f>
        <v>8990.02</v>
      </c>
      <c r="M24" s="5"/>
      <c r="N24" s="35">
        <f t="shared" ref="N24:N55" si="3">IF(H24=0,0,L24/H24)</f>
        <v>9.4605897333361408</v>
      </c>
      <c r="O24" s="11"/>
      <c r="P24" s="23" cm="1">
        <f t="array" ref="P24">SUM(OSRRefP22x_0)</f>
        <v>23534.6</v>
      </c>
      <c r="Q24" s="23"/>
      <c r="R24" s="35">
        <f t="shared" ref="R24:R55" si="4">IF(P$12=0,0,P24/P$12)</f>
        <v>0.44508560218637477</v>
      </c>
      <c r="S24" s="23"/>
      <c r="T24" s="23" cm="1">
        <f t="array" ref="T24">SUM(OSRRefT22x_0)</f>
        <v>8721.3599999999988</v>
      </c>
      <c r="U24" s="23"/>
      <c r="V24" s="35">
        <f t="shared" ref="V24:V55" si="5">IF(T$12=0,0,T24/T$12)</f>
        <v>0</v>
      </c>
      <c r="W24" s="5"/>
      <c r="X24" s="23">
        <f t="shared" ref="X24:X55" si="6">+P24-T24</f>
        <v>14813.24</v>
      </c>
      <c r="Y24" s="5"/>
      <c r="Z24" s="35">
        <f t="shared" ref="Z24:Z55" si="7">IF(T24=0,0,X24/T24)</f>
        <v>1.6985011511966026</v>
      </c>
    </row>
    <row r="25" spans="1:26" s="68" customFormat="1" ht="15" customHeight="1" outlineLevel="1" collapsed="1" x14ac:dyDescent="0.3">
      <c r="A25" s="26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110.84</v>
      </c>
      <c r="E25" s="2"/>
      <c r="F25" s="6">
        <f t="shared" si="0"/>
        <v>3.596020628778028E-3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110.84</v>
      </c>
      <c r="M25" s="2"/>
      <c r="N25" s="6">
        <f t="shared" si="3"/>
        <v>0</v>
      </c>
      <c r="O25" s="14"/>
      <c r="P25" s="2">
        <f>SUM(OSRRefP22_0x_0)</f>
        <v>145.63</v>
      </c>
      <c r="Q25" s="2"/>
      <c r="R25" s="6">
        <f t="shared" si="4"/>
        <v>2.7541499004190323E-3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145.63</v>
      </c>
      <c r="Y25" s="2"/>
      <c r="Z25" s="6">
        <f t="shared" si="7"/>
        <v>0</v>
      </c>
    </row>
    <row r="26" spans="1:26" s="69" customFormat="1" ht="15" hidden="1" customHeight="1" outlineLevel="2" x14ac:dyDescent="0.3">
      <c r="A26" s="25"/>
      <c r="B26" s="12" t="str">
        <f>CONCATENATE("          ","6112"," - ","COMPENSATION INSURANCE")</f>
        <v xml:space="preserve">          6112 - COMPENSATION INSURANCE</v>
      </c>
      <c r="C26" s="12"/>
      <c r="D26" s="8">
        <v>94.28</v>
      </c>
      <c r="E26" s="3"/>
      <c r="F26" s="7">
        <f t="shared" si="0"/>
        <v>3.0587587953914874E-3</v>
      </c>
      <c r="G26" s="3"/>
      <c r="H26" s="8"/>
      <c r="I26" s="3"/>
      <c r="J26" s="7">
        <f t="shared" si="1"/>
        <v>0</v>
      </c>
      <c r="K26" s="3"/>
      <c r="L26" s="8">
        <f t="shared" si="2"/>
        <v>94.28</v>
      </c>
      <c r="M26" s="3"/>
      <c r="N26" s="7">
        <f t="shared" si="3"/>
        <v>0</v>
      </c>
      <c r="O26" s="12"/>
      <c r="P26" s="8">
        <v>123.87</v>
      </c>
      <c r="Q26" s="3"/>
      <c r="R26" s="7">
        <f t="shared" si="4"/>
        <v>2.3426254766525136E-3</v>
      </c>
      <c r="S26" s="3"/>
      <c r="T26" s="8"/>
      <c r="U26" s="3"/>
      <c r="V26" s="7">
        <f t="shared" si="5"/>
        <v>0</v>
      </c>
      <c r="W26" s="3"/>
      <c r="X26" s="8">
        <f t="shared" si="6"/>
        <v>123.87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16.559999999999999</v>
      </c>
      <c r="E27" s="3"/>
      <c r="F27" s="7">
        <f t="shared" si="0"/>
        <v>5.3726183338654037E-4</v>
      </c>
      <c r="G27" s="3"/>
      <c r="H27" s="8"/>
      <c r="I27" s="3"/>
      <c r="J27" s="7">
        <f t="shared" si="1"/>
        <v>0</v>
      </c>
      <c r="K27" s="3"/>
      <c r="L27" s="8">
        <f t="shared" si="2"/>
        <v>16.559999999999999</v>
      </c>
      <c r="M27" s="3"/>
      <c r="N27" s="7">
        <f t="shared" si="3"/>
        <v>0</v>
      </c>
      <c r="O27" s="12"/>
      <c r="P27" s="8">
        <v>21.76</v>
      </c>
      <c r="Q27" s="3"/>
      <c r="R27" s="7">
        <f t="shared" si="4"/>
        <v>4.1152442376651892E-4</v>
      </c>
      <c r="S27" s="3"/>
      <c r="T27" s="8"/>
      <c r="U27" s="3"/>
      <c r="V27" s="7">
        <f t="shared" si="5"/>
        <v>0</v>
      </c>
      <c r="W27" s="3"/>
      <c r="X27" s="8">
        <f t="shared" si="6"/>
        <v>21.76</v>
      </c>
      <c r="Y27" s="3"/>
      <c r="Z27" s="7">
        <f t="shared" si="7"/>
        <v>0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6574.83</v>
      </c>
      <c r="E28" s="2"/>
      <c r="F28" s="6">
        <f t="shared" si="0"/>
        <v>0.21330949396164417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6574.83</v>
      </c>
      <c r="M28" s="2"/>
      <c r="N28" s="6">
        <f t="shared" si="3"/>
        <v>0</v>
      </c>
      <c r="O28" s="14"/>
      <c r="P28" s="2">
        <f>SUM(OSRRefP22_1x_0)</f>
        <v>9736.08</v>
      </c>
      <c r="Q28" s="2"/>
      <c r="R28" s="6">
        <f t="shared" si="4"/>
        <v>0.18412843344415117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9736.08</v>
      </c>
      <c r="Y28" s="2"/>
      <c r="Z28" s="6">
        <f t="shared" si="7"/>
        <v>0</v>
      </c>
    </row>
    <row r="29" spans="1:26" s="69" customFormat="1" ht="15" hidden="1" customHeight="1" outlineLevel="2" x14ac:dyDescent="0.3">
      <c r="A29" s="25"/>
      <c r="B29" s="12" t="str">
        <f>CONCATENATE("          ","6007"," - ","STUDENT HOURLY")</f>
        <v xml:space="preserve">          6007 - STUDENT HOURLY</v>
      </c>
      <c r="C29" s="12"/>
      <c r="D29" s="8">
        <v>4361.16</v>
      </c>
      <c r="E29" s="3"/>
      <c r="F29" s="7">
        <f t="shared" si="0"/>
        <v>0.14149062906352927</v>
      </c>
      <c r="G29" s="3"/>
      <c r="H29" s="8"/>
      <c r="I29" s="3"/>
      <c r="J29" s="7">
        <f t="shared" si="1"/>
        <v>0</v>
      </c>
      <c r="K29" s="3"/>
      <c r="L29" s="8">
        <f t="shared" si="2"/>
        <v>4361.16</v>
      </c>
      <c r="M29" s="3"/>
      <c r="N29" s="7">
        <f t="shared" si="3"/>
        <v>0</v>
      </c>
      <c r="O29" s="12"/>
      <c r="P29" s="8">
        <v>6798.86</v>
      </c>
      <c r="Q29" s="3"/>
      <c r="R29" s="7">
        <f t="shared" si="4"/>
        <v>0.12857982278351263</v>
      </c>
      <c r="S29" s="3"/>
      <c r="T29" s="8"/>
      <c r="U29" s="3"/>
      <c r="V29" s="7">
        <f t="shared" si="5"/>
        <v>0</v>
      </c>
      <c r="W29" s="3"/>
      <c r="X29" s="8">
        <f t="shared" si="6"/>
        <v>6798.86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5"/>
      <c r="B30" s="12" t="str">
        <f>CONCATENATE("          ","6008"," - ","STUDENT HOURLY-FICA EXEMPT")</f>
        <v xml:space="preserve">          6008 - STUDENT HOURLY-FICA EXEMPT</v>
      </c>
      <c r="C30" s="12"/>
      <c r="D30" s="8">
        <v>2213.67</v>
      </c>
      <c r="E30" s="3"/>
      <c r="F30" s="7">
        <f t="shared" si="0"/>
        <v>7.1818864898114912E-2</v>
      </c>
      <c r="G30" s="3"/>
      <c r="H30" s="8"/>
      <c r="I30" s="3"/>
      <c r="J30" s="7">
        <f t="shared" si="1"/>
        <v>0</v>
      </c>
      <c r="K30" s="3"/>
      <c r="L30" s="8">
        <f t="shared" si="2"/>
        <v>2213.67</v>
      </c>
      <c r="M30" s="3"/>
      <c r="N30" s="7">
        <f t="shared" si="3"/>
        <v>0</v>
      </c>
      <c r="O30" s="12"/>
      <c r="P30" s="8">
        <v>2937.22</v>
      </c>
      <c r="Q30" s="3"/>
      <c r="R30" s="7">
        <f t="shared" si="4"/>
        <v>5.5548610660638535E-2</v>
      </c>
      <c r="S30" s="3"/>
      <c r="T30" s="8"/>
      <c r="U30" s="3"/>
      <c r="V30" s="7">
        <f t="shared" si="5"/>
        <v>0</v>
      </c>
      <c r="W30" s="3"/>
      <c r="X30" s="8">
        <f t="shared" si="6"/>
        <v>2937.22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6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6.62</v>
      </c>
      <c r="E31" s="2"/>
      <c r="F31" s="6">
        <f t="shared" si="0"/>
        <v>2.1477495996490928E-4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6.62</v>
      </c>
      <c r="M31" s="2"/>
      <c r="N31" s="6">
        <f t="shared" si="3"/>
        <v>0</v>
      </c>
      <c r="O31" s="14"/>
      <c r="P31" s="2">
        <f>SUM(OSRRefP22_2x_0)</f>
        <v>46.31</v>
      </c>
      <c r="Q31" s="2"/>
      <c r="R31" s="6">
        <f t="shared" si="4"/>
        <v>8.75813238264131E-4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46.31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5"/>
      <c r="B32" s="12" t="str">
        <f>CONCATENATE("          ","6362"," - ","ADVERTISING EXPENSE")</f>
        <v xml:space="preserve">          6362 - ADVERTISING EXPENSE</v>
      </c>
      <c r="C32" s="12"/>
      <c r="D32" s="8">
        <v>6.62</v>
      </c>
      <c r="E32" s="3"/>
      <c r="F32" s="7">
        <f t="shared" si="0"/>
        <v>2.1477495996490928E-4</v>
      </c>
      <c r="G32" s="3"/>
      <c r="H32" s="8"/>
      <c r="I32" s="3"/>
      <c r="J32" s="7">
        <f t="shared" si="1"/>
        <v>0</v>
      </c>
      <c r="K32" s="3"/>
      <c r="L32" s="8">
        <f t="shared" si="2"/>
        <v>6.62</v>
      </c>
      <c r="M32" s="3"/>
      <c r="N32" s="7">
        <f t="shared" si="3"/>
        <v>0</v>
      </c>
      <c r="O32" s="12"/>
      <c r="P32" s="8">
        <v>46.31</v>
      </c>
      <c r="Q32" s="3"/>
      <c r="R32" s="7">
        <f t="shared" si="4"/>
        <v>8.75813238264131E-4</v>
      </c>
      <c r="S32" s="3"/>
      <c r="T32" s="8"/>
      <c r="U32" s="3"/>
      <c r="V32" s="7">
        <f t="shared" si="5"/>
        <v>0</v>
      </c>
      <c r="W32" s="3"/>
      <c r="X32" s="8">
        <f t="shared" si="6"/>
        <v>46.31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6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2.13</v>
      </c>
      <c r="E33" s="2"/>
      <c r="F33" s="6">
        <f t="shared" si="0"/>
        <v>6.9104330018920958E-5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2.13</v>
      </c>
      <c r="M33" s="2"/>
      <c r="N33" s="6">
        <f t="shared" si="3"/>
        <v>0</v>
      </c>
      <c r="O33" s="14"/>
      <c r="P33" s="2">
        <f>SUM(OSRRefP22_3x_0)</f>
        <v>-2.98</v>
      </c>
      <c r="Q33" s="2"/>
      <c r="R33" s="6">
        <f t="shared" si="4"/>
        <v>-5.6357664651848637E-5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-2.98</v>
      </c>
      <c r="Y33" s="2"/>
      <c r="Z33" s="6">
        <f t="shared" si="7"/>
        <v>0</v>
      </c>
    </row>
    <row r="34" spans="1:26" s="69" customFormat="1" ht="15" hidden="1" customHeight="1" outlineLevel="2" x14ac:dyDescent="0.3">
      <c r="A34" s="25"/>
      <c r="B34" s="12" t="str">
        <f>CONCATENATE("          ","6272"," - ","CASH (OVER/SHORT)")</f>
        <v xml:space="preserve">          6272 - CASH (OVER/SHORT)</v>
      </c>
      <c r="C34" s="12"/>
      <c r="D34" s="8">
        <v>2.13</v>
      </c>
      <c r="E34" s="3"/>
      <c r="F34" s="7">
        <f t="shared" si="0"/>
        <v>6.9104330018920958E-5</v>
      </c>
      <c r="G34" s="3"/>
      <c r="H34" s="8"/>
      <c r="I34" s="3"/>
      <c r="J34" s="7">
        <f t="shared" si="1"/>
        <v>0</v>
      </c>
      <c r="K34" s="3"/>
      <c r="L34" s="8">
        <f t="shared" si="2"/>
        <v>2.13</v>
      </c>
      <c r="M34" s="3"/>
      <c r="N34" s="7">
        <f t="shared" si="3"/>
        <v>0</v>
      </c>
      <c r="O34" s="12"/>
      <c r="P34" s="8">
        <v>-2.98</v>
      </c>
      <c r="Q34" s="3"/>
      <c r="R34" s="7">
        <f t="shared" si="4"/>
        <v>-5.6357664651848637E-5</v>
      </c>
      <c r="S34" s="3"/>
      <c r="T34" s="8"/>
      <c r="U34" s="3"/>
      <c r="V34" s="7">
        <f t="shared" si="5"/>
        <v>0</v>
      </c>
      <c r="W34" s="3"/>
      <c r="X34" s="8">
        <f t="shared" si="6"/>
        <v>-2.98</v>
      </c>
      <c r="Y34" s="3"/>
      <c r="Z34" s="7">
        <f t="shared" si="7"/>
        <v>0</v>
      </c>
    </row>
    <row r="35" spans="1:26" s="68" customFormat="1" ht="15" customHeight="1" outlineLevel="1" collapsed="1" x14ac:dyDescent="0.3">
      <c r="A35" s="26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1602.07</v>
      </c>
      <c r="E35" s="2"/>
      <c r="F35" s="6">
        <f t="shared" si="0"/>
        <v>5.1976513611930848E-2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1602.07</v>
      </c>
      <c r="M35" s="2"/>
      <c r="N35" s="6">
        <f t="shared" si="3"/>
        <v>0</v>
      </c>
      <c r="O35" s="14"/>
      <c r="P35" s="2">
        <f>SUM(OSRRefP22_4x_0)</f>
        <v>2756.87</v>
      </c>
      <c r="Q35" s="2"/>
      <c r="R35" s="6">
        <f t="shared" si="4"/>
        <v>5.2137837231121455E-2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2756.87</v>
      </c>
      <c r="Y35" s="2"/>
      <c r="Z35" s="6">
        <f t="shared" si="7"/>
        <v>0</v>
      </c>
    </row>
    <row r="36" spans="1:26" s="69" customFormat="1" ht="15" hidden="1" customHeight="1" outlineLevel="2" x14ac:dyDescent="0.3">
      <c r="A36" s="25"/>
      <c r="B36" s="12" t="str">
        <f>CONCATENATE("          ","6381"," - ","BANK/CREDIT CARD FEES")</f>
        <v xml:space="preserve">          6381 - BANK/CREDIT CARD FEES</v>
      </c>
      <c r="C36" s="12"/>
      <c r="D36" s="8">
        <v>1602.07</v>
      </c>
      <c r="E36" s="3"/>
      <c r="F36" s="7">
        <f t="shared" si="0"/>
        <v>5.1976513611930848E-2</v>
      </c>
      <c r="G36" s="3"/>
      <c r="H36" s="8"/>
      <c r="I36" s="3"/>
      <c r="J36" s="7">
        <f t="shared" si="1"/>
        <v>0</v>
      </c>
      <c r="K36" s="3"/>
      <c r="L36" s="8">
        <f t="shared" si="2"/>
        <v>1602.07</v>
      </c>
      <c r="M36" s="3"/>
      <c r="N36" s="7">
        <f t="shared" si="3"/>
        <v>0</v>
      </c>
      <c r="O36" s="12"/>
      <c r="P36" s="8">
        <v>2756.87</v>
      </c>
      <c r="Q36" s="3"/>
      <c r="R36" s="7">
        <f t="shared" si="4"/>
        <v>5.2137837231121455E-2</v>
      </c>
      <c r="S36" s="3"/>
      <c r="T36" s="8"/>
      <c r="U36" s="3"/>
      <c r="V36" s="7">
        <f t="shared" si="5"/>
        <v>0</v>
      </c>
      <c r="W36" s="3"/>
      <c r="X36" s="8">
        <f t="shared" si="6"/>
        <v>2756.87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6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1.9107185033494515E-2</v>
      </c>
      <c r="G37" s="2"/>
      <c r="H37" s="2">
        <f>SUM(OSRRefH22_5x_0)</f>
        <v>588.16999999999996</v>
      </c>
      <c r="I37" s="2"/>
      <c r="J37" s="6">
        <f t="shared" si="1"/>
        <v>0</v>
      </c>
      <c r="K37" s="2"/>
      <c r="L37" s="2">
        <f t="shared" si="2"/>
        <v>0.7700000000000955</v>
      </c>
      <c r="M37" s="2"/>
      <c r="N37" s="6">
        <f t="shared" si="3"/>
        <v>1.3091453151301419E-3</v>
      </c>
      <c r="O37" s="14"/>
      <c r="P37" s="2">
        <f>SUM(OSRRefP22_5x_0)</f>
        <v>5300.46</v>
      </c>
      <c r="Q37" s="2"/>
      <c r="R37" s="6">
        <f t="shared" si="4"/>
        <v>0.10024212992635491</v>
      </c>
      <c r="S37" s="2"/>
      <c r="T37" s="2">
        <f>SUM(OSRRefT22_5x_0)</f>
        <v>5029.3100000000004</v>
      </c>
      <c r="U37" s="2"/>
      <c r="V37" s="6">
        <f t="shared" si="5"/>
        <v>0</v>
      </c>
      <c r="W37" s="2"/>
      <c r="X37" s="2">
        <f t="shared" si="6"/>
        <v>271.14999999999964</v>
      </c>
      <c r="Y37" s="2"/>
      <c r="Z37" s="6">
        <f t="shared" si="7"/>
        <v>5.3913956387655483E-2</v>
      </c>
    </row>
    <row r="38" spans="1:26" s="69" customFormat="1" ht="15" hidden="1" customHeight="1" outlineLevel="2" x14ac:dyDescent="0.3">
      <c r="A38" s="25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588.94000000000005</v>
      </c>
      <c r="E38" s="3"/>
      <c r="F38" s="7">
        <f t="shared" si="0"/>
        <v>1.9107185033494515E-2</v>
      </c>
      <c r="G38" s="3"/>
      <c r="H38" s="8">
        <v>588.16999999999996</v>
      </c>
      <c r="I38" s="3"/>
      <c r="J38" s="7">
        <f t="shared" si="1"/>
        <v>0</v>
      </c>
      <c r="K38" s="3"/>
      <c r="L38" s="8">
        <f t="shared" si="2"/>
        <v>0.7700000000000955</v>
      </c>
      <c r="M38" s="3"/>
      <c r="N38" s="7">
        <f t="shared" si="3"/>
        <v>1.3091453151301419E-3</v>
      </c>
      <c r="O38" s="12"/>
      <c r="P38" s="8">
        <v>5300.46</v>
      </c>
      <c r="Q38" s="3"/>
      <c r="R38" s="7">
        <f t="shared" si="4"/>
        <v>0.10024212992635491</v>
      </c>
      <c r="S38" s="3"/>
      <c r="T38" s="8">
        <v>5029.3100000000004</v>
      </c>
      <c r="U38" s="3"/>
      <c r="V38" s="7">
        <f t="shared" si="5"/>
        <v>0</v>
      </c>
      <c r="W38" s="3"/>
      <c r="X38" s="8">
        <f t="shared" si="6"/>
        <v>271.14999999999964</v>
      </c>
      <c r="Y38" s="3"/>
      <c r="Z38" s="7">
        <f t="shared" si="7"/>
        <v>5.3913956387655483E-2</v>
      </c>
    </row>
    <row r="39" spans="1:26" s="68" customFormat="1" ht="15" customHeight="1" outlineLevel="1" collapsed="1" x14ac:dyDescent="0.3">
      <c r="A39" s="26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5.6735904011928151E-4</v>
      </c>
      <c r="S39" s="2"/>
      <c r="T39" s="2">
        <f>SUM(OSRRefT22_6x_0)</f>
        <v>12</v>
      </c>
      <c r="U39" s="2"/>
      <c r="V39" s="6">
        <f t="shared" si="5"/>
        <v>0</v>
      </c>
      <c r="W39" s="2"/>
      <c r="X39" s="2">
        <f t="shared" si="6"/>
        <v>18</v>
      </c>
      <c r="Y39" s="2"/>
      <c r="Z39" s="6">
        <f t="shared" si="7"/>
        <v>1.5</v>
      </c>
    </row>
    <row r="40" spans="1:26" s="69" customFormat="1" ht="15" hidden="1" customHeight="1" outlineLevel="2" x14ac:dyDescent="0.3">
      <c r="A40" s="25"/>
      <c r="B40" s="12" t="str">
        <f>CONCATENATE("          ","6351"," - ","EQUIPMENT RENTAL")</f>
        <v xml:space="preserve">          6351 - EQUIPMENT RENTAL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30</v>
      </c>
      <c r="Q40" s="3"/>
      <c r="R40" s="7">
        <f t="shared" si="4"/>
        <v>5.6735904011928151E-4</v>
      </c>
      <c r="S40" s="3"/>
      <c r="T40" s="8">
        <v>12</v>
      </c>
      <c r="U40" s="3"/>
      <c r="V40" s="7">
        <f t="shared" si="5"/>
        <v>0</v>
      </c>
      <c r="W40" s="3"/>
      <c r="X40" s="8">
        <f t="shared" si="6"/>
        <v>18</v>
      </c>
      <c r="Y40" s="3"/>
      <c r="Z40" s="7">
        <f t="shared" si="7"/>
        <v>1.5</v>
      </c>
    </row>
    <row r="41" spans="1:26" s="68" customFormat="1" ht="15" customHeight="1" outlineLevel="1" collapsed="1" x14ac:dyDescent="0.3">
      <c r="A41" s="26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0</v>
      </c>
      <c r="E41" s="2"/>
      <c r="F41" s="6">
        <f t="shared" si="0"/>
        <v>0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SUM(OSRRefP22_7x_0)</f>
        <v>846.65</v>
      </c>
      <c r="Q41" s="2"/>
      <c r="R41" s="6">
        <f t="shared" si="4"/>
        <v>1.6011817710566326E-2</v>
      </c>
      <c r="S41" s="2"/>
      <c r="T41" s="2">
        <f>SUM(OSRRefT22_7x_0)</f>
        <v>575</v>
      </c>
      <c r="U41" s="2"/>
      <c r="V41" s="6">
        <f t="shared" si="5"/>
        <v>0</v>
      </c>
      <c r="W41" s="2"/>
      <c r="X41" s="2">
        <f t="shared" si="6"/>
        <v>271.64999999999998</v>
      </c>
      <c r="Y41" s="2"/>
      <c r="Z41" s="6">
        <f t="shared" si="7"/>
        <v>0.47243478260869559</v>
      </c>
    </row>
    <row r="42" spans="1:26" s="69" customFormat="1" ht="15" hidden="1" customHeight="1" outlineLevel="2" x14ac:dyDescent="0.3">
      <c r="A42" s="25"/>
      <c r="B42" s="12" t="str">
        <f>CONCATENATE("          ","6279"," - ","GENERAL EXPENSE")</f>
        <v xml:space="preserve">          6279 - GENERAL EXPENSE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846.65</v>
      </c>
      <c r="Q42" s="3"/>
      <c r="R42" s="7">
        <f t="shared" si="4"/>
        <v>1.6011817710566326E-2</v>
      </c>
      <c r="S42" s="3"/>
      <c r="T42" s="8">
        <v>575</v>
      </c>
      <c r="U42" s="3"/>
      <c r="V42" s="7">
        <f t="shared" si="5"/>
        <v>0</v>
      </c>
      <c r="W42" s="3"/>
      <c r="X42" s="8">
        <f t="shared" si="6"/>
        <v>271.64999999999998</v>
      </c>
      <c r="Y42" s="3"/>
      <c r="Z42" s="7">
        <f t="shared" si="7"/>
        <v>0.47243478260869559</v>
      </c>
    </row>
    <row r="43" spans="1:26" s="68" customFormat="1" ht="15" customHeight="1" outlineLevel="1" collapsed="1" x14ac:dyDescent="0.3">
      <c r="A43" s="26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428.55</v>
      </c>
      <c r="E43" s="2"/>
      <c r="F43" s="6">
        <f t="shared" si="0"/>
        <v>1.3903596539722337E-2</v>
      </c>
      <c r="G43" s="2"/>
      <c r="H43" s="2">
        <f>SUM(OSRRefH22_8x_0)</f>
        <v>48.23</v>
      </c>
      <c r="I43" s="2"/>
      <c r="J43" s="6">
        <f t="shared" si="1"/>
        <v>0</v>
      </c>
      <c r="K43" s="2"/>
      <c r="L43" s="2">
        <f t="shared" si="2"/>
        <v>380.32</v>
      </c>
      <c r="M43" s="2"/>
      <c r="N43" s="6">
        <f t="shared" si="3"/>
        <v>7.8855484138503007</v>
      </c>
      <c r="O43" s="14"/>
      <c r="P43" s="2">
        <f>SUM(OSRRefP22_8x_0)</f>
        <v>2020.17</v>
      </c>
      <c r="Q43" s="2"/>
      <c r="R43" s="6">
        <f t="shared" si="4"/>
        <v>3.8205390402592306E-2</v>
      </c>
      <c r="S43" s="2"/>
      <c r="T43" s="2">
        <f>SUM(OSRRefT22_8x_0)</f>
        <v>1280.28</v>
      </c>
      <c r="U43" s="2"/>
      <c r="V43" s="6">
        <f t="shared" si="5"/>
        <v>0</v>
      </c>
      <c r="W43" s="2"/>
      <c r="X43" s="2">
        <f t="shared" si="6"/>
        <v>739.8900000000001</v>
      </c>
      <c r="Y43" s="2"/>
      <c r="Z43" s="6">
        <f t="shared" si="7"/>
        <v>0.57791264410910126</v>
      </c>
    </row>
    <row r="44" spans="1:26" s="69" customFormat="1" ht="15" hidden="1" customHeight="1" outlineLevel="2" x14ac:dyDescent="0.3">
      <c r="A44" s="25"/>
      <c r="B44" s="12" t="str">
        <f>CONCATENATE("          ","6373"," - ","MAINTENANCE CONTRACTS")</f>
        <v xml:space="preserve">          6373 - MAINTENANCE CONTRACTS</v>
      </c>
      <c r="C44" s="12"/>
      <c r="D44" s="8">
        <v>49.93</v>
      </c>
      <c r="E44" s="3"/>
      <c r="F44" s="7">
        <f t="shared" si="0"/>
        <v>1.6198963370163022E-3</v>
      </c>
      <c r="G44" s="3"/>
      <c r="H44" s="8">
        <v>48.23</v>
      </c>
      <c r="I44" s="3"/>
      <c r="J44" s="7">
        <f t="shared" si="1"/>
        <v>0</v>
      </c>
      <c r="K44" s="3"/>
      <c r="L44" s="8">
        <f t="shared" si="2"/>
        <v>1.7000000000000028</v>
      </c>
      <c r="M44" s="3"/>
      <c r="N44" s="7">
        <f t="shared" si="3"/>
        <v>3.5247771096827765E-2</v>
      </c>
      <c r="O44" s="12"/>
      <c r="P44" s="8">
        <v>147.76</v>
      </c>
      <c r="Q44" s="3"/>
      <c r="R44" s="7">
        <f t="shared" si="4"/>
        <v>2.7944323922675014E-3</v>
      </c>
      <c r="S44" s="3"/>
      <c r="T44" s="8">
        <v>262.58999999999997</v>
      </c>
      <c r="U44" s="3"/>
      <c r="V44" s="7">
        <f t="shared" si="5"/>
        <v>0</v>
      </c>
      <c r="W44" s="3"/>
      <c r="X44" s="8">
        <f t="shared" si="6"/>
        <v>-114.82999999999998</v>
      </c>
      <c r="Y44" s="3"/>
      <c r="Z44" s="7">
        <f t="shared" si="7"/>
        <v>-0.43729768841159222</v>
      </c>
    </row>
    <row r="45" spans="1:26" s="69" customFormat="1" ht="15" hidden="1" customHeight="1" outlineLevel="2" x14ac:dyDescent="0.3">
      <c r="A45" s="25"/>
      <c r="B45" s="12" t="str">
        <f>CONCATENATE("          ","6375"," - ","OUTSIDE REPAIRS &amp; MAINTENANCE")</f>
        <v xml:space="preserve">          6375 - OUTSIDE REPAIRS &amp; MAINTENANCE</v>
      </c>
      <c r="C45" s="12"/>
      <c r="D45" s="8">
        <v>378.62</v>
      </c>
      <c r="E45" s="3"/>
      <c r="F45" s="7">
        <f t="shared" si="0"/>
        <v>1.2283700202706036E-2</v>
      </c>
      <c r="G45" s="3"/>
      <c r="H45" s="8"/>
      <c r="I45" s="3"/>
      <c r="J45" s="7">
        <f t="shared" si="1"/>
        <v>0</v>
      </c>
      <c r="K45" s="3"/>
      <c r="L45" s="8">
        <f t="shared" si="2"/>
        <v>378.62</v>
      </c>
      <c r="M45" s="3"/>
      <c r="N45" s="7">
        <f t="shared" si="3"/>
        <v>0</v>
      </c>
      <c r="O45" s="12"/>
      <c r="P45" s="8">
        <v>1872.41</v>
      </c>
      <c r="Q45" s="3"/>
      <c r="R45" s="7">
        <f t="shared" si="4"/>
        <v>3.5410958010324803E-2</v>
      </c>
      <c r="S45" s="3"/>
      <c r="T45" s="8">
        <v>1017.69</v>
      </c>
      <c r="U45" s="3"/>
      <c r="V45" s="7">
        <f t="shared" si="5"/>
        <v>0</v>
      </c>
      <c r="W45" s="3"/>
      <c r="X45" s="8">
        <f t="shared" si="6"/>
        <v>854.72</v>
      </c>
      <c r="Y45" s="3"/>
      <c r="Z45" s="7">
        <f t="shared" si="7"/>
        <v>0.83986282659749034</v>
      </c>
    </row>
    <row r="46" spans="1:26" s="68" customFormat="1" ht="15" customHeight="1" outlineLevel="1" collapsed="1" x14ac:dyDescent="0.3">
      <c r="A46" s="26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409.85</v>
      </c>
      <c r="E46" s="2"/>
      <c r="F46" s="6">
        <f t="shared" si="0"/>
        <v>1.3296905942842609E-2</v>
      </c>
      <c r="G46" s="2"/>
      <c r="H46" s="2">
        <f>SUM(OSRRefH22_9x_0)</f>
        <v>283.86</v>
      </c>
      <c r="I46" s="2"/>
      <c r="J46" s="6">
        <f t="shared" si="1"/>
        <v>0</v>
      </c>
      <c r="K46" s="2"/>
      <c r="L46" s="2">
        <f t="shared" si="2"/>
        <v>125.99000000000001</v>
      </c>
      <c r="M46" s="2"/>
      <c r="N46" s="6">
        <f t="shared" si="3"/>
        <v>0.44384555766927358</v>
      </c>
      <c r="O46" s="14"/>
      <c r="P46" s="2">
        <f>SUM(OSRRefP22_9x_0)</f>
        <v>1870.49</v>
      </c>
      <c r="Q46" s="2"/>
      <c r="R46" s="6">
        <f t="shared" si="4"/>
        <v>3.5374647031757168E-2</v>
      </c>
      <c r="S46" s="2"/>
      <c r="T46" s="2">
        <f>SUM(OSRRefT22_9x_0)</f>
        <v>1460.45</v>
      </c>
      <c r="U46" s="2"/>
      <c r="V46" s="6">
        <f t="shared" si="5"/>
        <v>0</v>
      </c>
      <c r="W46" s="2"/>
      <c r="X46" s="2">
        <f t="shared" si="6"/>
        <v>410.03999999999996</v>
      </c>
      <c r="Y46" s="2"/>
      <c r="Z46" s="6">
        <f t="shared" si="7"/>
        <v>0.28076277859563831</v>
      </c>
    </row>
    <row r="47" spans="1:26" s="69" customFormat="1" ht="15" hidden="1" customHeight="1" outlineLevel="2" x14ac:dyDescent="0.3">
      <c r="A47" s="25"/>
      <c r="B47" s="12" t="str">
        <f>CONCATENATE("          ","6282"," - ","JANITORIAL/EXTERMINATOR EXPENS")</f>
        <v xml:space="preserve">          6282 - JANITORIAL/EXTERMINATOR EXPENS</v>
      </c>
      <c r="C47" s="12"/>
      <c r="D47" s="8">
        <v>409.85</v>
      </c>
      <c r="E47" s="3"/>
      <c r="F47" s="7">
        <f t="shared" si="0"/>
        <v>1.3296905942842609E-2</v>
      </c>
      <c r="G47" s="3"/>
      <c r="H47" s="8">
        <v>283.86</v>
      </c>
      <c r="I47" s="3"/>
      <c r="J47" s="7">
        <f t="shared" si="1"/>
        <v>0</v>
      </c>
      <c r="K47" s="3"/>
      <c r="L47" s="8">
        <f t="shared" si="2"/>
        <v>125.99000000000001</v>
      </c>
      <c r="M47" s="3"/>
      <c r="N47" s="7">
        <f t="shared" si="3"/>
        <v>0.44384555766927358</v>
      </c>
      <c r="O47" s="12"/>
      <c r="P47" s="8">
        <v>1624.65</v>
      </c>
      <c r="Q47" s="3"/>
      <c r="R47" s="7">
        <f t="shared" si="4"/>
        <v>3.0725328817659697E-2</v>
      </c>
      <c r="S47" s="3"/>
      <c r="T47" s="8">
        <v>1633.49</v>
      </c>
      <c r="U47" s="3"/>
      <c r="V47" s="7">
        <f t="shared" si="5"/>
        <v>0</v>
      </c>
      <c r="W47" s="3"/>
      <c r="X47" s="8">
        <f t="shared" si="6"/>
        <v>-8.8399999999999181</v>
      </c>
      <c r="Y47" s="3"/>
      <c r="Z47" s="7">
        <f t="shared" si="7"/>
        <v>-5.41172581405452E-3</v>
      </c>
    </row>
    <row r="48" spans="1:26" s="69" customFormat="1" ht="15" hidden="1" customHeight="1" outlineLevel="2" x14ac:dyDescent="0.3">
      <c r="A48" s="25"/>
      <c r="B48" s="12" t="str">
        <f>CONCATENATE("          ","6285"," - ","JANITORIAL SERVICES")</f>
        <v xml:space="preserve">          6285 - JANITORIAL SERVICES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245.84</v>
      </c>
      <c r="Q48" s="3"/>
      <c r="R48" s="7">
        <f t="shared" si="4"/>
        <v>4.6493182140974728E-3</v>
      </c>
      <c r="S48" s="3"/>
      <c r="T48" s="8">
        <v>-173.04</v>
      </c>
      <c r="U48" s="3"/>
      <c r="V48" s="7">
        <f t="shared" si="5"/>
        <v>0</v>
      </c>
      <c r="W48" s="3"/>
      <c r="X48" s="8">
        <f t="shared" si="6"/>
        <v>418.88</v>
      </c>
      <c r="Y48" s="3"/>
      <c r="Z48" s="7">
        <f t="shared" si="7"/>
        <v>-2.4207119741100325</v>
      </c>
    </row>
    <row r="49" spans="1:26" s="68" customFormat="1" ht="15" customHeight="1" outlineLevel="1" collapsed="1" x14ac:dyDescent="0.3">
      <c r="A49" s="26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186.45</v>
      </c>
      <c r="E49" s="2"/>
      <c r="F49" s="6">
        <f t="shared" si="0"/>
        <v>6.0490621277125879E-3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186.45</v>
      </c>
      <c r="M49" s="2"/>
      <c r="N49" s="6">
        <f t="shared" si="3"/>
        <v>0</v>
      </c>
      <c r="O49" s="14"/>
      <c r="P49" s="2">
        <f>SUM(OSRRefP22_10x_0)</f>
        <v>394.91999999999996</v>
      </c>
      <c r="Q49" s="2"/>
      <c r="R49" s="6">
        <f t="shared" si="4"/>
        <v>7.4687144041302219E-3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394.91999999999996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5"/>
      <c r="B50" s="12" t="str">
        <f>CONCATENATE("          ","6241"," - ","OFFICE EXPENSE")</f>
        <v xml:space="preserve">          6241 - OFFICE EXPENSE</v>
      </c>
      <c r="C50" s="12"/>
      <c r="D50" s="8">
        <v>17.63</v>
      </c>
      <c r="E50" s="3"/>
      <c r="F50" s="7">
        <f t="shared" si="0"/>
        <v>5.7197621513313448E-4</v>
      </c>
      <c r="G50" s="3"/>
      <c r="H50" s="8"/>
      <c r="I50" s="3"/>
      <c r="J50" s="7">
        <f t="shared" si="1"/>
        <v>0</v>
      </c>
      <c r="K50" s="3"/>
      <c r="L50" s="8">
        <f t="shared" si="2"/>
        <v>17.63</v>
      </c>
      <c r="M50" s="3"/>
      <c r="N50" s="7">
        <f t="shared" si="3"/>
        <v>0</v>
      </c>
      <c r="O50" s="12"/>
      <c r="P50" s="8">
        <v>28.64</v>
      </c>
      <c r="Q50" s="3"/>
      <c r="R50" s="7">
        <f t="shared" si="4"/>
        <v>5.4163876363387412E-4</v>
      </c>
      <c r="S50" s="3"/>
      <c r="T50" s="8"/>
      <c r="U50" s="3"/>
      <c r="V50" s="7">
        <f t="shared" si="5"/>
        <v>0</v>
      </c>
      <c r="W50" s="3"/>
      <c r="X50" s="8">
        <f t="shared" si="6"/>
        <v>28.64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","6247"," - ","STORE SUPPLIES")</f>
        <v xml:space="preserve">          6247 - STORE SUPPLIES</v>
      </c>
      <c r="C51" s="12"/>
      <c r="D51" s="8">
        <v>168.82</v>
      </c>
      <c r="E51" s="3"/>
      <c r="F51" s="7">
        <f t="shared" si="0"/>
        <v>5.4770859125794534E-3</v>
      </c>
      <c r="G51" s="3"/>
      <c r="H51" s="8"/>
      <c r="I51" s="3"/>
      <c r="J51" s="7">
        <f t="shared" si="1"/>
        <v>0</v>
      </c>
      <c r="K51" s="3"/>
      <c r="L51" s="8">
        <f t="shared" si="2"/>
        <v>168.82</v>
      </c>
      <c r="M51" s="3"/>
      <c r="N51" s="7">
        <f t="shared" si="3"/>
        <v>0</v>
      </c>
      <c r="O51" s="12"/>
      <c r="P51" s="8">
        <v>366.28</v>
      </c>
      <c r="Q51" s="3"/>
      <c r="R51" s="7">
        <f t="shared" si="4"/>
        <v>6.9270756404963482E-3</v>
      </c>
      <c r="S51" s="3"/>
      <c r="T51" s="8"/>
      <c r="U51" s="3"/>
      <c r="V51" s="7">
        <f t="shared" si="5"/>
        <v>0</v>
      </c>
      <c r="W51" s="3"/>
      <c r="X51" s="8">
        <f t="shared" si="6"/>
        <v>366.28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6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9.7330042280170366E-4</v>
      </c>
      <c r="G52" s="2"/>
      <c r="H52" s="2">
        <f>SUM(OSRRefH22_11x_0)</f>
        <v>30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SUM(OSRRefP22_11x_0)</f>
        <v>270</v>
      </c>
      <c r="Q52" s="2"/>
      <c r="R52" s="6">
        <f t="shared" si="4"/>
        <v>5.1062313610735341E-3</v>
      </c>
      <c r="S52" s="2"/>
      <c r="T52" s="2">
        <f>SUM(OSRRefT22_11x_0)</f>
        <v>364.32</v>
      </c>
      <c r="U52" s="2"/>
      <c r="V52" s="6">
        <f t="shared" si="5"/>
        <v>0</v>
      </c>
      <c r="W52" s="2"/>
      <c r="X52" s="2">
        <f t="shared" si="6"/>
        <v>-94.32</v>
      </c>
      <c r="Y52" s="2"/>
      <c r="Z52" s="6">
        <f t="shared" si="7"/>
        <v>-0.25889328063241107</v>
      </c>
    </row>
    <row r="53" spans="1:26" s="69" customFormat="1" ht="15" hidden="1" customHeight="1" outlineLevel="2" x14ac:dyDescent="0.3">
      <c r="A53" s="25"/>
      <c r="B53" s="12" t="str">
        <f>CONCATENATE("          ","6309"," - ","TELEPHONE")</f>
        <v xml:space="preserve">          6309 - TELEPHONE</v>
      </c>
      <c r="C53" s="12"/>
      <c r="D53" s="8">
        <v>30</v>
      </c>
      <c r="E53" s="3"/>
      <c r="F53" s="7">
        <f t="shared" si="0"/>
        <v>9.7330042280170366E-4</v>
      </c>
      <c r="G53" s="3"/>
      <c r="H53" s="8">
        <v>30</v>
      </c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270</v>
      </c>
      <c r="Q53" s="3"/>
      <c r="R53" s="7">
        <f t="shared" si="4"/>
        <v>5.1062313610735341E-3</v>
      </c>
      <c r="S53" s="3"/>
      <c r="T53" s="8">
        <v>364.32</v>
      </c>
      <c r="U53" s="3"/>
      <c r="V53" s="7">
        <f t="shared" si="5"/>
        <v>0</v>
      </c>
      <c r="W53" s="3"/>
      <c r="X53" s="8">
        <f t="shared" si="6"/>
        <v>-94.32</v>
      </c>
      <c r="Y53" s="3"/>
      <c r="Z53" s="7">
        <f t="shared" si="7"/>
        <v>-0.25889328063241107</v>
      </c>
    </row>
    <row r="54" spans="1:26" s="68" customFormat="1" ht="15" customHeight="1" outlineLevel="1" collapsed="1" x14ac:dyDescent="0.3">
      <c r="A54" s="26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0</v>
      </c>
      <c r="E54" s="2"/>
      <c r="F54" s="6">
        <f t="shared" si="0"/>
        <v>0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2.2694361604771261E-3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69" customFormat="1" ht="15" hidden="1" customHeight="1" outlineLevel="2" x14ac:dyDescent="0.3">
      <c r="A55" s="25"/>
      <c r="B55" s="12" t="str">
        <f>CONCATENATE("          ","6376"," - ","TRAINING")</f>
        <v xml:space="preserve">          6376 - TRAINING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120</v>
      </c>
      <c r="Q55" s="3"/>
      <c r="R55" s="7">
        <f t="shared" si="4"/>
        <v>2.2694361604771261E-3</v>
      </c>
      <c r="S55" s="3"/>
      <c r="T55" s="8"/>
      <c r="U55" s="3"/>
      <c r="V55" s="7">
        <f t="shared" si="5"/>
        <v>0</v>
      </c>
      <c r="W55" s="3"/>
      <c r="X55" s="8">
        <f t="shared" si="6"/>
        <v>120</v>
      </c>
      <c r="Y55" s="3"/>
      <c r="Z55" s="7">
        <f t="shared" si="7"/>
        <v>0</v>
      </c>
    </row>
    <row r="56" spans="1:26" s="64" customFormat="1" ht="15" customHeight="1" x14ac:dyDescent="0.3">
      <c r="A56" s="36"/>
      <c r="B56" s="36"/>
      <c r="C56" s="36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2" customFormat="1" ht="15" customHeight="1" x14ac:dyDescent="0.3">
      <c r="A57" s="11"/>
      <c r="B57" s="28" t="s">
        <v>290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7" t="s">
        <v>291</v>
      </c>
      <c r="C59" s="27"/>
      <c r="D59" s="22">
        <f>+D22-D24+D57</f>
        <v>9416.7899999999991</v>
      </c>
      <c r="E59" s="15"/>
      <c r="F59" s="21">
        <f>IF(D$12=0,0,D59/D$12)</f>
        <v>0.30551218961449517</v>
      </c>
      <c r="G59" s="15"/>
      <c r="H59" s="22">
        <f>+H22-H24+H57</f>
        <v>-950.26</v>
      </c>
      <c r="I59" s="15"/>
      <c r="J59" s="21">
        <f>IF(H$12=0,0,H59/H$12)</f>
        <v>0</v>
      </c>
      <c r="K59" s="17"/>
      <c r="L59" s="22">
        <f>+D59-H59</f>
        <v>10367.049999999999</v>
      </c>
      <c r="M59" s="17"/>
      <c r="N59" s="21">
        <f>IF(H59=0,0,L59/H59)</f>
        <v>-10.909698398333088</v>
      </c>
      <c r="O59" s="28"/>
      <c r="P59" s="22">
        <f>+P22-P24+P57</f>
        <v>3835.9700000000012</v>
      </c>
      <c r="Q59" s="15"/>
      <c r="R59" s="21">
        <f>IF(P$12=0,0,P59/P$12)</f>
        <v>7.2545741904212036E-2</v>
      </c>
      <c r="S59" s="15"/>
      <c r="T59" s="22">
        <f>+T22-T24+T57</f>
        <v>-8721.3599999999988</v>
      </c>
      <c r="U59" s="15"/>
      <c r="V59" s="21">
        <f>IF(T$12=0,0,T59/T$12)</f>
        <v>0</v>
      </c>
      <c r="W59" s="17"/>
      <c r="X59" s="22">
        <f>+P59-T59</f>
        <v>12557.33</v>
      </c>
      <c r="Y59" s="17"/>
      <c r="Z59" s="21">
        <f>IF(T59=0,0,X59/T59)</f>
        <v>-1.4398362182045004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2" customFormat="1" ht="15" customHeight="1" x14ac:dyDescent="0.3">
      <c r="A61" s="48"/>
      <c r="B61" s="11" t="s">
        <v>292</v>
      </c>
      <c r="C61" s="11"/>
      <c r="D61" s="5">
        <v>3557.9</v>
      </c>
      <c r="E61" s="5"/>
      <c r="F61" s="13">
        <f>IF(D$12=0,0,D61/D$12)</f>
        <v>0.11543018580953938</v>
      </c>
      <c r="G61" s="5"/>
      <c r="H61" s="5"/>
      <c r="I61" s="5"/>
      <c r="J61" s="13">
        <f>IF(H$12=0,0,H61/H$12)</f>
        <v>0</v>
      </c>
      <c r="K61" s="5"/>
      <c r="L61" s="5">
        <f>+D61-H61</f>
        <v>3557.9</v>
      </c>
      <c r="M61" s="5"/>
      <c r="N61" s="13">
        <f>IF(H61=0,0,L61/H61)</f>
        <v>0</v>
      </c>
      <c r="O61" s="11"/>
      <c r="P61" s="5">
        <v>6310.69</v>
      </c>
      <c r="Q61" s="5"/>
      <c r="R61" s="13">
        <f>IF(P$12=0,0,P61/P$12)</f>
        <v>0.11934756736301162</v>
      </c>
      <c r="S61" s="5"/>
      <c r="T61" s="5"/>
      <c r="U61" s="5"/>
      <c r="V61" s="13">
        <f>IF(T$12=0,0,T61/T$12)</f>
        <v>0</v>
      </c>
      <c r="W61" s="5"/>
      <c r="X61" s="5">
        <f>+P61-T61</f>
        <v>6310.69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11"/>
      <c r="B63" s="27" t="s">
        <v>293</v>
      </c>
      <c r="C63" s="27"/>
      <c r="D63" s="34">
        <f>+D59-D61</f>
        <v>5858.8899999999994</v>
      </c>
      <c r="E63" s="15"/>
      <c r="F63" s="33">
        <f>IF(D$12=0,0,D63/D$12)</f>
        <v>0.19008200380495577</v>
      </c>
      <c r="G63" s="15"/>
      <c r="H63" s="34">
        <f>+H59-H61</f>
        <v>-950.26</v>
      </c>
      <c r="I63" s="15"/>
      <c r="J63" s="33">
        <f>IF(H$12=0,0,H63/H$12)</f>
        <v>0</v>
      </c>
      <c r="K63" s="17"/>
      <c r="L63" s="34">
        <f>D63-H63</f>
        <v>6809.15</v>
      </c>
      <c r="M63" s="17"/>
      <c r="N63" s="33">
        <f>IF(H63=0,0,L63/H63)</f>
        <v>-7.1655652137309787</v>
      </c>
      <c r="O63" s="28"/>
      <c r="P63" s="34">
        <f>+P59-P61</f>
        <v>-2474.7199999999984</v>
      </c>
      <c r="Q63" s="15"/>
      <c r="R63" s="33">
        <f>IF(P$12=0,0,P63/P$12)</f>
        <v>-4.6801825458799587E-2</v>
      </c>
      <c r="S63" s="15"/>
      <c r="T63" s="34">
        <f>+T59-T61</f>
        <v>-8721.3599999999988</v>
      </c>
      <c r="U63" s="15"/>
      <c r="V63" s="33">
        <f>IF(T$12=0,0,T63/T$12)</f>
        <v>0</v>
      </c>
      <c r="W63" s="17"/>
      <c r="X63" s="34">
        <f>P63-T63</f>
        <v>6246.64</v>
      </c>
      <c r="Y63" s="17"/>
      <c r="Z63" s="33">
        <f>IF(T63=0,0,X63/T63)</f>
        <v>-0.71624609005934869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11"/>
      <c r="B66" s="27" t="s">
        <v>296</v>
      </c>
      <c r="C66" s="27"/>
      <c r="D66" s="31">
        <f>SUM(D63:D65)</f>
        <v>5858.8899999999994</v>
      </c>
      <c r="E66" s="15"/>
      <c r="F66" s="32">
        <f>IF(D$12=0,0,D66/D$12)</f>
        <v>0.19008200380495577</v>
      </c>
      <c r="G66" s="15"/>
      <c r="H66" s="31">
        <f>SUM(H63:H65)</f>
        <v>-950.26</v>
      </c>
      <c r="I66" s="15"/>
      <c r="J66" s="32">
        <f>IF(H$12=0,0,H66/H$12)</f>
        <v>0</v>
      </c>
      <c r="K66" s="17"/>
      <c r="L66" s="31">
        <f>+D66-H66</f>
        <v>6809.15</v>
      </c>
      <c r="M66" s="17"/>
      <c r="N66" s="32">
        <f>IF(H66=0,0,L66/H66)</f>
        <v>-7.1655652137309787</v>
      </c>
      <c r="O66" s="28"/>
      <c r="P66" s="31">
        <f>SUM(P63:P65)</f>
        <v>-2474.7199999999984</v>
      </c>
      <c r="Q66" s="15"/>
      <c r="R66" s="32">
        <f>IF(P$12=0,0,P66/P$12)</f>
        <v>-4.6801825458799587E-2</v>
      </c>
      <c r="S66" s="15"/>
      <c r="T66" s="31">
        <f>SUM(T63:T65)</f>
        <v>-8721.3599999999988</v>
      </c>
      <c r="U66" s="15"/>
      <c r="V66" s="32">
        <f>IF(T$12=0,0,T66/T$12)</f>
        <v>0</v>
      </c>
      <c r="W66" s="17"/>
      <c r="X66" s="31">
        <f>+P66-T66</f>
        <v>6246.64</v>
      </c>
      <c r="Y66" s="17"/>
      <c r="Z66" s="32">
        <f>IF(T66=0,0,X66/T66)</f>
        <v>-0.71624609005934869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6">
        <v>44663.03859679398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7" t="s">
        <v>297</v>
      </c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A70" s="10"/>
      <c r="B70" s="58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0F39A-F301-8277-9154-E5F0E2758426}">
  <sheetPr>
    <tabColor rgb="FF92D050"/>
    <outlinePr summaryBelow="0" summaryRight="0"/>
  </sheetPr>
  <dimension ref="A2:Z6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","313"," - ","Convenience Store")</f>
        <v>Department 313 - Convenience Store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","4034"," - ","TAXABLE SALES-SODA")</f>
        <v xml:space="preserve">          4034 - TAXABLE SALES-SODA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0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","4132"," - ","NON-TAXABLE SALES-JUICE")</f>
        <v xml:space="preserve">          4132 - NON-TAXABLE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0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","4134"," - ","NON-TAXABLE SALES-SODA")</f>
        <v xml:space="preserve">          4134 - NON-TAXABLE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","4137"," - ","NON-TAXABLE SALES-WATER")</f>
        <v xml:space="preserve">          4137 - NON-TAXABLE SALES-WATER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8" t="s">
        <v>287</v>
      </c>
      <c r="C18" s="11"/>
      <c r="D18" s="5">
        <f>SUM(OSRRefD16x_0)</f>
        <v>0</v>
      </c>
      <c r="E18" s="5"/>
      <c r="F18" s="13">
        <f>IF(D$12=0,0,D18/D$12)</f>
        <v>0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0</v>
      </c>
      <c r="M18" s="5"/>
      <c r="N18" s="13">
        <f>IF(H18=0,0,L18/H18)</f>
        <v>0</v>
      </c>
      <c r="O18" s="11"/>
      <c r="P18" s="5">
        <f>SUM(OSRRefP16x_0)</f>
        <v>0</v>
      </c>
      <c r="Q18" s="5"/>
      <c r="R18" s="13">
        <f>IF(P$12=0,0,P18/P$12)</f>
        <v>0</v>
      </c>
      <c r="S18" s="5"/>
      <c r="T18" s="5">
        <f>SUM(OSRRefT16x_0)</f>
        <v>-613.59</v>
      </c>
      <c r="U18" s="5"/>
      <c r="V18" s="13">
        <f>IF(T$12=0,0,T18/T$12)</f>
        <v>0</v>
      </c>
      <c r="W18" s="5"/>
      <c r="X18" s="5">
        <f>+P18-T18</f>
        <v>613.59</v>
      </c>
      <c r="Y18" s="5"/>
      <c r="Z18" s="13">
        <f>IF(T18=0,0,X18/T18)</f>
        <v>-1</v>
      </c>
    </row>
    <row r="19" spans="1:26" s="69" customFormat="1" ht="15" hidden="1" customHeight="1" outlineLevel="1" x14ac:dyDescent="0.3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/>
      <c r="Q19" s="3"/>
      <c r="R19" s="20">
        <f>IF(P$12=0,0,P19/P$12)</f>
        <v>0</v>
      </c>
      <c r="S19" s="3"/>
      <c r="T19" s="3">
        <v>-613.59</v>
      </c>
      <c r="U19" s="3"/>
      <c r="V19" s="20">
        <f>IF(T$12=0,0,T19/T$12)</f>
        <v>0</v>
      </c>
      <c r="W19" s="3"/>
      <c r="X19" s="3">
        <f>+P19-T19</f>
        <v>613.59</v>
      </c>
      <c r="Y19" s="3"/>
      <c r="Z19" s="20">
        <f>IF(T19=0,0,X19/T19)</f>
        <v>-1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7" t="s">
        <v>288</v>
      </c>
      <c r="C21" s="27"/>
      <c r="D21" s="22">
        <f>D12-D18</f>
        <v>0</v>
      </c>
      <c r="E21" s="15"/>
      <c r="F21" s="21">
        <f>IF(D$12=0,0,D21/D$12)</f>
        <v>0</v>
      </c>
      <c r="G21" s="15"/>
      <c r="H21" s="22">
        <f>H12-H18</f>
        <v>0</v>
      </c>
      <c r="I21" s="15"/>
      <c r="J21" s="21">
        <f>IF(H$12=0,0,H21/H$12)</f>
        <v>0</v>
      </c>
      <c r="K21" s="17"/>
      <c r="L21" s="22">
        <f>+D21-H21</f>
        <v>0</v>
      </c>
      <c r="M21" s="17"/>
      <c r="N21" s="21">
        <f>IF(H21=0,0,L21/H21)</f>
        <v>0</v>
      </c>
      <c r="O21" s="28"/>
      <c r="P21" s="22">
        <f>P12-P18</f>
        <v>0</v>
      </c>
      <c r="Q21" s="15"/>
      <c r="R21" s="21">
        <f>IF(P$12=0,0,P21/P$12)</f>
        <v>0</v>
      </c>
      <c r="S21" s="15"/>
      <c r="T21" s="22">
        <f>T12-T18</f>
        <v>613.59</v>
      </c>
      <c r="U21" s="15"/>
      <c r="V21" s="21">
        <f>IF(T$12=0,0,T21/T$12)</f>
        <v>0</v>
      </c>
      <c r="W21" s="17"/>
      <c r="X21" s="22">
        <f>+P21-T21</f>
        <v>-613.59</v>
      </c>
      <c r="Y21" s="17"/>
      <c r="Z21" s="21">
        <f>IF(T21=0,0,X21/T21)</f>
        <v>-1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8" t="s">
        <v>289</v>
      </c>
      <c r="C23" s="11"/>
      <c r="D23" s="23" cm="1">
        <f t="array" ref="D23">SUM(OSRRefD22x_0)</f>
        <v>0</v>
      </c>
      <c r="E23" s="23"/>
      <c r="F23" s="35">
        <f t="shared" ref="F23:F46" si="0">IF(D$12=0,0,D23/D$12)</f>
        <v>0</v>
      </c>
      <c r="G23" s="23"/>
      <c r="H23" s="23" cm="1">
        <f t="array" ref="H23">SUM(OSRRefH22x_0)</f>
        <v>144</v>
      </c>
      <c r="I23" s="23"/>
      <c r="J23" s="35">
        <f t="shared" ref="J23:J46" si="1">IF(H$12=0,0,H23/H$12)</f>
        <v>0</v>
      </c>
      <c r="K23" s="5"/>
      <c r="L23" s="23">
        <f t="shared" ref="L23:L46" si="2">+D23-H23</f>
        <v>-144</v>
      </c>
      <c r="M23" s="5"/>
      <c r="N23" s="35">
        <f t="shared" ref="N23:N46" si="3">IF(H23=0,0,L23/H23)</f>
        <v>-1</v>
      </c>
      <c r="O23" s="11"/>
      <c r="P23" s="23" cm="1">
        <f t="array" ref="P23">SUM(OSRRefP22x_0)</f>
        <v>0</v>
      </c>
      <c r="Q23" s="23"/>
      <c r="R23" s="35">
        <f t="shared" ref="R23:R46" si="4">IF(P$12=0,0,P23/P$12)</f>
        <v>0</v>
      </c>
      <c r="S23" s="23"/>
      <c r="T23" s="23" cm="1">
        <f t="array" ref="T23">SUM(OSRRefT22x_0)</f>
        <v>46648.68</v>
      </c>
      <c r="U23" s="23"/>
      <c r="V23" s="35">
        <f t="shared" ref="V23:V46" si="5">IF(T$12=0,0,T23/T$12)</f>
        <v>0</v>
      </c>
      <c r="W23" s="5"/>
      <c r="X23" s="23">
        <f t="shared" ref="X23:X46" si="6">+P23-T23</f>
        <v>-46648.68</v>
      </c>
      <c r="Y23" s="5"/>
      <c r="Z23" s="35">
        <f t="shared" ref="Z23:Z46" si="7">IF(T23=0,0,X23/T23)</f>
        <v>-1</v>
      </c>
    </row>
    <row r="24" spans="1:26" s="68" customFormat="1" ht="15" customHeight="1" outlineLevel="1" collapsed="1" x14ac:dyDescent="0.3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0</v>
      </c>
      <c r="E24" s="2"/>
      <c r="F24" s="6">
        <f t="shared" si="0"/>
        <v>0</v>
      </c>
      <c r="G24" s="2"/>
      <c r="H24" s="2">
        <f>SUM(OSRRefH22_0x_0)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SUM(OSRRefP22_0x_0)</f>
        <v>0</v>
      </c>
      <c r="Q24" s="2"/>
      <c r="R24" s="6">
        <f t="shared" si="4"/>
        <v>0</v>
      </c>
      <c r="S24" s="2"/>
      <c r="T24" s="2">
        <f>SUM(OSRRefT22_0x_0)</f>
        <v>21787.579999999998</v>
      </c>
      <c r="U24" s="2"/>
      <c r="V24" s="6">
        <f t="shared" si="5"/>
        <v>0</v>
      </c>
      <c r="W24" s="2"/>
      <c r="X24" s="2">
        <f t="shared" si="6"/>
        <v>-21787.579999999998</v>
      </c>
      <c r="Y24" s="2"/>
      <c r="Z24" s="6">
        <f t="shared" si="7"/>
        <v>-1</v>
      </c>
    </row>
    <row r="25" spans="1:26" s="69" customFormat="1" ht="15" hidden="1" customHeight="1" outlineLevel="2" x14ac:dyDescent="0.3">
      <c r="A25" s="25"/>
      <c r="B25" s="12" t="str">
        <f>CONCATENATE("          ","6111"," - ","F.I.C.A.")</f>
        <v xml:space="preserve">          6111 - F.I.C.A.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1924.35</v>
      </c>
      <c r="U25" s="3"/>
      <c r="V25" s="7">
        <f t="shared" si="5"/>
        <v>0</v>
      </c>
      <c r="W25" s="3"/>
      <c r="X25" s="8">
        <f t="shared" si="6"/>
        <v>-1924.35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","6112"," - ","COMPENSATION INSURANCE")</f>
        <v xml:space="preserve">          6112 - COMPENSATION INSURANCE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499.06</v>
      </c>
      <c r="U26" s="3"/>
      <c r="V26" s="7">
        <f t="shared" si="5"/>
        <v>0</v>
      </c>
      <c r="W26" s="3"/>
      <c r="X26" s="8">
        <f t="shared" si="6"/>
        <v>-499.06</v>
      </c>
      <c r="Y26" s="3"/>
      <c r="Z26" s="7">
        <f t="shared" si="7"/>
        <v>-1</v>
      </c>
    </row>
    <row r="27" spans="1:26" s="69" customFormat="1" ht="15" hidden="1" customHeight="1" outlineLevel="2" x14ac:dyDescent="0.3">
      <c r="A27" s="25"/>
      <c r="B27" s="12" t="str">
        <f>CONCATENATE("          ","6113"," - ","GROUP INSURANCE")</f>
        <v xml:space="preserve">          6113 - GROUP INSURANCE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12083.19</v>
      </c>
      <c r="U27" s="3"/>
      <c r="V27" s="7">
        <f t="shared" si="5"/>
        <v>0</v>
      </c>
      <c r="W27" s="3"/>
      <c r="X27" s="8">
        <f t="shared" si="6"/>
        <v>-12083.19</v>
      </c>
      <c r="Y27" s="3"/>
      <c r="Z27" s="7">
        <f t="shared" si="7"/>
        <v>-1</v>
      </c>
    </row>
    <row r="28" spans="1:26" s="69" customFormat="1" ht="15" hidden="1" customHeight="1" outlineLevel="2" x14ac:dyDescent="0.3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70.14</v>
      </c>
      <c r="U28" s="3"/>
      <c r="V28" s="7">
        <f t="shared" si="5"/>
        <v>0</v>
      </c>
      <c r="W28" s="3"/>
      <c r="X28" s="8">
        <f t="shared" si="6"/>
        <v>-70.14</v>
      </c>
      <c r="Y28" s="3"/>
      <c r="Z28" s="7">
        <f t="shared" si="7"/>
        <v>-1</v>
      </c>
    </row>
    <row r="29" spans="1:26" s="69" customFormat="1" ht="15" hidden="1" customHeight="1" outlineLevel="2" x14ac:dyDescent="0.3">
      <c r="A29" s="25"/>
      <c r="B29" s="12" t="str">
        <f>CONCATENATE("          ","6115"," - ","P.E.R.S.")</f>
        <v xml:space="preserve">          6115 - P.E.R.S.</v>
      </c>
      <c r="C29" s="12"/>
      <c r="D29" s="8"/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3490.92</v>
      </c>
      <c r="U29" s="3"/>
      <c r="V29" s="7">
        <f t="shared" si="5"/>
        <v>0</v>
      </c>
      <c r="W29" s="3"/>
      <c r="X29" s="8">
        <f t="shared" si="6"/>
        <v>-3490.92</v>
      </c>
      <c r="Y29" s="3"/>
      <c r="Z29" s="7">
        <f t="shared" si="7"/>
        <v>-1</v>
      </c>
    </row>
    <row r="30" spans="1:26" s="69" customFormat="1" ht="15" hidden="1" customHeight="1" outlineLevel="2" x14ac:dyDescent="0.3">
      <c r="A30" s="25"/>
      <c r="B30" s="12" t="str">
        <f>CONCATENATE("          ","6118"," - ","VACATION")</f>
        <v xml:space="preserve">          6118 - VACATION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2035.3</v>
      </c>
      <c r="U30" s="3"/>
      <c r="V30" s="7">
        <f t="shared" si="5"/>
        <v>0</v>
      </c>
      <c r="W30" s="3"/>
      <c r="X30" s="8">
        <f t="shared" si="6"/>
        <v>-2035.3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5"/>
      <c r="B31" s="12" t="str">
        <f>CONCATENATE("          ","6119"," - ","SICK LEAVE")</f>
        <v xml:space="preserve">          6119 - SICK LEAVE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1283.8</v>
      </c>
      <c r="U31" s="3"/>
      <c r="V31" s="7">
        <f t="shared" si="5"/>
        <v>0</v>
      </c>
      <c r="W31" s="3"/>
      <c r="X31" s="8">
        <f t="shared" si="6"/>
        <v>-1283.8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5"/>
      <c r="B32" s="12" t="str">
        <f>CONCATENATE("          ","6156"," - ","EMPLOYEE MEALS")</f>
        <v xml:space="preserve">          6156 - EMPLOYEE MEALS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400.82</v>
      </c>
      <c r="U32" s="3"/>
      <c r="V32" s="7">
        <f t="shared" si="5"/>
        <v>0</v>
      </c>
      <c r="W32" s="3"/>
      <c r="X32" s="8">
        <f t="shared" si="6"/>
        <v>-400.82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6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0</v>
      </c>
      <c r="E33" s="2"/>
      <c r="F33" s="6">
        <f t="shared" si="0"/>
        <v>0</v>
      </c>
      <c r="G33" s="2"/>
      <c r="H33" s="2">
        <f>SUM(OSRRefH22_1x_0)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SUM(OSRRefP22_1x_0)</f>
        <v>0</v>
      </c>
      <c r="Q33" s="2"/>
      <c r="R33" s="6">
        <f t="shared" si="4"/>
        <v>0</v>
      </c>
      <c r="S33" s="2"/>
      <c r="T33" s="2">
        <f>SUM(OSRRefT22_1x_0)</f>
        <v>23136.42</v>
      </c>
      <c r="U33" s="2"/>
      <c r="V33" s="6">
        <f t="shared" si="5"/>
        <v>0</v>
      </c>
      <c r="W33" s="2"/>
      <c r="X33" s="2">
        <f t="shared" si="6"/>
        <v>-23136.42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5"/>
      <c r="B34" s="12" t="str">
        <f>CONCATENATE("          ","6002"," - ","STAFF SALARIES")</f>
        <v xml:space="preserve">          6002 - STAFF SALARIES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23136.42</v>
      </c>
      <c r="U34" s="3"/>
      <c r="V34" s="7">
        <f t="shared" si="5"/>
        <v>0</v>
      </c>
      <c r="W34" s="3"/>
      <c r="X34" s="8">
        <f t="shared" si="6"/>
        <v>-23136.42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6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SUM(OSRRefD22_2x_0)</f>
        <v>0</v>
      </c>
      <c r="E35" s="2"/>
      <c r="F35" s="6">
        <f t="shared" si="0"/>
        <v>0</v>
      </c>
      <c r="G35" s="2"/>
      <c r="H35" s="2">
        <f>SUM(OSRRefH22_2x_0)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SUM(OSRRefP22_2x_0)</f>
        <v>0</v>
      </c>
      <c r="Q35" s="2"/>
      <c r="R35" s="6">
        <f t="shared" si="4"/>
        <v>0</v>
      </c>
      <c r="S35" s="2"/>
      <c r="T35" s="2">
        <f>SUM(OSRRefT22_2x_0)</f>
        <v>240</v>
      </c>
      <c r="U35" s="2"/>
      <c r="V35" s="6">
        <f t="shared" si="5"/>
        <v>0</v>
      </c>
      <c r="W35" s="2"/>
      <c r="X35" s="2">
        <f t="shared" si="6"/>
        <v>-240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5"/>
      <c r="B36" s="12" t="str">
        <f>CONCATENATE("          ","6381"," - ","BANK/CREDIT CARD FEES")</f>
        <v xml:space="preserve">          6381 - BANK/CREDIT CARD FEES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240</v>
      </c>
      <c r="U36" s="3"/>
      <c r="V36" s="7">
        <f t="shared" si="5"/>
        <v>0</v>
      </c>
      <c r="W36" s="3"/>
      <c r="X36" s="8">
        <f t="shared" si="6"/>
        <v>-240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6"/>
      <c r="B37" s="14" t="str">
        <f>CONCATENATE("     ","Freight out/Postage                               ")</f>
        <v xml:space="preserve">     Freight out/Postage                               </v>
      </c>
      <c r="C37" s="14"/>
      <c r="D37" s="2">
        <f>SUM(OSRRefD22_3x_0)</f>
        <v>0</v>
      </c>
      <c r="E37" s="2"/>
      <c r="F37" s="6">
        <f t="shared" si="0"/>
        <v>0</v>
      </c>
      <c r="G37" s="2"/>
      <c r="H37" s="2">
        <f>SUM(OSRRefH22_3x_0)</f>
        <v>41.93</v>
      </c>
      <c r="I37" s="2"/>
      <c r="J37" s="6">
        <f t="shared" si="1"/>
        <v>0</v>
      </c>
      <c r="K37" s="2"/>
      <c r="L37" s="2">
        <f t="shared" si="2"/>
        <v>-41.93</v>
      </c>
      <c r="M37" s="2"/>
      <c r="N37" s="6">
        <f t="shared" si="3"/>
        <v>-1</v>
      </c>
      <c r="O37" s="14"/>
      <c r="P37" s="2">
        <f>SUM(OSRRefP22_3x_0)</f>
        <v>0</v>
      </c>
      <c r="Q37" s="2"/>
      <c r="R37" s="6">
        <f t="shared" si="4"/>
        <v>0</v>
      </c>
      <c r="S37" s="2"/>
      <c r="T37" s="2">
        <f>SUM(OSRRefT22_3x_0)</f>
        <v>249.82</v>
      </c>
      <c r="U37" s="2"/>
      <c r="V37" s="6">
        <f t="shared" si="5"/>
        <v>0</v>
      </c>
      <c r="W37" s="2"/>
      <c r="X37" s="2">
        <f t="shared" si="6"/>
        <v>-249.82</v>
      </c>
      <c r="Y37" s="2"/>
      <c r="Z37" s="6">
        <f t="shared" si="7"/>
        <v>-1</v>
      </c>
    </row>
    <row r="38" spans="1:26" s="69" customFormat="1" ht="15" hidden="1" customHeight="1" outlineLevel="2" x14ac:dyDescent="0.3">
      <c r="A38" s="25"/>
      <c r="B38" s="12" t="str">
        <f>CONCATENATE("          ","6305"," - ","FREIGHT OUT")</f>
        <v xml:space="preserve">          6305 - FREIGHT OUT</v>
      </c>
      <c r="C38" s="12"/>
      <c r="D38" s="8"/>
      <c r="E38" s="3"/>
      <c r="F38" s="7">
        <f t="shared" si="0"/>
        <v>0</v>
      </c>
      <c r="G38" s="3"/>
      <c r="H38" s="8">
        <v>41.93</v>
      </c>
      <c r="I38" s="3"/>
      <c r="J38" s="7">
        <f t="shared" si="1"/>
        <v>0</v>
      </c>
      <c r="K38" s="3"/>
      <c r="L38" s="8">
        <f t="shared" si="2"/>
        <v>-41.93</v>
      </c>
      <c r="M38" s="3"/>
      <c r="N38" s="7">
        <f t="shared" si="3"/>
        <v>-1</v>
      </c>
      <c r="O38" s="12"/>
      <c r="P38" s="8"/>
      <c r="Q38" s="3"/>
      <c r="R38" s="7">
        <f t="shared" si="4"/>
        <v>0</v>
      </c>
      <c r="S38" s="3"/>
      <c r="T38" s="8">
        <v>249.82</v>
      </c>
      <c r="U38" s="3"/>
      <c r="V38" s="7">
        <f t="shared" si="5"/>
        <v>0</v>
      </c>
      <c r="W38" s="3"/>
      <c r="X38" s="8">
        <f t="shared" si="6"/>
        <v>-249.82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6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SUM(OSRRefD22_4x_0)</f>
        <v>0</v>
      </c>
      <c r="E39" s="2"/>
      <c r="F39" s="6">
        <f t="shared" si="0"/>
        <v>0</v>
      </c>
      <c r="G39" s="2"/>
      <c r="H39" s="2">
        <f>SUM(OSRRefH22_4x_0)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SUM(OSRRefP22_4x_0)</f>
        <v>0</v>
      </c>
      <c r="Q39" s="2"/>
      <c r="R39" s="6">
        <f t="shared" si="4"/>
        <v>0</v>
      </c>
      <c r="S39" s="2"/>
      <c r="T39" s="2">
        <f>SUM(OSRRefT22_4x_0)</f>
        <v>160</v>
      </c>
      <c r="U39" s="2"/>
      <c r="V39" s="6">
        <f t="shared" si="5"/>
        <v>0</v>
      </c>
      <c r="W39" s="2"/>
      <c r="X39" s="2">
        <f t="shared" si="6"/>
        <v>-160</v>
      </c>
      <c r="Y39" s="2"/>
      <c r="Z39" s="6">
        <f t="shared" si="7"/>
        <v>-1</v>
      </c>
    </row>
    <row r="40" spans="1:26" s="69" customFormat="1" ht="15" hidden="1" customHeight="1" outlineLevel="2" x14ac:dyDescent="0.3">
      <c r="A40" s="25"/>
      <c r="B40" s="12" t="str">
        <f>CONCATENATE("          ","6279"," - ","GENERAL EXPENSE")</f>
        <v xml:space="preserve">          6279 - GENERAL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160</v>
      </c>
      <c r="U40" s="3"/>
      <c r="V40" s="7">
        <f t="shared" si="5"/>
        <v>0</v>
      </c>
      <c r="W40" s="3"/>
      <c r="X40" s="8">
        <f t="shared" si="6"/>
        <v>-160</v>
      </c>
      <c r="Y40" s="3"/>
      <c r="Z40" s="7">
        <f t="shared" si="7"/>
        <v>-1</v>
      </c>
    </row>
    <row r="41" spans="1:26" s="68" customFormat="1" ht="15" customHeight="1" outlineLevel="1" collapsed="1" x14ac:dyDescent="0.3">
      <c r="A41" s="26"/>
      <c r="B41" s="14" t="str">
        <f>CONCATENATE("     ","Repair and Maintenance                            ")</f>
        <v xml:space="preserve">     Repair and Maintenance 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24.12</v>
      </c>
      <c r="I41" s="2"/>
      <c r="J41" s="6">
        <f t="shared" si="1"/>
        <v>0</v>
      </c>
      <c r="K41" s="2"/>
      <c r="L41" s="2">
        <f t="shared" si="2"/>
        <v>-24.12</v>
      </c>
      <c r="M41" s="2"/>
      <c r="N41" s="6">
        <f t="shared" si="3"/>
        <v>-1</v>
      </c>
      <c r="O41" s="14"/>
      <c r="P41" s="2">
        <f>SUM(OSRRefP22_5x_0)</f>
        <v>0</v>
      </c>
      <c r="Q41" s="2"/>
      <c r="R41" s="6">
        <f t="shared" si="4"/>
        <v>0</v>
      </c>
      <c r="S41" s="2"/>
      <c r="T41" s="2">
        <f>SUM(OSRRefT22_5x_0)</f>
        <v>72.36</v>
      </c>
      <c r="U41" s="2"/>
      <c r="V41" s="6">
        <f t="shared" si="5"/>
        <v>0</v>
      </c>
      <c r="W41" s="2"/>
      <c r="X41" s="2">
        <f t="shared" si="6"/>
        <v>-72.36</v>
      </c>
      <c r="Y41" s="2"/>
      <c r="Z41" s="6">
        <f t="shared" si="7"/>
        <v>-1</v>
      </c>
    </row>
    <row r="42" spans="1:26" s="69" customFormat="1" ht="15" hidden="1" customHeight="1" outlineLevel="2" x14ac:dyDescent="0.3">
      <c r="A42" s="25"/>
      <c r="B42" s="12" t="str">
        <f>CONCATENATE("          ","6373"," - ","MAINTENANCE CONTRACTS")</f>
        <v xml:space="preserve">          6373 - MAINTENANCE CONTRACTS</v>
      </c>
      <c r="C42" s="12"/>
      <c r="D42" s="8"/>
      <c r="E42" s="3"/>
      <c r="F42" s="7">
        <f t="shared" si="0"/>
        <v>0</v>
      </c>
      <c r="G42" s="3"/>
      <c r="H42" s="8">
        <v>24.12</v>
      </c>
      <c r="I42" s="3"/>
      <c r="J42" s="7">
        <f t="shared" si="1"/>
        <v>0</v>
      </c>
      <c r="K42" s="3"/>
      <c r="L42" s="8">
        <f t="shared" si="2"/>
        <v>-24.12</v>
      </c>
      <c r="M42" s="3"/>
      <c r="N42" s="7">
        <f t="shared" si="3"/>
        <v>-1</v>
      </c>
      <c r="O42" s="12"/>
      <c r="P42" s="8">
        <v>0</v>
      </c>
      <c r="Q42" s="3"/>
      <c r="R42" s="7">
        <f t="shared" si="4"/>
        <v>0</v>
      </c>
      <c r="S42" s="3"/>
      <c r="T42" s="8">
        <v>72.36</v>
      </c>
      <c r="U42" s="3"/>
      <c r="V42" s="7">
        <f t="shared" si="5"/>
        <v>0</v>
      </c>
      <c r="W42" s="3"/>
      <c r="X42" s="8">
        <f t="shared" si="6"/>
        <v>-72.36</v>
      </c>
      <c r="Y42" s="3"/>
      <c r="Z42" s="7">
        <f t="shared" si="7"/>
        <v>-1</v>
      </c>
    </row>
    <row r="43" spans="1:26" s="68" customFormat="1" ht="15" customHeight="1" outlineLevel="1" collapsed="1" x14ac:dyDescent="0.3">
      <c r="A43" s="26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SUM(OSRRefD22_6x_0)</f>
        <v>0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0</v>
      </c>
      <c r="Q43" s="2"/>
      <c r="R43" s="6">
        <f t="shared" si="4"/>
        <v>0</v>
      </c>
      <c r="S43" s="2"/>
      <c r="T43" s="2">
        <f>SUM(OSRRefT22_6x_0)</f>
        <v>0</v>
      </c>
      <c r="U43" s="2"/>
      <c r="V43" s="6">
        <f t="shared" si="5"/>
        <v>0</v>
      </c>
      <c r="W43" s="2"/>
      <c r="X43" s="2">
        <f t="shared" si="6"/>
        <v>0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5"/>
      <c r="B44" s="12" t="str">
        <f>CONCATENATE("          ","6247"," - ","STORE SUPPLIES")</f>
        <v xml:space="preserve">          6247 - STORE SUPPLIES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0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6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77.95</v>
      </c>
      <c r="I45" s="2"/>
      <c r="J45" s="6">
        <f t="shared" si="1"/>
        <v>0</v>
      </c>
      <c r="K45" s="2"/>
      <c r="L45" s="2">
        <f t="shared" si="2"/>
        <v>-77.95</v>
      </c>
      <c r="M45" s="2"/>
      <c r="N45" s="6">
        <f t="shared" si="3"/>
        <v>-1</v>
      </c>
      <c r="O45" s="14"/>
      <c r="P45" s="2">
        <f>SUM(OSRRefP22_7x_0)</f>
        <v>0</v>
      </c>
      <c r="Q45" s="2"/>
      <c r="R45" s="6">
        <f t="shared" si="4"/>
        <v>0</v>
      </c>
      <c r="S45" s="2"/>
      <c r="T45" s="2">
        <f>SUM(OSRRefT22_7x_0)</f>
        <v>1002.5</v>
      </c>
      <c r="U45" s="2"/>
      <c r="V45" s="6">
        <f t="shared" si="5"/>
        <v>0</v>
      </c>
      <c r="W45" s="2"/>
      <c r="X45" s="2">
        <f t="shared" si="6"/>
        <v>-1002.5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5"/>
      <c r="B46" s="12" t="str">
        <f>CONCATENATE("          ","6309"," - ","TELEPHONE")</f>
        <v xml:space="preserve">          6309 - TELEPHONE</v>
      </c>
      <c r="C46" s="12"/>
      <c r="D46" s="8"/>
      <c r="E46" s="3"/>
      <c r="F46" s="7">
        <f t="shared" si="0"/>
        <v>0</v>
      </c>
      <c r="G46" s="3"/>
      <c r="H46" s="8">
        <v>77.95</v>
      </c>
      <c r="I46" s="3"/>
      <c r="J46" s="7">
        <f t="shared" si="1"/>
        <v>0</v>
      </c>
      <c r="K46" s="3"/>
      <c r="L46" s="8">
        <f t="shared" si="2"/>
        <v>-77.95</v>
      </c>
      <c r="M46" s="3"/>
      <c r="N46" s="7">
        <f t="shared" si="3"/>
        <v>-1</v>
      </c>
      <c r="O46" s="12"/>
      <c r="P46" s="8">
        <v>0</v>
      </c>
      <c r="Q46" s="3"/>
      <c r="R46" s="7">
        <f t="shared" si="4"/>
        <v>0</v>
      </c>
      <c r="S46" s="3"/>
      <c r="T46" s="8">
        <v>1002.5</v>
      </c>
      <c r="U46" s="3"/>
      <c r="V46" s="7">
        <f t="shared" si="5"/>
        <v>0</v>
      </c>
      <c r="W46" s="3"/>
      <c r="X46" s="8">
        <f t="shared" si="6"/>
        <v>-1002.5</v>
      </c>
      <c r="Y46" s="3"/>
      <c r="Z46" s="7">
        <f t="shared" si="7"/>
        <v>-1</v>
      </c>
    </row>
    <row r="47" spans="1:26" s="64" customFormat="1" ht="15" customHeight="1" x14ac:dyDescent="0.3">
      <c r="A47" s="36"/>
      <c r="B47" s="36"/>
      <c r="C47" s="36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2" customFormat="1" ht="15" customHeight="1" x14ac:dyDescent="0.3">
      <c r="A48" s="11"/>
      <c r="B48" s="28" t="s">
        <v>290</v>
      </c>
      <c r="C48" s="11"/>
      <c r="D48" s="5">
        <f>SUM(0)</f>
        <v>0</v>
      </c>
      <c r="E48" s="5"/>
      <c r="F48" s="13">
        <f>IF(D$12=0,0,D48/D$12)</f>
        <v>0</v>
      </c>
      <c r="G48" s="5"/>
      <c r="H48" s="5">
        <f>SUM(0)</f>
        <v>0</v>
      </c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>
        <f>SUM(0)</f>
        <v>0</v>
      </c>
      <c r="Q48" s="5"/>
      <c r="R48" s="13">
        <f>IF(P$12=0,0,P48/P$12)</f>
        <v>0</v>
      </c>
      <c r="S48" s="5"/>
      <c r="T48" s="5">
        <f>SUM(0)</f>
        <v>0</v>
      </c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7" t="s">
        <v>291</v>
      </c>
      <c r="C50" s="27"/>
      <c r="D50" s="22">
        <f>+D21-D23+D48</f>
        <v>0</v>
      </c>
      <c r="E50" s="15"/>
      <c r="F50" s="21">
        <f>IF(D$12=0,0,D50/D$12)</f>
        <v>0</v>
      </c>
      <c r="G50" s="15"/>
      <c r="H50" s="22">
        <f>+H21-H23+H48</f>
        <v>-144</v>
      </c>
      <c r="I50" s="15"/>
      <c r="J50" s="21">
        <f>IF(H$12=0,0,H50/H$12)</f>
        <v>0</v>
      </c>
      <c r="K50" s="17"/>
      <c r="L50" s="22">
        <f>+D50-H50</f>
        <v>144</v>
      </c>
      <c r="M50" s="17"/>
      <c r="N50" s="21">
        <f>IF(H50=0,0,L50/H50)</f>
        <v>-1</v>
      </c>
      <c r="O50" s="28"/>
      <c r="P50" s="22">
        <f>+P21-P23+P48</f>
        <v>0</v>
      </c>
      <c r="Q50" s="15"/>
      <c r="R50" s="21">
        <f>IF(P$12=0,0,P50/P$12)</f>
        <v>0</v>
      </c>
      <c r="S50" s="15"/>
      <c r="T50" s="22">
        <f>+T21-T23+T48</f>
        <v>-46035.090000000004</v>
      </c>
      <c r="U50" s="15"/>
      <c r="V50" s="21">
        <f>IF(T$12=0,0,T50/T$12)</f>
        <v>0</v>
      </c>
      <c r="W50" s="17"/>
      <c r="X50" s="22">
        <f>+P50-T50</f>
        <v>46035.090000000004</v>
      </c>
      <c r="Y50" s="17"/>
      <c r="Z50" s="21">
        <f>IF(T50=0,0,X50/T50)</f>
        <v>-1</v>
      </c>
    </row>
    <row r="51" spans="1:26" ht="15" customHeight="1" x14ac:dyDescent="0.3">
      <c r="A51" s="10"/>
      <c r="B51" s="11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48"/>
      <c r="B52" s="11" t="s">
        <v>292</v>
      </c>
      <c r="C52" s="11"/>
      <c r="D52" s="5"/>
      <c r="E52" s="5"/>
      <c r="F52" s="13">
        <f>IF(D$12=0,0,D52/D$12)</f>
        <v>0</v>
      </c>
      <c r="G52" s="5"/>
      <c r="H52" s="5"/>
      <c r="I52" s="5"/>
      <c r="J52" s="13">
        <f>IF(H$12=0,0,H52/H$12)</f>
        <v>0</v>
      </c>
      <c r="K52" s="5"/>
      <c r="L52" s="5">
        <f>+D52-H52</f>
        <v>0</v>
      </c>
      <c r="M52" s="5"/>
      <c r="N52" s="13">
        <f>IF(H52=0,0,L52/H52)</f>
        <v>0</v>
      </c>
      <c r="O52" s="11"/>
      <c r="P52" s="5"/>
      <c r="Q52" s="5"/>
      <c r="R52" s="13">
        <f>IF(P$12=0,0,P52/P$12)</f>
        <v>0</v>
      </c>
      <c r="S52" s="5"/>
      <c r="T52" s="5"/>
      <c r="U52" s="5"/>
      <c r="V52" s="13">
        <f>IF(T$12=0,0,T52/T$12)</f>
        <v>0</v>
      </c>
      <c r="W52" s="5"/>
      <c r="X52" s="5">
        <f>+P52-T52</f>
        <v>0</v>
      </c>
      <c r="Y52" s="5"/>
      <c r="Z52" s="13">
        <f>IF(T52=0,0,X52/T52)</f>
        <v>0</v>
      </c>
    </row>
    <row r="53" spans="1:26" ht="15" customHeight="1" x14ac:dyDescent="0.3">
      <c r="A53" s="10"/>
      <c r="B53" s="11"/>
      <c r="C53" s="11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O53" s="11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3">
      <c r="A54" s="11"/>
      <c r="B54" s="27" t="s">
        <v>293</v>
      </c>
      <c r="C54" s="27"/>
      <c r="D54" s="34">
        <f>+D50-D52</f>
        <v>0</v>
      </c>
      <c r="E54" s="15"/>
      <c r="F54" s="33">
        <f>IF(D$12=0,0,D54/D$12)</f>
        <v>0</v>
      </c>
      <c r="G54" s="15"/>
      <c r="H54" s="34">
        <f>+H50-H52</f>
        <v>-144</v>
      </c>
      <c r="I54" s="15"/>
      <c r="J54" s="33">
        <f>IF(H$12=0,0,H54/H$12)</f>
        <v>0</v>
      </c>
      <c r="K54" s="17"/>
      <c r="L54" s="34">
        <f>D54-H54</f>
        <v>144</v>
      </c>
      <c r="M54" s="17"/>
      <c r="N54" s="33">
        <f>IF(H54=0,0,L54/H54)</f>
        <v>-1</v>
      </c>
      <c r="O54" s="28"/>
      <c r="P54" s="34">
        <f>+P50-P52</f>
        <v>0</v>
      </c>
      <c r="Q54" s="15"/>
      <c r="R54" s="33">
        <f>IF(P$12=0,0,P54/P$12)</f>
        <v>0</v>
      </c>
      <c r="S54" s="15"/>
      <c r="T54" s="34">
        <f>+T50-T52</f>
        <v>-46035.090000000004</v>
      </c>
      <c r="U54" s="15"/>
      <c r="V54" s="33">
        <f>IF(T$12=0,0,T54/T$12)</f>
        <v>0</v>
      </c>
      <c r="W54" s="17"/>
      <c r="X54" s="34">
        <f>P54-T54</f>
        <v>46035.090000000004</v>
      </c>
      <c r="Y54" s="17"/>
      <c r="Z54" s="33">
        <f>IF(T54=0,0,X54/T54)</f>
        <v>-1</v>
      </c>
    </row>
    <row r="55" spans="1:26" ht="15" customHeight="1" x14ac:dyDescent="0.3">
      <c r="A55" s="10"/>
      <c r="B55" s="10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ht="15" customHeight="1" x14ac:dyDescent="0.3">
      <c r="A56" s="10"/>
      <c r="B56" s="10"/>
      <c r="C56" s="10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2" customFormat="1" ht="15" customHeight="1" x14ac:dyDescent="0.3">
      <c r="A57" s="11"/>
      <c r="B57" s="27" t="s">
        <v>296</v>
      </c>
      <c r="C57" s="27"/>
      <c r="D57" s="31">
        <f>SUM(D54:D56)</f>
        <v>0</v>
      </c>
      <c r="E57" s="15"/>
      <c r="F57" s="32">
        <f>IF(D$12=0,0,D57/D$12)</f>
        <v>0</v>
      </c>
      <c r="G57" s="15"/>
      <c r="H57" s="31">
        <f>SUM(H54:H56)</f>
        <v>-144</v>
      </c>
      <c r="I57" s="15"/>
      <c r="J57" s="32">
        <f>IF(H$12=0,0,H57/H$12)</f>
        <v>0</v>
      </c>
      <c r="K57" s="17"/>
      <c r="L57" s="31">
        <f>+D57-H57</f>
        <v>144</v>
      </c>
      <c r="M57" s="17"/>
      <c r="N57" s="32">
        <f>IF(H57=0,0,L57/H57)</f>
        <v>-1</v>
      </c>
      <c r="O57" s="28"/>
      <c r="P57" s="31">
        <f>SUM(P54:P56)</f>
        <v>0</v>
      </c>
      <c r="Q57" s="15"/>
      <c r="R57" s="32">
        <f>IF(P$12=0,0,P57/P$12)</f>
        <v>0</v>
      </c>
      <c r="S57" s="15"/>
      <c r="T57" s="31">
        <f>SUM(T54:T56)</f>
        <v>-46035.090000000004</v>
      </c>
      <c r="U57" s="15"/>
      <c r="V57" s="32">
        <f>IF(T$12=0,0,T57/T$12)</f>
        <v>0</v>
      </c>
      <c r="W57" s="17"/>
      <c r="X57" s="31">
        <f>+P57-T57</f>
        <v>46035.090000000004</v>
      </c>
      <c r="Y57" s="17"/>
      <c r="Z57" s="32">
        <f>IF(T57=0,0,X57/T57)</f>
        <v>-1</v>
      </c>
    </row>
    <row r="58" spans="1:26" ht="15" customHeight="1" x14ac:dyDescent="0.3">
      <c r="A58" s="10"/>
      <c r="C58" s="10"/>
      <c r="D58" s="19"/>
      <c r="E58" s="19"/>
      <c r="G58" s="19"/>
      <c r="H58" s="19"/>
      <c r="I58" s="19"/>
      <c r="J58" s="40"/>
      <c r="K58" s="19"/>
      <c r="L58" s="19"/>
      <c r="M58" s="19"/>
      <c r="P58" s="19"/>
      <c r="Q58" s="19"/>
      <c r="R58" s="40"/>
      <c r="S58" s="19"/>
      <c r="T58" s="19"/>
      <c r="U58" s="19"/>
      <c r="V58" s="40"/>
      <c r="W58" s="19"/>
      <c r="X58" s="19"/>
    </row>
    <row r="59" spans="1:26" ht="15" customHeight="1" x14ac:dyDescent="0.3">
      <c r="A59" s="10"/>
      <c r="B59" s="56">
        <v>44663.03859679398</v>
      </c>
      <c r="D59" s="19"/>
      <c r="E59" s="19"/>
      <c r="G59" s="19"/>
      <c r="H59" s="19"/>
      <c r="I59" s="19"/>
      <c r="J59" s="40"/>
      <c r="K59" s="19"/>
      <c r="L59" s="19"/>
      <c r="M59" s="19"/>
      <c r="P59" s="19"/>
      <c r="Q59" s="19"/>
      <c r="R59" s="40"/>
      <c r="S59" s="19"/>
      <c r="T59" s="19"/>
      <c r="U59" s="19"/>
      <c r="V59" s="40"/>
      <c r="W59" s="19"/>
      <c r="X59" s="19"/>
    </row>
    <row r="60" spans="1:26" ht="15" customHeight="1" x14ac:dyDescent="0.3">
      <c r="A60" s="10"/>
      <c r="B60" s="57" t="s">
        <v>297</v>
      </c>
      <c r="D60" s="19"/>
      <c r="E60" s="19"/>
      <c r="G60" s="19"/>
      <c r="H60" s="19"/>
      <c r="I60" s="19"/>
      <c r="J60" s="40"/>
      <c r="K60" s="19"/>
      <c r="L60" s="19"/>
      <c r="M60" s="19"/>
      <c r="P60" s="19"/>
      <c r="Q60" s="19"/>
      <c r="R60" s="40"/>
      <c r="S60" s="19"/>
      <c r="T60" s="19"/>
      <c r="U60" s="19"/>
      <c r="V60" s="40"/>
      <c r="W60" s="19"/>
      <c r="X60" s="19"/>
    </row>
    <row r="61" spans="1:26" ht="15" customHeight="1" x14ac:dyDescent="0.3">
      <c r="A61" s="10"/>
      <c r="B61" s="58"/>
      <c r="D61" s="19"/>
      <c r="E61" s="19"/>
      <c r="G61" s="19"/>
      <c r="H61" s="19"/>
      <c r="I61" s="19"/>
      <c r="J61" s="40"/>
      <c r="K61" s="19"/>
      <c r="L61" s="19"/>
      <c r="M61" s="19"/>
      <c r="P61" s="19"/>
      <c r="Q61" s="19"/>
      <c r="R61" s="40"/>
      <c r="S61" s="19"/>
      <c r="T61" s="19"/>
      <c r="U61" s="19"/>
      <c r="V61" s="40"/>
      <c r="W61" s="19"/>
      <c r="X61" s="19"/>
    </row>
    <row r="62" spans="1:26" ht="15" customHeight="1" x14ac:dyDescent="0.3">
      <c r="D62" s="19"/>
      <c r="E62" s="19"/>
      <c r="G62" s="19"/>
      <c r="H62" s="19"/>
      <c r="I62" s="19"/>
      <c r="J62" s="40"/>
      <c r="K62" s="19"/>
      <c r="L62" s="19"/>
      <c r="M62" s="19"/>
      <c r="P62" s="19"/>
      <c r="Q62" s="19"/>
      <c r="R62" s="40"/>
      <c r="S62" s="19"/>
      <c r="T62" s="19"/>
      <c r="U62" s="19"/>
      <c r="V62" s="40"/>
      <c r="W62" s="19"/>
      <c r="X6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612D-ADFE-C669-7C33-A4970306C7EE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","321"," - ","Corner Market")</f>
        <v>Department 321 - Corner Market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36646.61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36646.61</v>
      </c>
      <c r="M12" s="5"/>
      <c r="N12" s="13">
        <f>IF(H12=0,0,L12/H12)</f>
        <v>0</v>
      </c>
      <c r="O12" s="11"/>
      <c r="P12" s="5">
        <f>SUM(OSRRefP13x_0)</f>
        <v>62393.020000000004</v>
      </c>
      <c r="Q12" s="5"/>
      <c r="R12" s="13"/>
      <c r="S12" s="5"/>
      <c r="T12" s="5">
        <f>SUM(OSRRefT13x_0)</f>
        <v>2476.4700000000003</v>
      </c>
      <c r="U12" s="5"/>
      <c r="V12" s="13"/>
      <c r="W12" s="5"/>
      <c r="X12" s="5">
        <f>+P12-T12</f>
        <v>59916.55</v>
      </c>
      <c r="Y12" s="5"/>
      <c r="Z12" s="13">
        <f>IF(T12=0,0,X12/T12)</f>
        <v>24.194337100792659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--5809.27</f>
        <v>5809.27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5809.27</v>
      </c>
      <c r="M13" s="3"/>
      <c r="N13" s="20">
        <f>IF(H13=0,0,L13/H13)</f>
        <v>0</v>
      </c>
      <c r="O13" s="12"/>
      <c r="P13" s="3">
        <f>--10185.08</f>
        <v>10185.08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10185.08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>+P14-T14</f>
        <v>-444.59</v>
      </c>
      <c r="Y14" s="3"/>
      <c r="Z14" s="20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--30837.34</f>
        <v>30837.34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30837.34</v>
      </c>
      <c r="M15" s="3"/>
      <c r="N15" s="20">
        <f>IF(H15=0,0,L15/H15)</f>
        <v>0</v>
      </c>
      <c r="O15" s="12"/>
      <c r="P15" s="3">
        <f>--52207.94</f>
        <v>52207.94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52207.94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","4132"," - ","NON-TAXABLE SALES-JUICE")</f>
        <v xml:space="preserve">          4132 - NON-TAXABLE SALES-JUICE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--2031.88</f>
        <v>2031.88</v>
      </c>
      <c r="U16" s="3"/>
      <c r="V16" s="20"/>
      <c r="W16" s="3"/>
      <c r="X16" s="3">
        <f>+P16-T16</f>
        <v>-2031.88</v>
      </c>
      <c r="Y16" s="3"/>
      <c r="Z16" s="20">
        <f>IF(T16=0,0,X16/T16)</f>
        <v>-1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8" t="s">
        <v>287</v>
      </c>
      <c r="C18" s="11"/>
      <c r="D18" s="5">
        <f>SUM(OSRRefD16x_0)</f>
        <v>17846.71</v>
      </c>
      <c r="E18" s="5"/>
      <c r="F18" s="13">
        <f>IF(D$12=0,0,D18/D$12)</f>
        <v>0.48699484072333016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17846.71</v>
      </c>
      <c r="M18" s="5"/>
      <c r="N18" s="13">
        <f>IF(H18=0,0,L18/H18)</f>
        <v>0</v>
      </c>
      <c r="O18" s="11"/>
      <c r="P18" s="5">
        <f>SUM(OSRRefP16x_0)</f>
        <v>39101.769999999997</v>
      </c>
      <c r="Q18" s="5"/>
      <c r="R18" s="13">
        <f>IF(P$12=0,0,P18/P$12)</f>
        <v>0.62670103162180635</v>
      </c>
      <c r="S18" s="5"/>
      <c r="T18" s="5">
        <f>SUM(OSRRefT16x_0)</f>
        <v>19579.73</v>
      </c>
      <c r="U18" s="5"/>
      <c r="V18" s="13">
        <f>IF(T$12=0,0,T18/T$12)</f>
        <v>7.9063061535169004</v>
      </c>
      <c r="W18" s="5"/>
      <c r="X18" s="5">
        <f>+P18-T18</f>
        <v>19522.039999999997</v>
      </c>
      <c r="Y18" s="5"/>
      <c r="Z18" s="13">
        <f>IF(T18=0,0,X18/T18)</f>
        <v>0.99705358551930989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4647</v>
      </c>
      <c r="E19" s="3"/>
      <c r="F19" s="20">
        <f>IF(D$12=0,0,D19/D$12)</f>
        <v>0.12680572636868731</v>
      </c>
      <c r="G19" s="3"/>
      <c r="H19" s="3"/>
      <c r="I19" s="3"/>
      <c r="J19" s="20">
        <f>IF(H$12=0,0,H19/H$12)</f>
        <v>0</v>
      </c>
      <c r="K19" s="3"/>
      <c r="L19" s="3">
        <f>+D19-H19</f>
        <v>4647</v>
      </c>
      <c r="M19" s="3"/>
      <c r="N19" s="20">
        <f>IF(H19=0,0,L19/H19)</f>
        <v>0</v>
      </c>
      <c r="O19" s="12"/>
      <c r="P19" s="3">
        <v>-5566</v>
      </c>
      <c r="Q19" s="3"/>
      <c r="R19" s="20">
        <f>IF(P$12=0,0,P19/P$12)</f>
        <v>-8.9208696742039406E-2</v>
      </c>
      <c r="S19" s="3"/>
      <c r="T19" s="3"/>
      <c r="U19" s="3"/>
      <c r="V19" s="20">
        <f>IF(T$12=0,0,T19/T$12)</f>
        <v>0</v>
      </c>
      <c r="W19" s="3"/>
      <c r="X19" s="3">
        <f>+P19-T19</f>
        <v>-5566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0.73</v>
      </c>
      <c r="U20" s="3"/>
      <c r="V20" s="20">
        <f>IF(T$12=0,0,T20/T$12)</f>
        <v>2.9477441681102534E-4</v>
      </c>
      <c r="W20" s="3"/>
      <c r="X20" s="3">
        <f>+P20-T20</f>
        <v>-0.73</v>
      </c>
      <c r="Y20" s="3"/>
      <c r="Z20" s="20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13199.71</v>
      </c>
      <c r="E21" s="3"/>
      <c r="F21" s="20">
        <f>IF(D$12=0,0,D21/D$12)</f>
        <v>0.36018911435464285</v>
      </c>
      <c r="G21" s="3"/>
      <c r="H21" s="3"/>
      <c r="I21" s="3"/>
      <c r="J21" s="20">
        <f>IF(H$12=0,0,H21/H$12)</f>
        <v>0</v>
      </c>
      <c r="K21" s="3"/>
      <c r="L21" s="3">
        <f>+D21-H21</f>
        <v>13199.71</v>
      </c>
      <c r="M21" s="3"/>
      <c r="N21" s="20">
        <f>IF(H21=0,0,L21/H21)</f>
        <v>0</v>
      </c>
      <c r="O21" s="12"/>
      <c r="P21" s="3">
        <v>44667.77</v>
      </c>
      <c r="Q21" s="3"/>
      <c r="R21" s="20">
        <f>IF(P$12=0,0,P21/P$12)</f>
        <v>0.7159097283638457</v>
      </c>
      <c r="S21" s="3"/>
      <c r="T21" s="3">
        <v>19579</v>
      </c>
      <c r="U21" s="3"/>
      <c r="V21" s="20">
        <f>IF(T$12=0,0,T21/T$12)</f>
        <v>7.9060113791000894</v>
      </c>
      <c r="W21" s="3"/>
      <c r="X21" s="3">
        <f>+P21-T21</f>
        <v>25088.769999999997</v>
      </c>
      <c r="Y21" s="3"/>
      <c r="Z21" s="20">
        <f>IF(T21=0,0,X21/T21)</f>
        <v>1.2814122273864854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7" t="s">
        <v>288</v>
      </c>
      <c r="C23" s="27"/>
      <c r="D23" s="22">
        <f>D12-D18</f>
        <v>18799.900000000001</v>
      </c>
      <c r="E23" s="15"/>
      <c r="F23" s="21">
        <f>IF(D$12=0,0,D23/D$12)</f>
        <v>0.51300515927666979</v>
      </c>
      <c r="G23" s="15"/>
      <c r="H23" s="22">
        <f>H12-H18</f>
        <v>0</v>
      </c>
      <c r="I23" s="15"/>
      <c r="J23" s="21">
        <f>IF(H$12=0,0,H23/H$12)</f>
        <v>0</v>
      </c>
      <c r="K23" s="17"/>
      <c r="L23" s="22">
        <f>+D23-H23</f>
        <v>18799.900000000001</v>
      </c>
      <c r="M23" s="17"/>
      <c r="N23" s="21">
        <f>IF(H23=0,0,L23/H23)</f>
        <v>0</v>
      </c>
      <c r="O23" s="28"/>
      <c r="P23" s="22">
        <f>P12-P18</f>
        <v>23291.250000000007</v>
      </c>
      <c r="Q23" s="15"/>
      <c r="R23" s="21">
        <f>IF(P$12=0,0,P23/P$12)</f>
        <v>0.37329896837819365</v>
      </c>
      <c r="S23" s="15"/>
      <c r="T23" s="22">
        <f>T12-T18</f>
        <v>-17103.259999999998</v>
      </c>
      <c r="U23" s="15"/>
      <c r="V23" s="21">
        <f>IF(T$12=0,0,T23/T$12)</f>
        <v>-6.9063061535168995</v>
      </c>
      <c r="W23" s="17"/>
      <c r="X23" s="22">
        <f>+P23-T23</f>
        <v>40394.510000000009</v>
      </c>
      <c r="Y23" s="17"/>
      <c r="Z23" s="21">
        <f>IF(T23=0,0,X23/T23)</f>
        <v>-2.3618017851567488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8" t="s">
        <v>289</v>
      </c>
      <c r="C25" s="11"/>
      <c r="D25" s="23" cm="1">
        <f t="array" ref="D25">SUM(OSRRefD22x_0)</f>
        <v>15319.380000000003</v>
      </c>
      <c r="E25" s="23"/>
      <c r="F25" s="35">
        <f t="shared" ref="F25:F56" si="0">IF(D$12=0,0,D25/D$12)</f>
        <v>0.41802993510177344</v>
      </c>
      <c r="G25" s="23"/>
      <c r="H25" s="23" cm="1">
        <f t="array" ref="H25">SUM(OSRRefH22x_0)</f>
        <v>2096.42</v>
      </c>
      <c r="I25" s="23"/>
      <c r="J25" s="35">
        <f t="shared" ref="J25:J56" si="1">IF(H$12=0,0,H25/H$12)</f>
        <v>0</v>
      </c>
      <c r="K25" s="5"/>
      <c r="L25" s="23">
        <f t="shared" ref="L25:L56" si="2">+D25-H25</f>
        <v>13222.960000000003</v>
      </c>
      <c r="M25" s="5"/>
      <c r="N25" s="35">
        <f t="shared" ref="N25:N56" si="3">IF(H25=0,0,L25/H25)</f>
        <v>6.3074002346857991</v>
      </c>
      <c r="O25" s="11"/>
      <c r="P25" s="23" cm="1">
        <f t="array" ref="P25">SUM(OSRRefP22x_0)</f>
        <v>50369.450000000004</v>
      </c>
      <c r="Q25" s="23"/>
      <c r="R25" s="35">
        <f t="shared" ref="R25:R56" si="4">IF(P$12=0,0,P25/P$12)</f>
        <v>0.80729302732901853</v>
      </c>
      <c r="S25" s="23"/>
      <c r="T25" s="23" cm="1">
        <f t="array" ref="T25">SUM(OSRRefT22x_0)</f>
        <v>39655.859999999986</v>
      </c>
      <c r="U25" s="23"/>
      <c r="V25" s="35">
        <f t="shared" ref="V25:V56" si="5">IF(T$12=0,0,T25/T$12)</f>
        <v>16.013058910465293</v>
      </c>
      <c r="W25" s="5"/>
      <c r="X25" s="23">
        <f t="shared" ref="X25:X56" si="6">+P25-T25</f>
        <v>10713.590000000018</v>
      </c>
      <c r="Y25" s="5"/>
      <c r="Z25" s="35">
        <f t="shared" ref="Z25:Z56" si="7">IF(T25=0,0,X25/T25)</f>
        <v>0.27016410689366016</v>
      </c>
    </row>
    <row r="26" spans="1:26" s="68" customFormat="1" ht="15" customHeight="1" outlineLevel="1" collapsed="1" x14ac:dyDescent="0.3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2967.29</v>
      </c>
      <c r="E26" s="2"/>
      <c r="F26" s="6">
        <f t="shared" si="0"/>
        <v>8.097038170788512E-2</v>
      </c>
      <c r="G26" s="2"/>
      <c r="H26" s="2">
        <f>SUM(OSRRefH22_0x_0)</f>
        <v>0</v>
      </c>
      <c r="I26" s="2"/>
      <c r="J26" s="6">
        <f t="shared" si="1"/>
        <v>0</v>
      </c>
      <c r="K26" s="2"/>
      <c r="L26" s="2">
        <f t="shared" si="2"/>
        <v>2967.29</v>
      </c>
      <c r="M26" s="2"/>
      <c r="N26" s="6">
        <f t="shared" si="3"/>
        <v>0</v>
      </c>
      <c r="O26" s="14"/>
      <c r="P26" s="2">
        <f>SUM(OSRRefP22_0x_0)</f>
        <v>9254.98</v>
      </c>
      <c r="Q26" s="2"/>
      <c r="R26" s="6">
        <f t="shared" si="4"/>
        <v>0.14833357962156662</v>
      </c>
      <c r="S26" s="2"/>
      <c r="T26" s="2">
        <f>SUM(OSRRefT22_0x_0)</f>
        <v>8751.99</v>
      </c>
      <c r="U26" s="2"/>
      <c r="V26" s="6">
        <f t="shared" si="5"/>
        <v>3.5340585591588023</v>
      </c>
      <c r="W26" s="2"/>
      <c r="X26" s="2">
        <f t="shared" si="6"/>
        <v>502.98999999999978</v>
      </c>
      <c r="Y26" s="2"/>
      <c r="Z26" s="6">
        <f t="shared" si="7"/>
        <v>5.7471500767254054E-2</v>
      </c>
    </row>
    <row r="27" spans="1:26" s="69" customFormat="1" ht="15" hidden="1" customHeight="1" outlineLevel="2" x14ac:dyDescent="0.3">
      <c r="A27" s="25"/>
      <c r="B27" s="12" t="str">
        <f>CONCATENATE("          ","6111"," - ","F.I.C.A.")</f>
        <v xml:space="preserve">          6111 - F.I.C.A.</v>
      </c>
      <c r="C27" s="12"/>
      <c r="D27" s="8">
        <v>629.99</v>
      </c>
      <c r="E27" s="3"/>
      <c r="F27" s="7">
        <f t="shared" si="0"/>
        <v>1.719094890359572E-2</v>
      </c>
      <c r="G27" s="3"/>
      <c r="H27" s="8"/>
      <c r="I27" s="3"/>
      <c r="J27" s="7">
        <f t="shared" si="1"/>
        <v>0</v>
      </c>
      <c r="K27" s="3"/>
      <c r="L27" s="8">
        <f t="shared" si="2"/>
        <v>629.99</v>
      </c>
      <c r="M27" s="3"/>
      <c r="N27" s="7">
        <f t="shared" si="3"/>
        <v>0</v>
      </c>
      <c r="O27" s="12"/>
      <c r="P27" s="8">
        <v>1657.61</v>
      </c>
      <c r="Q27" s="3"/>
      <c r="R27" s="7">
        <f t="shared" si="4"/>
        <v>2.6567234604127188E-2</v>
      </c>
      <c r="S27" s="3"/>
      <c r="T27" s="8">
        <v>1667.09</v>
      </c>
      <c r="U27" s="3"/>
      <c r="V27" s="7">
        <f t="shared" si="5"/>
        <v>0.67317189386505782</v>
      </c>
      <c r="W27" s="3"/>
      <c r="X27" s="8">
        <f t="shared" si="6"/>
        <v>-9.4800000000000182</v>
      </c>
      <c r="Y27" s="3"/>
      <c r="Z27" s="7">
        <f t="shared" si="7"/>
        <v>-5.6865556148738335E-3</v>
      </c>
    </row>
    <row r="28" spans="1:26" s="69" customFormat="1" ht="15" hidden="1" customHeight="1" outlineLevel="2" x14ac:dyDescent="0.3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152.65</v>
      </c>
      <c r="E28" s="3"/>
      <c r="F28" s="7">
        <f t="shared" si="0"/>
        <v>4.1654603249795825E-3</v>
      </c>
      <c r="G28" s="3"/>
      <c r="H28" s="8"/>
      <c r="I28" s="3"/>
      <c r="J28" s="7">
        <f t="shared" si="1"/>
        <v>0</v>
      </c>
      <c r="K28" s="3"/>
      <c r="L28" s="8">
        <f t="shared" si="2"/>
        <v>152.65</v>
      </c>
      <c r="M28" s="3"/>
      <c r="N28" s="7">
        <f t="shared" si="3"/>
        <v>0</v>
      </c>
      <c r="O28" s="12"/>
      <c r="P28" s="8">
        <v>374.31</v>
      </c>
      <c r="Q28" s="3"/>
      <c r="R28" s="7">
        <f t="shared" si="4"/>
        <v>5.9992287598837173E-3</v>
      </c>
      <c r="S28" s="3"/>
      <c r="T28" s="8">
        <v>331.61</v>
      </c>
      <c r="U28" s="3"/>
      <c r="V28" s="7">
        <f t="shared" si="5"/>
        <v>0.13390430734069056</v>
      </c>
      <c r="W28" s="3"/>
      <c r="X28" s="8">
        <f t="shared" si="6"/>
        <v>42.699999999999989</v>
      </c>
      <c r="Y28" s="3"/>
      <c r="Z28" s="7">
        <f t="shared" si="7"/>
        <v>0.12876571876602028</v>
      </c>
    </row>
    <row r="29" spans="1:26" s="69" customFormat="1" ht="15" hidden="1" customHeight="1" outlineLevel="2" x14ac:dyDescent="0.3">
      <c r="A29" s="25"/>
      <c r="B29" s="12" t="str">
        <f>CONCATENATE("          ","6113"," - ","GROUP INSURANCE")</f>
        <v xml:space="preserve">          6113 - GROUP INSURANCE</v>
      </c>
      <c r="C29" s="12"/>
      <c r="D29" s="8">
        <v>1284.4100000000001</v>
      </c>
      <c r="E29" s="3"/>
      <c r="F29" s="7">
        <f t="shared" si="0"/>
        <v>3.5048535185109891E-2</v>
      </c>
      <c r="G29" s="3"/>
      <c r="H29" s="8"/>
      <c r="I29" s="3"/>
      <c r="J29" s="7">
        <f t="shared" si="1"/>
        <v>0</v>
      </c>
      <c r="K29" s="3"/>
      <c r="L29" s="8">
        <f t="shared" si="2"/>
        <v>1284.4100000000001</v>
      </c>
      <c r="M29" s="3"/>
      <c r="N29" s="7">
        <f t="shared" si="3"/>
        <v>0</v>
      </c>
      <c r="O29" s="12"/>
      <c r="P29" s="8">
        <v>3887.07</v>
      </c>
      <c r="Q29" s="3"/>
      <c r="R29" s="7">
        <f t="shared" si="4"/>
        <v>6.2299757248487089E-2</v>
      </c>
      <c r="S29" s="3"/>
      <c r="T29" s="8">
        <v>3385.22</v>
      </c>
      <c r="U29" s="3"/>
      <c r="V29" s="7">
        <f t="shared" si="5"/>
        <v>1.366953768872629</v>
      </c>
      <c r="W29" s="3"/>
      <c r="X29" s="8">
        <f t="shared" si="6"/>
        <v>501.85000000000036</v>
      </c>
      <c r="Y29" s="3"/>
      <c r="Z29" s="7">
        <f t="shared" si="7"/>
        <v>0.14824738126325626</v>
      </c>
    </row>
    <row r="30" spans="1:26" s="69" customFormat="1" ht="15" hidden="1" customHeight="1" outlineLevel="2" x14ac:dyDescent="0.3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26.82</v>
      </c>
      <c r="E30" s="3"/>
      <c r="F30" s="7">
        <f t="shared" si="0"/>
        <v>7.3185487006847288E-4</v>
      </c>
      <c r="G30" s="3"/>
      <c r="H30" s="8"/>
      <c r="I30" s="3"/>
      <c r="J30" s="7">
        <f t="shared" si="1"/>
        <v>0</v>
      </c>
      <c r="K30" s="3"/>
      <c r="L30" s="8">
        <f t="shared" si="2"/>
        <v>26.82</v>
      </c>
      <c r="M30" s="3"/>
      <c r="N30" s="7">
        <f t="shared" si="3"/>
        <v>0</v>
      </c>
      <c r="O30" s="12"/>
      <c r="P30" s="8">
        <v>64.02</v>
      </c>
      <c r="Q30" s="3"/>
      <c r="R30" s="7">
        <f t="shared" si="4"/>
        <v>1.0260763143056706E-3</v>
      </c>
      <c r="S30" s="3"/>
      <c r="T30" s="8">
        <v>62.01</v>
      </c>
      <c r="U30" s="3"/>
      <c r="V30" s="7">
        <f t="shared" si="5"/>
        <v>2.5039673406098192E-2</v>
      </c>
      <c r="W30" s="3"/>
      <c r="X30" s="8">
        <f t="shared" si="6"/>
        <v>2.009999999999998</v>
      </c>
      <c r="Y30" s="3"/>
      <c r="Z30" s="7">
        <f t="shared" si="7"/>
        <v>3.2414126753749363E-2</v>
      </c>
    </row>
    <row r="31" spans="1:26" s="69" customFormat="1" ht="15" hidden="1" customHeight="1" outlineLevel="2" x14ac:dyDescent="0.3">
      <c r="A31" s="25"/>
      <c r="B31" s="12" t="str">
        <f>CONCATENATE("          ","6115"," - ","P.E.R.S.")</f>
        <v xml:space="preserve">          6115 - P.E.R.S.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1254.1099999999999</v>
      </c>
      <c r="U31" s="3"/>
      <c r="V31" s="7">
        <f t="shared" si="5"/>
        <v>0.50641033406421232</v>
      </c>
      <c r="W31" s="3"/>
      <c r="X31" s="8">
        <f t="shared" si="6"/>
        <v>-1254.1099999999999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5"/>
      <c r="B32" s="12" t="str">
        <f>CONCATENATE("          ","6117"," - ","RETIREMENT STAFF HOURLY")</f>
        <v xml:space="preserve">          6117 - RETIREMENT STAFF HOURLY</v>
      </c>
      <c r="C32" s="12"/>
      <c r="D32" s="8">
        <v>294.60000000000002</v>
      </c>
      <c r="E32" s="3"/>
      <c r="F32" s="7">
        <f t="shared" si="0"/>
        <v>8.0389427562331146E-3</v>
      </c>
      <c r="G32" s="3"/>
      <c r="H32" s="8"/>
      <c r="I32" s="3"/>
      <c r="J32" s="7">
        <f t="shared" si="1"/>
        <v>0</v>
      </c>
      <c r="K32" s="3"/>
      <c r="L32" s="8">
        <f t="shared" si="2"/>
        <v>294.60000000000002</v>
      </c>
      <c r="M32" s="3"/>
      <c r="N32" s="7">
        <f t="shared" si="3"/>
        <v>0</v>
      </c>
      <c r="O32" s="12"/>
      <c r="P32" s="8">
        <v>757.03</v>
      </c>
      <c r="Q32" s="3"/>
      <c r="R32" s="7">
        <f t="shared" si="4"/>
        <v>1.2133248238344609E-2</v>
      </c>
      <c r="S32" s="3"/>
      <c r="T32" s="8"/>
      <c r="U32" s="3"/>
      <c r="V32" s="7">
        <f t="shared" si="5"/>
        <v>0</v>
      </c>
      <c r="W32" s="3"/>
      <c r="X32" s="8">
        <f t="shared" si="6"/>
        <v>757.03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5"/>
      <c r="B33" s="12" t="str">
        <f>CONCATENATE("          ","6118"," - ","VACATION")</f>
        <v xml:space="preserve">          6118 - VACATION</v>
      </c>
      <c r="C33" s="12"/>
      <c r="D33" s="8">
        <v>163.24</v>
      </c>
      <c r="E33" s="3"/>
      <c r="F33" s="7">
        <f t="shared" si="0"/>
        <v>4.4544365768075141E-3</v>
      </c>
      <c r="G33" s="3"/>
      <c r="H33" s="8"/>
      <c r="I33" s="3"/>
      <c r="J33" s="7">
        <f t="shared" si="1"/>
        <v>0</v>
      </c>
      <c r="K33" s="3"/>
      <c r="L33" s="8">
        <f t="shared" si="2"/>
        <v>163.24</v>
      </c>
      <c r="M33" s="3"/>
      <c r="N33" s="7">
        <f t="shared" si="3"/>
        <v>0</v>
      </c>
      <c r="O33" s="12"/>
      <c r="P33" s="8">
        <v>734.58</v>
      </c>
      <c r="Q33" s="3"/>
      <c r="R33" s="7">
        <f t="shared" si="4"/>
        <v>1.1773432348682594E-2</v>
      </c>
      <c r="S33" s="3"/>
      <c r="T33" s="8">
        <v>958.88</v>
      </c>
      <c r="U33" s="3"/>
      <c r="V33" s="7">
        <f t="shared" si="5"/>
        <v>0.38719629149555612</v>
      </c>
      <c r="W33" s="3"/>
      <c r="X33" s="8">
        <f t="shared" si="6"/>
        <v>-224.29999999999995</v>
      </c>
      <c r="Y33" s="3"/>
      <c r="Z33" s="7">
        <f t="shared" si="7"/>
        <v>-0.23391873852828296</v>
      </c>
    </row>
    <row r="34" spans="1:26" s="69" customFormat="1" ht="15" hidden="1" customHeight="1" outlineLevel="2" x14ac:dyDescent="0.3">
      <c r="A34" s="25"/>
      <c r="B34" s="12" t="str">
        <f>CONCATENATE("          ","6119"," - ","SICK LEAVE")</f>
        <v xml:space="preserve">          6119 - SICK LEAVE</v>
      </c>
      <c r="C34" s="12"/>
      <c r="D34" s="8">
        <v>195.58</v>
      </c>
      <c r="E34" s="3"/>
      <c r="F34" s="7">
        <f t="shared" si="0"/>
        <v>5.3369192948542858E-3</v>
      </c>
      <c r="G34" s="3"/>
      <c r="H34" s="8"/>
      <c r="I34" s="3"/>
      <c r="J34" s="7">
        <f t="shared" si="1"/>
        <v>0</v>
      </c>
      <c r="K34" s="3"/>
      <c r="L34" s="8">
        <f t="shared" si="2"/>
        <v>195.58</v>
      </c>
      <c r="M34" s="3"/>
      <c r="N34" s="7">
        <f t="shared" si="3"/>
        <v>0</v>
      </c>
      <c r="O34" s="12"/>
      <c r="P34" s="8">
        <v>880.11</v>
      </c>
      <c r="Q34" s="3"/>
      <c r="R34" s="7">
        <f t="shared" si="4"/>
        <v>1.410590479511971E-2</v>
      </c>
      <c r="S34" s="3"/>
      <c r="T34" s="8">
        <v>767.52</v>
      </c>
      <c r="U34" s="3"/>
      <c r="V34" s="7">
        <f t="shared" si="5"/>
        <v>0.30992501423397006</v>
      </c>
      <c r="W34" s="3"/>
      <c r="X34" s="8">
        <f t="shared" si="6"/>
        <v>112.59000000000003</v>
      </c>
      <c r="Y34" s="3"/>
      <c r="Z34" s="7">
        <f t="shared" si="7"/>
        <v>0.14669324577861168</v>
      </c>
    </row>
    <row r="35" spans="1:26" s="69" customFormat="1" ht="15" hidden="1" customHeight="1" outlineLevel="2" x14ac:dyDescent="0.3">
      <c r="A35" s="25"/>
      <c r="B35" s="12" t="str">
        <f>CONCATENATE("          ","6156"," - ","EMPLOYEE MEALS")</f>
        <v xml:space="preserve">          6156 - EMPLOYEE MEALS</v>
      </c>
      <c r="C35" s="12"/>
      <c r="D35" s="8">
        <v>220</v>
      </c>
      <c r="E35" s="3"/>
      <c r="F35" s="7">
        <f t="shared" si="0"/>
        <v>6.003283796236541E-3</v>
      </c>
      <c r="G35" s="3"/>
      <c r="H35" s="8"/>
      <c r="I35" s="3"/>
      <c r="J35" s="7">
        <f t="shared" si="1"/>
        <v>0</v>
      </c>
      <c r="K35" s="3"/>
      <c r="L35" s="8">
        <f t="shared" si="2"/>
        <v>220</v>
      </c>
      <c r="M35" s="3"/>
      <c r="N35" s="7">
        <f t="shared" si="3"/>
        <v>0</v>
      </c>
      <c r="O35" s="12"/>
      <c r="P35" s="8">
        <v>900.25</v>
      </c>
      <c r="Q35" s="3"/>
      <c r="R35" s="7">
        <f t="shared" si="4"/>
        <v>1.4428697312616057E-2</v>
      </c>
      <c r="S35" s="3"/>
      <c r="T35" s="8">
        <v>325.55</v>
      </c>
      <c r="U35" s="3"/>
      <c r="V35" s="7">
        <f t="shared" si="5"/>
        <v>0.13145727588058809</v>
      </c>
      <c r="W35" s="3"/>
      <c r="X35" s="8">
        <f t="shared" si="6"/>
        <v>574.70000000000005</v>
      </c>
      <c r="Y35" s="3"/>
      <c r="Z35" s="7">
        <f t="shared" si="7"/>
        <v>1.7653202273076334</v>
      </c>
    </row>
    <row r="36" spans="1:26" s="68" customFormat="1" ht="15" customHeight="1" outlineLevel="1" collapsed="1" x14ac:dyDescent="0.3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10505.5</v>
      </c>
      <c r="E36" s="2"/>
      <c r="F36" s="6">
        <f t="shared" si="0"/>
        <v>0.28667044509710449</v>
      </c>
      <c r="G36" s="2"/>
      <c r="H36" s="2">
        <f>SUM(OSRRefH22_1x_0)</f>
        <v>0</v>
      </c>
      <c r="I36" s="2"/>
      <c r="J36" s="6">
        <f t="shared" si="1"/>
        <v>0</v>
      </c>
      <c r="K36" s="2"/>
      <c r="L36" s="2">
        <f t="shared" si="2"/>
        <v>10505.5</v>
      </c>
      <c r="M36" s="2"/>
      <c r="N36" s="6">
        <f t="shared" si="3"/>
        <v>0</v>
      </c>
      <c r="O36" s="14"/>
      <c r="P36" s="2">
        <f>SUM(OSRRefP22_1x_0)</f>
        <v>27661.13</v>
      </c>
      <c r="Q36" s="2"/>
      <c r="R36" s="6">
        <f t="shared" si="4"/>
        <v>0.44333693095798216</v>
      </c>
      <c r="S36" s="2"/>
      <c r="T36" s="2">
        <f>SUM(OSRRefT22_1x_0)</f>
        <v>15859.96</v>
      </c>
      <c r="U36" s="2"/>
      <c r="V36" s="6">
        <f t="shared" si="5"/>
        <v>6.404260903624917</v>
      </c>
      <c r="W36" s="2"/>
      <c r="X36" s="2">
        <f t="shared" si="6"/>
        <v>11801.170000000002</v>
      </c>
      <c r="Y36" s="2"/>
      <c r="Z36" s="6">
        <f t="shared" si="7"/>
        <v>0.74408573539908063</v>
      </c>
    </row>
    <row r="37" spans="1:26" s="69" customFormat="1" ht="15" hidden="1" customHeight="1" outlineLevel="2" x14ac:dyDescent="0.3">
      <c r="A37" s="25"/>
      <c r="B37" s="12" t="str">
        <f>CONCATENATE("          ","6002"," - ","STAFF SALARIES")</f>
        <v xml:space="preserve">          6002 - STAFF SALARIES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13728</v>
      </c>
      <c r="U37" s="3"/>
      <c r="V37" s="7">
        <f t="shared" si="5"/>
        <v>5.5433742383311726</v>
      </c>
      <c r="W37" s="3"/>
      <c r="X37" s="8">
        <f t="shared" si="6"/>
        <v>-13728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5"/>
      <c r="B38" s="12" t="str">
        <f>CONCATENATE("          ","6004"," - ","STAFF HOURLY")</f>
        <v xml:space="preserve">          6004 - STAFF HOURLY</v>
      </c>
      <c r="C38" s="12"/>
      <c r="D38" s="8">
        <v>4230.8900000000003</v>
      </c>
      <c r="E38" s="3"/>
      <c r="F38" s="7">
        <f t="shared" si="0"/>
        <v>0.11545106082117829</v>
      </c>
      <c r="G38" s="3"/>
      <c r="H38" s="8"/>
      <c r="I38" s="3"/>
      <c r="J38" s="7">
        <f t="shared" si="1"/>
        <v>0</v>
      </c>
      <c r="K38" s="3"/>
      <c r="L38" s="8">
        <f t="shared" si="2"/>
        <v>4230.8900000000003</v>
      </c>
      <c r="M38" s="3"/>
      <c r="N38" s="7">
        <f t="shared" si="3"/>
        <v>0</v>
      </c>
      <c r="O38" s="12"/>
      <c r="P38" s="8">
        <v>18392.22</v>
      </c>
      <c r="Q38" s="3"/>
      <c r="R38" s="7">
        <f t="shared" si="4"/>
        <v>0.29478008918305287</v>
      </c>
      <c r="S38" s="3"/>
      <c r="T38" s="8"/>
      <c r="U38" s="3"/>
      <c r="V38" s="7">
        <f t="shared" si="5"/>
        <v>0</v>
      </c>
      <c r="W38" s="3"/>
      <c r="X38" s="8">
        <f t="shared" si="6"/>
        <v>18392.22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5"/>
      <c r="B39" s="12" t="str">
        <f>CONCATENATE("          ","6005"," - ","TEMPORARY WAGES-HOURLY")</f>
        <v xml:space="preserve">          6005 - TEMPORARY WAGES-HOURLY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>
        <v>638.94000000000005</v>
      </c>
      <c r="Q39" s="3"/>
      <c r="R39" s="7">
        <f t="shared" si="4"/>
        <v>1.0240568576420889E-2</v>
      </c>
      <c r="S39" s="3"/>
      <c r="T39" s="8">
        <v>2131.96</v>
      </c>
      <c r="U39" s="3"/>
      <c r="V39" s="7">
        <f t="shared" si="5"/>
        <v>0.86088666529374469</v>
      </c>
      <c r="W39" s="3"/>
      <c r="X39" s="8">
        <f t="shared" si="6"/>
        <v>-1493.02</v>
      </c>
      <c r="Y39" s="3"/>
      <c r="Z39" s="7">
        <f t="shared" si="7"/>
        <v>-0.70030394566502185</v>
      </c>
    </row>
    <row r="40" spans="1:26" s="69" customFormat="1" ht="15" hidden="1" customHeight="1" outlineLevel="2" x14ac:dyDescent="0.3">
      <c r="A40" s="25"/>
      <c r="B40" s="12" t="str">
        <f>CONCATENATE("          ","6006"," - ","TEMPORARY PART TIME")</f>
        <v xml:space="preserve">          6006 - TEMPORARY PART TIME</v>
      </c>
      <c r="C40" s="12"/>
      <c r="D40" s="8">
        <v>1702.24</v>
      </c>
      <c r="E40" s="3"/>
      <c r="F40" s="7">
        <f t="shared" si="0"/>
        <v>4.6450135496844049E-2</v>
      </c>
      <c r="G40" s="3"/>
      <c r="H40" s="8"/>
      <c r="I40" s="3"/>
      <c r="J40" s="7">
        <f t="shared" si="1"/>
        <v>0</v>
      </c>
      <c r="K40" s="3"/>
      <c r="L40" s="8">
        <f t="shared" si="2"/>
        <v>1702.24</v>
      </c>
      <c r="M40" s="3"/>
      <c r="N40" s="7">
        <f t="shared" si="3"/>
        <v>0</v>
      </c>
      <c r="O40" s="12"/>
      <c r="P40" s="8">
        <v>2343.2399999999998</v>
      </c>
      <c r="Q40" s="3"/>
      <c r="R40" s="7">
        <f t="shared" si="4"/>
        <v>3.7556124066442043E-2</v>
      </c>
      <c r="S40" s="3"/>
      <c r="T40" s="8"/>
      <c r="U40" s="3"/>
      <c r="V40" s="7">
        <f t="shared" si="5"/>
        <v>0</v>
      </c>
      <c r="W40" s="3"/>
      <c r="X40" s="8">
        <f t="shared" si="6"/>
        <v>2343.2399999999998</v>
      </c>
      <c r="Y40" s="3"/>
      <c r="Z40" s="7">
        <f t="shared" si="7"/>
        <v>0</v>
      </c>
    </row>
    <row r="41" spans="1:26" s="69" customFormat="1" ht="15" hidden="1" customHeight="1" outlineLevel="2" x14ac:dyDescent="0.3">
      <c r="A41" s="25"/>
      <c r="B41" s="12" t="str">
        <f>CONCATENATE("          ","6007"," - ","STUDENT HOURLY")</f>
        <v xml:space="preserve">          6007 - STUDENT HOURLY</v>
      </c>
      <c r="C41" s="12"/>
      <c r="D41" s="8">
        <v>4041.27</v>
      </c>
      <c r="E41" s="3"/>
      <c r="F41" s="7">
        <f t="shared" si="0"/>
        <v>0.11027677594189476</v>
      </c>
      <c r="G41" s="3"/>
      <c r="H41" s="8"/>
      <c r="I41" s="3"/>
      <c r="J41" s="7">
        <f t="shared" si="1"/>
        <v>0</v>
      </c>
      <c r="K41" s="3"/>
      <c r="L41" s="8">
        <f t="shared" si="2"/>
        <v>4041.27</v>
      </c>
      <c r="M41" s="3"/>
      <c r="N41" s="7">
        <f t="shared" si="3"/>
        <v>0</v>
      </c>
      <c r="O41" s="12"/>
      <c r="P41" s="8">
        <v>5334.38</v>
      </c>
      <c r="Q41" s="3"/>
      <c r="R41" s="7">
        <f t="shared" si="4"/>
        <v>8.5496422516493031E-2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5334.38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5"/>
      <c r="B42" s="12" t="str">
        <f>CONCATENATE("          ","6008"," - ","STUDENT HOURLY-FICA EXEMPT")</f>
        <v xml:space="preserve">          6008 - STUDENT HOURLY-FICA EXEMPT</v>
      </c>
      <c r="C42" s="12"/>
      <c r="D42" s="8">
        <v>531.1</v>
      </c>
      <c r="E42" s="3"/>
      <c r="F42" s="7">
        <f t="shared" si="0"/>
        <v>1.4492472837187397E-2</v>
      </c>
      <c r="G42" s="3"/>
      <c r="H42" s="8"/>
      <c r="I42" s="3"/>
      <c r="J42" s="7">
        <f t="shared" si="1"/>
        <v>0</v>
      </c>
      <c r="K42" s="3"/>
      <c r="L42" s="8">
        <f t="shared" si="2"/>
        <v>531.1</v>
      </c>
      <c r="M42" s="3"/>
      <c r="N42" s="7">
        <f t="shared" si="3"/>
        <v>0</v>
      </c>
      <c r="O42" s="12"/>
      <c r="P42" s="8">
        <v>952.35</v>
      </c>
      <c r="Q42" s="3"/>
      <c r="R42" s="7">
        <f t="shared" si="4"/>
        <v>1.5263726615573344E-2</v>
      </c>
      <c r="S42" s="3"/>
      <c r="T42" s="8"/>
      <c r="U42" s="3"/>
      <c r="V42" s="7">
        <f t="shared" si="5"/>
        <v>0</v>
      </c>
      <c r="W42" s="3"/>
      <c r="X42" s="8">
        <f t="shared" si="6"/>
        <v>952.35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6"/>
      <c r="B43" s="14" t="str">
        <f>CONCATENATE("     ","Advertising/Promo                                 ")</f>
        <v xml:space="preserve">     Advertising/Promo                                 </v>
      </c>
      <c r="C43" s="14"/>
      <c r="D43" s="2">
        <f>SUM(OSRRefD22_2x_0)</f>
        <v>2.19</v>
      </c>
      <c r="E43" s="2"/>
      <c r="F43" s="6">
        <f t="shared" si="0"/>
        <v>5.9759961426172841E-5</v>
      </c>
      <c r="G43" s="2"/>
      <c r="H43" s="2">
        <f>SUM(OSRRefH22_2x_0)</f>
        <v>0</v>
      </c>
      <c r="I43" s="2"/>
      <c r="J43" s="6">
        <f t="shared" si="1"/>
        <v>0</v>
      </c>
      <c r="K43" s="2"/>
      <c r="L43" s="2">
        <f t="shared" si="2"/>
        <v>2.19</v>
      </c>
      <c r="M43" s="2"/>
      <c r="N43" s="6">
        <f t="shared" si="3"/>
        <v>0</v>
      </c>
      <c r="O43" s="14"/>
      <c r="P43" s="2">
        <f>SUM(OSRRefP22_2x_0)</f>
        <v>487.64</v>
      </c>
      <c r="Q43" s="2"/>
      <c r="R43" s="6">
        <f t="shared" si="4"/>
        <v>7.815617836738788E-3</v>
      </c>
      <c r="S43" s="2"/>
      <c r="T43" s="2">
        <f>SUM(OSRRefT22_2x_0)</f>
        <v>0</v>
      </c>
      <c r="U43" s="2"/>
      <c r="V43" s="6">
        <f t="shared" si="5"/>
        <v>0</v>
      </c>
      <c r="W43" s="2"/>
      <c r="X43" s="2">
        <f t="shared" si="6"/>
        <v>487.64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5"/>
      <c r="B44" s="12" t="str">
        <f>CONCATENATE("          ","6362"," - ","ADVERTISING EXPENSE")</f>
        <v xml:space="preserve">          6362 - ADVERTISING EXPENSE</v>
      </c>
      <c r="C44" s="12"/>
      <c r="D44" s="8">
        <v>2.19</v>
      </c>
      <c r="E44" s="3"/>
      <c r="F44" s="7">
        <f t="shared" si="0"/>
        <v>5.9759961426172841E-5</v>
      </c>
      <c r="G44" s="3"/>
      <c r="H44" s="8"/>
      <c r="I44" s="3"/>
      <c r="J44" s="7">
        <f t="shared" si="1"/>
        <v>0</v>
      </c>
      <c r="K44" s="3"/>
      <c r="L44" s="8">
        <f t="shared" si="2"/>
        <v>2.19</v>
      </c>
      <c r="M44" s="3"/>
      <c r="N44" s="7">
        <f t="shared" si="3"/>
        <v>0</v>
      </c>
      <c r="O44" s="12"/>
      <c r="P44" s="8">
        <v>487.64</v>
      </c>
      <c r="Q44" s="3"/>
      <c r="R44" s="7">
        <f t="shared" si="4"/>
        <v>7.815617836738788E-3</v>
      </c>
      <c r="S44" s="3"/>
      <c r="T44" s="8"/>
      <c r="U44" s="3"/>
      <c r="V44" s="7">
        <f t="shared" si="5"/>
        <v>0</v>
      </c>
      <c r="W44" s="3"/>
      <c r="X44" s="8">
        <f t="shared" si="6"/>
        <v>487.64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6"/>
      <c r="B45" s="14" t="str">
        <f>CONCATENATE("     ","Bad Debts/Over/Short                              ")</f>
        <v xml:space="preserve">     Bad Debts/Over/Short                              </v>
      </c>
      <c r="C45" s="14"/>
      <c r="D45" s="2">
        <f>SUM(OSRRefD22_3x_0)</f>
        <v>-0.96</v>
      </c>
      <c r="E45" s="2"/>
      <c r="F45" s="6">
        <f t="shared" si="0"/>
        <v>-2.6196147474486725E-5</v>
      </c>
      <c r="G45" s="2"/>
      <c r="H45" s="2">
        <f>SUM(OSRRefH22_3x_0)</f>
        <v>0</v>
      </c>
      <c r="I45" s="2"/>
      <c r="J45" s="6">
        <f t="shared" si="1"/>
        <v>0</v>
      </c>
      <c r="K45" s="2"/>
      <c r="L45" s="2">
        <f t="shared" si="2"/>
        <v>-0.96</v>
      </c>
      <c r="M45" s="2"/>
      <c r="N45" s="6">
        <f t="shared" si="3"/>
        <v>0</v>
      </c>
      <c r="O45" s="14"/>
      <c r="P45" s="2">
        <f>SUM(OSRRefP22_3x_0)</f>
        <v>-6.65</v>
      </c>
      <c r="Q45" s="2"/>
      <c r="R45" s="6">
        <f t="shared" si="4"/>
        <v>-1.065824350223791E-4</v>
      </c>
      <c r="S45" s="2"/>
      <c r="T45" s="2">
        <f>SUM(OSRRefT22_3x_0)</f>
        <v>3.31</v>
      </c>
      <c r="U45" s="2"/>
      <c r="V45" s="6">
        <f t="shared" si="5"/>
        <v>1.3365798899239642E-3</v>
      </c>
      <c r="W45" s="2"/>
      <c r="X45" s="2">
        <f t="shared" si="6"/>
        <v>-9.9600000000000009</v>
      </c>
      <c r="Y45" s="2"/>
      <c r="Z45" s="6">
        <f t="shared" si="7"/>
        <v>-3.0090634441087616</v>
      </c>
    </row>
    <row r="46" spans="1:26" s="69" customFormat="1" ht="15" hidden="1" customHeight="1" outlineLevel="2" x14ac:dyDescent="0.3">
      <c r="A46" s="25"/>
      <c r="B46" s="12" t="str">
        <f>CONCATENATE("          ","6272"," - ","CASH (OVER/SHORT)")</f>
        <v xml:space="preserve">          6272 - CASH (OVER/SHORT)</v>
      </c>
      <c r="C46" s="12"/>
      <c r="D46" s="8">
        <v>-0.96</v>
      </c>
      <c r="E46" s="3"/>
      <c r="F46" s="7">
        <f t="shared" si="0"/>
        <v>-2.6196147474486725E-5</v>
      </c>
      <c r="G46" s="3"/>
      <c r="H46" s="8"/>
      <c r="I46" s="3"/>
      <c r="J46" s="7">
        <f t="shared" si="1"/>
        <v>0</v>
      </c>
      <c r="K46" s="3"/>
      <c r="L46" s="8">
        <f t="shared" si="2"/>
        <v>-0.96</v>
      </c>
      <c r="M46" s="3"/>
      <c r="N46" s="7">
        <f t="shared" si="3"/>
        <v>0</v>
      </c>
      <c r="O46" s="12"/>
      <c r="P46" s="8">
        <v>-6.65</v>
      </c>
      <c r="Q46" s="3"/>
      <c r="R46" s="7">
        <f t="shared" si="4"/>
        <v>-1.065824350223791E-4</v>
      </c>
      <c r="S46" s="3"/>
      <c r="T46" s="8">
        <v>3.31</v>
      </c>
      <c r="U46" s="3"/>
      <c r="V46" s="7">
        <f t="shared" si="5"/>
        <v>1.3365798899239642E-3</v>
      </c>
      <c r="W46" s="3"/>
      <c r="X46" s="8">
        <f t="shared" si="6"/>
        <v>-9.9600000000000009</v>
      </c>
      <c r="Y46" s="3"/>
      <c r="Z46" s="7">
        <f t="shared" si="7"/>
        <v>-3.0090634441087616</v>
      </c>
    </row>
    <row r="47" spans="1:26" s="68" customFormat="1" ht="15" customHeight="1" outlineLevel="1" collapsed="1" x14ac:dyDescent="0.3">
      <c r="A47" s="26"/>
      <c r="B47" s="14" t="str">
        <f>CONCATENATE("     ","Bank/card Fees                                    ")</f>
        <v xml:space="preserve">     Bank/card Fees                                    </v>
      </c>
      <c r="C47" s="14"/>
      <c r="D47" s="2">
        <f>SUM(OSRRefD22_4x_0)</f>
        <v>1462</v>
      </c>
      <c r="E47" s="2"/>
      <c r="F47" s="6">
        <f t="shared" si="0"/>
        <v>3.9894549591353745E-2</v>
      </c>
      <c r="G47" s="2"/>
      <c r="H47" s="2">
        <f>SUM(OSRRefH22_4x_0)</f>
        <v>224.95</v>
      </c>
      <c r="I47" s="2"/>
      <c r="J47" s="6">
        <f t="shared" si="1"/>
        <v>0</v>
      </c>
      <c r="K47" s="2"/>
      <c r="L47" s="2">
        <f t="shared" si="2"/>
        <v>1237.05</v>
      </c>
      <c r="M47" s="2"/>
      <c r="N47" s="6">
        <f t="shared" si="3"/>
        <v>5.4992220493442989</v>
      </c>
      <c r="O47" s="14"/>
      <c r="P47" s="2">
        <f>SUM(OSRRefP22_4x_0)</f>
        <v>2907.93</v>
      </c>
      <c r="Q47" s="2"/>
      <c r="R47" s="6">
        <f t="shared" si="4"/>
        <v>4.6606655680395015E-2</v>
      </c>
      <c r="S47" s="2"/>
      <c r="T47" s="2">
        <f>SUM(OSRRefT22_4x_0)</f>
        <v>1348.18</v>
      </c>
      <c r="U47" s="2"/>
      <c r="V47" s="6">
        <f t="shared" si="5"/>
        <v>0.54439585377573718</v>
      </c>
      <c r="W47" s="2"/>
      <c r="X47" s="2">
        <f t="shared" si="6"/>
        <v>1559.7499999999998</v>
      </c>
      <c r="Y47" s="2"/>
      <c r="Z47" s="6">
        <f t="shared" si="7"/>
        <v>1.1569300835200045</v>
      </c>
    </row>
    <row r="48" spans="1:26" s="69" customFormat="1" ht="15" hidden="1" customHeight="1" outlineLevel="2" x14ac:dyDescent="0.3">
      <c r="A48" s="25"/>
      <c r="B48" s="12" t="str">
        <f>CONCATENATE("          ","6381"," - ","BANK/CREDIT CARD FEES")</f>
        <v xml:space="preserve">          6381 - BANK/CREDIT CARD FEES</v>
      </c>
      <c r="C48" s="12"/>
      <c r="D48" s="8">
        <v>1462</v>
      </c>
      <c r="E48" s="3"/>
      <c r="F48" s="7">
        <f t="shared" si="0"/>
        <v>3.9894549591353745E-2</v>
      </c>
      <c r="G48" s="3"/>
      <c r="H48" s="8">
        <v>224.95</v>
      </c>
      <c r="I48" s="3"/>
      <c r="J48" s="7">
        <f t="shared" si="1"/>
        <v>0</v>
      </c>
      <c r="K48" s="3"/>
      <c r="L48" s="8">
        <f t="shared" si="2"/>
        <v>1237.05</v>
      </c>
      <c r="M48" s="3"/>
      <c r="N48" s="7">
        <f t="shared" si="3"/>
        <v>5.4992220493442989</v>
      </c>
      <c r="O48" s="12"/>
      <c r="P48" s="8">
        <v>2907.93</v>
      </c>
      <c r="Q48" s="3"/>
      <c r="R48" s="7">
        <f t="shared" si="4"/>
        <v>4.6606655680395015E-2</v>
      </c>
      <c r="S48" s="3"/>
      <c r="T48" s="8">
        <v>1348.18</v>
      </c>
      <c r="U48" s="3"/>
      <c r="V48" s="7">
        <f t="shared" si="5"/>
        <v>0.54439585377573718</v>
      </c>
      <c r="W48" s="3"/>
      <c r="X48" s="8">
        <f t="shared" si="6"/>
        <v>1559.7499999999998</v>
      </c>
      <c r="Y48" s="3"/>
      <c r="Z48" s="7">
        <f t="shared" si="7"/>
        <v>1.1569300835200045</v>
      </c>
    </row>
    <row r="49" spans="1:26" s="68" customFormat="1" ht="15" customHeight="1" outlineLevel="1" collapsed="1" x14ac:dyDescent="0.3">
      <c r="A49" s="26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SUM(OSRRefD22_5x_0)</f>
        <v>264.60000000000002</v>
      </c>
      <c r="E49" s="2"/>
      <c r="F49" s="6">
        <f t="shared" si="0"/>
        <v>7.2203131476554043E-3</v>
      </c>
      <c r="G49" s="2"/>
      <c r="H49" s="2">
        <f>SUM(OSRRefH22_5x_0)</f>
        <v>1075.3699999999999</v>
      </c>
      <c r="I49" s="2"/>
      <c r="J49" s="6">
        <f t="shared" si="1"/>
        <v>0</v>
      </c>
      <c r="K49" s="2"/>
      <c r="L49" s="2">
        <f t="shared" si="2"/>
        <v>-810.76999999999987</v>
      </c>
      <c r="M49" s="2"/>
      <c r="N49" s="6">
        <f t="shared" si="3"/>
        <v>-0.753945153761031</v>
      </c>
      <c r="O49" s="14"/>
      <c r="P49" s="2">
        <f>SUM(OSRRefP22_5x_0)</f>
        <v>4813.76</v>
      </c>
      <c r="Q49" s="2"/>
      <c r="R49" s="6">
        <f t="shared" si="4"/>
        <v>7.7152219911778591E-2</v>
      </c>
      <c r="S49" s="2"/>
      <c r="T49" s="2">
        <f>SUM(OSRRefT22_5x_0)</f>
        <v>9678.33</v>
      </c>
      <c r="U49" s="2"/>
      <c r="V49" s="6">
        <f t="shared" si="5"/>
        <v>3.9081151800748644</v>
      </c>
      <c r="W49" s="2"/>
      <c r="X49" s="2">
        <f t="shared" si="6"/>
        <v>-4864.57</v>
      </c>
      <c r="Y49" s="2"/>
      <c r="Z49" s="6">
        <f t="shared" si="7"/>
        <v>-0.50262493632682492</v>
      </c>
    </row>
    <row r="50" spans="1:26" s="69" customFormat="1" ht="15" hidden="1" customHeight="1" outlineLevel="2" x14ac:dyDescent="0.3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264.60000000000002</v>
      </c>
      <c r="E50" s="3"/>
      <c r="F50" s="7">
        <f t="shared" si="0"/>
        <v>7.2203131476554043E-3</v>
      </c>
      <c r="G50" s="3"/>
      <c r="H50" s="8">
        <v>1075.3699999999999</v>
      </c>
      <c r="I50" s="3"/>
      <c r="J50" s="7">
        <f t="shared" si="1"/>
        <v>0</v>
      </c>
      <c r="K50" s="3"/>
      <c r="L50" s="8">
        <f t="shared" si="2"/>
        <v>-810.76999999999987</v>
      </c>
      <c r="M50" s="3"/>
      <c r="N50" s="7">
        <f t="shared" si="3"/>
        <v>-0.753945153761031</v>
      </c>
      <c r="O50" s="12"/>
      <c r="P50" s="8">
        <v>4813.76</v>
      </c>
      <c r="Q50" s="3"/>
      <c r="R50" s="7">
        <f t="shared" si="4"/>
        <v>7.7152219911778591E-2</v>
      </c>
      <c r="S50" s="3"/>
      <c r="T50" s="8">
        <v>9678.33</v>
      </c>
      <c r="U50" s="3"/>
      <c r="V50" s="7">
        <f t="shared" si="5"/>
        <v>3.9081151800748644</v>
      </c>
      <c r="W50" s="3"/>
      <c r="X50" s="8">
        <f t="shared" si="6"/>
        <v>-4864.57</v>
      </c>
      <c r="Y50" s="3"/>
      <c r="Z50" s="7">
        <f t="shared" si="7"/>
        <v>-0.50262493632682492</v>
      </c>
    </row>
    <row r="51" spans="1:26" s="68" customFormat="1" ht="15" customHeight="1" outlineLevel="1" collapsed="1" x14ac:dyDescent="0.3">
      <c r="A51" s="26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si="0"/>
        <v>0</v>
      </c>
      <c r="G51" s="2"/>
      <c r="H51" s="2">
        <f>SUM(OSRRefH22_6x_0)</f>
        <v>646.37</v>
      </c>
      <c r="I51" s="2"/>
      <c r="J51" s="6">
        <f t="shared" si="1"/>
        <v>0</v>
      </c>
      <c r="K51" s="2"/>
      <c r="L51" s="2">
        <f t="shared" si="2"/>
        <v>-646.37</v>
      </c>
      <c r="M51" s="2"/>
      <c r="N51" s="6">
        <f t="shared" si="3"/>
        <v>-1</v>
      </c>
      <c r="O51" s="14"/>
      <c r="P51" s="2">
        <f>SUM(OSRRefP22_6x_0)</f>
        <v>1153.93</v>
      </c>
      <c r="Q51" s="2"/>
      <c r="R51" s="6">
        <f t="shared" si="4"/>
        <v>1.8494536728627657E-2</v>
      </c>
      <c r="S51" s="2"/>
      <c r="T51" s="2">
        <f>SUM(OSRRefT22_6x_0)</f>
        <v>1785.31</v>
      </c>
      <c r="U51" s="2"/>
      <c r="V51" s="6">
        <f t="shared" si="5"/>
        <v>0.72090919736560499</v>
      </c>
      <c r="W51" s="2"/>
      <c r="X51" s="2">
        <f t="shared" si="6"/>
        <v>-631.37999999999988</v>
      </c>
      <c r="Y51" s="2"/>
      <c r="Z51" s="6">
        <f t="shared" si="7"/>
        <v>-0.35365286700909082</v>
      </c>
    </row>
    <row r="52" spans="1:26" s="69" customFormat="1" ht="15" hidden="1" customHeight="1" outlineLevel="2" x14ac:dyDescent="0.3">
      <c r="A52" s="25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0"/>
        <v>0</v>
      </c>
      <c r="G52" s="3"/>
      <c r="H52" s="8">
        <v>646.37</v>
      </c>
      <c r="I52" s="3"/>
      <c r="J52" s="7">
        <f t="shared" si="1"/>
        <v>0</v>
      </c>
      <c r="K52" s="3"/>
      <c r="L52" s="8">
        <f t="shared" si="2"/>
        <v>-646.37</v>
      </c>
      <c r="M52" s="3"/>
      <c r="N52" s="7">
        <f t="shared" si="3"/>
        <v>-1</v>
      </c>
      <c r="O52" s="12"/>
      <c r="P52" s="8">
        <v>1153.93</v>
      </c>
      <c r="Q52" s="3"/>
      <c r="R52" s="7">
        <f t="shared" si="4"/>
        <v>1.8494536728627657E-2</v>
      </c>
      <c r="S52" s="3"/>
      <c r="T52" s="8">
        <v>1785.31</v>
      </c>
      <c r="U52" s="3"/>
      <c r="V52" s="7">
        <f t="shared" si="5"/>
        <v>0.72090919736560499</v>
      </c>
      <c r="W52" s="3"/>
      <c r="X52" s="8">
        <f t="shared" si="6"/>
        <v>-631.37999999999988</v>
      </c>
      <c r="Y52" s="3"/>
      <c r="Z52" s="7">
        <f t="shared" si="7"/>
        <v>-0.35365286700909082</v>
      </c>
    </row>
    <row r="53" spans="1:26" s="68" customFormat="1" ht="15" customHeight="1" outlineLevel="1" collapsed="1" x14ac:dyDescent="0.3">
      <c r="A53" s="26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SUM(OSRRefD22_7x_0)</f>
        <v>66.92</v>
      </c>
      <c r="E53" s="2"/>
      <c r="F53" s="6">
        <f t="shared" si="0"/>
        <v>1.8260897802006789E-3</v>
      </c>
      <c r="G53" s="2"/>
      <c r="H53" s="2">
        <f>SUM(OSRRefH22_7x_0)</f>
        <v>48.23</v>
      </c>
      <c r="I53" s="2"/>
      <c r="J53" s="6">
        <f t="shared" si="1"/>
        <v>0</v>
      </c>
      <c r="K53" s="2"/>
      <c r="L53" s="2">
        <f t="shared" si="2"/>
        <v>18.690000000000005</v>
      </c>
      <c r="M53" s="2"/>
      <c r="N53" s="6">
        <f t="shared" si="3"/>
        <v>0.38751814223512349</v>
      </c>
      <c r="O53" s="14"/>
      <c r="P53" s="2">
        <f>SUM(OSRRefP22_7x_0)</f>
        <v>1735.42</v>
      </c>
      <c r="Q53" s="2"/>
      <c r="R53" s="6">
        <f t="shared" si="4"/>
        <v>2.7814329231058216E-2</v>
      </c>
      <c r="S53" s="2"/>
      <c r="T53" s="2">
        <f>SUM(OSRRefT22_7x_0)</f>
        <v>540.85</v>
      </c>
      <c r="U53" s="2"/>
      <c r="V53" s="6">
        <f t="shared" si="5"/>
        <v>0.21839553881129187</v>
      </c>
      <c r="W53" s="2"/>
      <c r="X53" s="2">
        <f t="shared" si="6"/>
        <v>1194.5700000000002</v>
      </c>
      <c r="Y53" s="2"/>
      <c r="Z53" s="6">
        <f t="shared" si="7"/>
        <v>2.2086900249607102</v>
      </c>
    </row>
    <row r="54" spans="1:26" s="69" customFormat="1" ht="15" hidden="1" customHeight="1" outlineLevel="2" x14ac:dyDescent="0.3">
      <c r="A54" s="25"/>
      <c r="B54" s="12" t="str">
        <f>CONCATENATE("          ","6373"," - ","MAINTENANCE CONTRACTS")</f>
        <v xml:space="preserve">          6373 - MAINTENANCE CONTRACTS</v>
      </c>
      <c r="C54" s="12"/>
      <c r="D54" s="8">
        <v>49.93</v>
      </c>
      <c r="E54" s="3"/>
      <c r="F54" s="7">
        <f t="shared" si="0"/>
        <v>1.3624725452095023E-3</v>
      </c>
      <c r="G54" s="3"/>
      <c r="H54" s="8">
        <v>48.23</v>
      </c>
      <c r="I54" s="3"/>
      <c r="J54" s="7">
        <f t="shared" si="1"/>
        <v>0</v>
      </c>
      <c r="K54" s="3"/>
      <c r="L54" s="8">
        <f t="shared" si="2"/>
        <v>1.7000000000000028</v>
      </c>
      <c r="M54" s="3"/>
      <c r="N54" s="7">
        <f t="shared" si="3"/>
        <v>3.5247771096827765E-2</v>
      </c>
      <c r="O54" s="12"/>
      <c r="P54" s="8">
        <v>147.76</v>
      </c>
      <c r="Q54" s="3"/>
      <c r="R54" s="7">
        <f t="shared" si="4"/>
        <v>2.3682136238957494E-3</v>
      </c>
      <c r="S54" s="3"/>
      <c r="T54" s="8">
        <v>223.29</v>
      </c>
      <c r="U54" s="3"/>
      <c r="V54" s="7">
        <f t="shared" si="5"/>
        <v>9.0164629492786086E-2</v>
      </c>
      <c r="W54" s="3"/>
      <c r="X54" s="8">
        <f t="shared" si="6"/>
        <v>-75.53</v>
      </c>
      <c r="Y54" s="3"/>
      <c r="Z54" s="7">
        <f t="shared" si="7"/>
        <v>-0.33825966232254023</v>
      </c>
    </row>
    <row r="55" spans="1:26" s="69" customFormat="1" ht="15" hidden="1" customHeight="1" outlineLevel="2" x14ac:dyDescent="0.3">
      <c r="A55" s="25"/>
      <c r="B55" s="12" t="str">
        <f>CONCATENATE("          ","6375"," - ","OUTSIDE REPAIRS &amp; MAINTENANCE")</f>
        <v xml:space="preserve">          6375 - OUTSIDE REPAIRS &amp; MAINTENANCE</v>
      </c>
      <c r="C55" s="12"/>
      <c r="D55" s="8">
        <v>16.989999999999998</v>
      </c>
      <c r="E55" s="3"/>
      <c r="F55" s="7">
        <f t="shared" si="0"/>
        <v>4.6361723499117646E-4</v>
      </c>
      <c r="G55" s="3"/>
      <c r="H55" s="8"/>
      <c r="I55" s="3"/>
      <c r="J55" s="7">
        <f t="shared" si="1"/>
        <v>0</v>
      </c>
      <c r="K55" s="3"/>
      <c r="L55" s="8">
        <f t="shared" si="2"/>
        <v>16.989999999999998</v>
      </c>
      <c r="M55" s="3"/>
      <c r="N55" s="7">
        <f t="shared" si="3"/>
        <v>0</v>
      </c>
      <c r="O55" s="12"/>
      <c r="P55" s="8">
        <v>1587.66</v>
      </c>
      <c r="Q55" s="3"/>
      <c r="R55" s="7">
        <f t="shared" si="4"/>
        <v>2.5446115607162468E-2</v>
      </c>
      <c r="S55" s="3"/>
      <c r="T55" s="8">
        <v>317.56</v>
      </c>
      <c r="U55" s="3"/>
      <c r="V55" s="7">
        <f t="shared" si="5"/>
        <v>0.12823090931850575</v>
      </c>
      <c r="W55" s="3"/>
      <c r="X55" s="8">
        <f t="shared" si="6"/>
        <v>1270.1000000000001</v>
      </c>
      <c r="Y55" s="3"/>
      <c r="Z55" s="7">
        <f t="shared" si="7"/>
        <v>3.9995591384305333</v>
      </c>
    </row>
    <row r="56" spans="1:26" s="68" customFormat="1" ht="15" customHeight="1" outlineLevel="1" collapsed="1" x14ac:dyDescent="0.3">
      <c r="A56" s="26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2">
        <f>SUM(OSRRefD22_8x_0)</f>
        <v>0</v>
      </c>
      <c r="E56" s="2"/>
      <c r="F56" s="6">
        <f t="shared" si="0"/>
        <v>0</v>
      </c>
      <c r="G56" s="2"/>
      <c r="H56" s="2">
        <f>SUM(OSRRefH22_8x_0)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SUM(OSRRefP22_8x_0)</f>
        <v>0</v>
      </c>
      <c r="Q56" s="2"/>
      <c r="R56" s="6">
        <f t="shared" si="4"/>
        <v>0</v>
      </c>
      <c r="S56" s="2"/>
      <c r="T56" s="2">
        <f>SUM(OSRRefT22_8x_0)</f>
        <v>185.7</v>
      </c>
      <c r="U56" s="2"/>
      <c r="V56" s="6">
        <f t="shared" si="5"/>
        <v>7.4985766029873155E-2</v>
      </c>
      <c r="W56" s="2"/>
      <c r="X56" s="2">
        <f t="shared" si="6"/>
        <v>-185.7</v>
      </c>
      <c r="Y56" s="2"/>
      <c r="Z56" s="6">
        <f t="shared" si="7"/>
        <v>-1</v>
      </c>
    </row>
    <row r="57" spans="1:26" s="69" customFormat="1" ht="15" hidden="1" customHeight="1" outlineLevel="2" x14ac:dyDescent="0.3">
      <c r="A57" s="25"/>
      <c r="B57" s="12" t="str">
        <f>CONCATENATE("          ","6254"," - ","ROYALTY &amp; COMMISSIONS")</f>
        <v xml:space="preserve">          6254 - ROYALTY &amp; COMMISSIONS</v>
      </c>
      <c r="C57" s="12"/>
      <c r="D57" s="8"/>
      <c r="E57" s="3"/>
      <c r="F57" s="7">
        <f t="shared" ref="F57:F73" si="8">IF(D$12=0,0,D57/D$12)</f>
        <v>0</v>
      </c>
      <c r="G57" s="3"/>
      <c r="H57" s="8"/>
      <c r="I57" s="3"/>
      <c r="J57" s="7">
        <f t="shared" ref="J57:J73" si="9">IF(H$12=0,0,H57/H$12)</f>
        <v>0</v>
      </c>
      <c r="K57" s="3"/>
      <c r="L57" s="8">
        <f t="shared" ref="L57:L73" si="10">+D57-H57</f>
        <v>0</v>
      </c>
      <c r="M57" s="3"/>
      <c r="N57" s="7">
        <f t="shared" ref="N57:N73" si="11">IF(H57=0,0,L57/H57)</f>
        <v>0</v>
      </c>
      <c r="O57" s="12"/>
      <c r="P57" s="8"/>
      <c r="Q57" s="3"/>
      <c r="R57" s="7">
        <f t="shared" ref="R57:R73" si="12">IF(P$12=0,0,P57/P$12)</f>
        <v>0</v>
      </c>
      <c r="S57" s="3"/>
      <c r="T57" s="8">
        <v>185.7</v>
      </c>
      <c r="U57" s="3"/>
      <c r="V57" s="7">
        <f t="shared" ref="V57:V73" si="13">IF(T$12=0,0,T57/T$12)</f>
        <v>7.4985766029873155E-2</v>
      </c>
      <c r="W57" s="3"/>
      <c r="X57" s="8">
        <f t="shared" ref="X57:X73" si="14">+P57-T57</f>
        <v>-185.7</v>
      </c>
      <c r="Y57" s="3"/>
      <c r="Z57" s="7">
        <f t="shared" ref="Z57:Z73" si="15">IF(T57=0,0,X57/T57)</f>
        <v>-1</v>
      </c>
    </row>
    <row r="58" spans="1:26" s="68" customFormat="1" ht="15" customHeight="1" outlineLevel="1" collapsed="1" x14ac:dyDescent="0.3">
      <c r="A58" s="26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57.08</v>
      </c>
      <c r="E58" s="2"/>
      <c r="F58" s="6">
        <f t="shared" si="8"/>
        <v>1.5575792685871899E-3</v>
      </c>
      <c r="G58" s="2"/>
      <c r="H58" s="2">
        <f>SUM(OSRRefH22_9x_0)</f>
        <v>0</v>
      </c>
      <c r="I58" s="2"/>
      <c r="J58" s="6">
        <f t="shared" si="9"/>
        <v>0</v>
      </c>
      <c r="K58" s="2"/>
      <c r="L58" s="2">
        <f t="shared" si="10"/>
        <v>57.08</v>
      </c>
      <c r="M58" s="2"/>
      <c r="N58" s="6">
        <f t="shared" si="11"/>
        <v>0</v>
      </c>
      <c r="O58" s="14"/>
      <c r="P58" s="2">
        <f>SUM(OSRRefP22_9x_0)</f>
        <v>263.48</v>
      </c>
      <c r="Q58" s="2"/>
      <c r="R58" s="6">
        <f t="shared" si="12"/>
        <v>4.2229082676235258E-3</v>
      </c>
      <c r="S58" s="2"/>
      <c r="T58" s="2">
        <f>SUM(OSRRefT22_9x_0)</f>
        <v>-63.319999999999993</v>
      </c>
      <c r="U58" s="2"/>
      <c r="V58" s="6">
        <f t="shared" si="13"/>
        <v>-2.556865215407414E-2</v>
      </c>
      <c r="W58" s="2"/>
      <c r="X58" s="2">
        <f t="shared" si="14"/>
        <v>326.8</v>
      </c>
      <c r="Y58" s="2"/>
      <c r="Z58" s="6">
        <f t="shared" si="15"/>
        <v>-5.1610865445356922</v>
      </c>
    </row>
    <row r="59" spans="1:26" s="69" customFormat="1" ht="15" hidden="1" customHeight="1" outlineLevel="2" x14ac:dyDescent="0.3">
      <c r="A59" s="25"/>
      <c r="B59" s="12" t="str">
        <f>CONCATENATE("          ","6282"," - ","JANITORIAL/EXTERMINATOR EXPENS")</f>
        <v xml:space="preserve">          6282 - JANITORIAL/EXTERMINATOR EXPENS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/>
      <c r="Q59" s="3"/>
      <c r="R59" s="7">
        <f t="shared" si="12"/>
        <v>0</v>
      </c>
      <c r="S59" s="3"/>
      <c r="T59" s="8">
        <v>82</v>
      </c>
      <c r="U59" s="3"/>
      <c r="V59" s="7">
        <f t="shared" si="13"/>
        <v>3.3111646819868598E-2</v>
      </c>
      <c r="W59" s="3"/>
      <c r="X59" s="8">
        <f t="shared" si="14"/>
        <v>-82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5"/>
      <c r="B60" s="12" t="str">
        <f>CONCATENATE("          ","6285"," - ","JANITORIAL SERVICES")</f>
        <v xml:space="preserve">          6285 - JANITORIAL SERVICES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206.4</v>
      </c>
      <c r="Q60" s="3"/>
      <c r="R60" s="7">
        <f t="shared" si="12"/>
        <v>3.3080623441532403E-3</v>
      </c>
      <c r="S60" s="3"/>
      <c r="T60" s="8">
        <v>-145.32</v>
      </c>
      <c r="U60" s="3"/>
      <c r="V60" s="7">
        <f t="shared" si="13"/>
        <v>-5.8680298973942738E-2</v>
      </c>
      <c r="W60" s="3"/>
      <c r="X60" s="8">
        <f t="shared" si="14"/>
        <v>351.72</v>
      </c>
      <c r="Y60" s="3"/>
      <c r="Z60" s="7">
        <f t="shared" si="15"/>
        <v>-2.420313790255987</v>
      </c>
    </row>
    <row r="61" spans="1:26" s="69" customFormat="1" ht="15" hidden="1" customHeight="1" outlineLevel="2" x14ac:dyDescent="0.3">
      <c r="A61" s="25"/>
      <c r="B61" s="12" t="str">
        <f>CONCATENATE("          ","6286"," - ","LAUNDRY EXPENSE")</f>
        <v xml:space="preserve">          6286 - LAUNDRY EXPENSE</v>
      </c>
      <c r="C61" s="12"/>
      <c r="D61" s="8">
        <v>57.08</v>
      </c>
      <c r="E61" s="3"/>
      <c r="F61" s="7">
        <f t="shared" si="8"/>
        <v>1.5575792685871899E-3</v>
      </c>
      <c r="G61" s="3"/>
      <c r="H61" s="8"/>
      <c r="I61" s="3"/>
      <c r="J61" s="7">
        <f t="shared" si="9"/>
        <v>0</v>
      </c>
      <c r="K61" s="3"/>
      <c r="L61" s="8">
        <f t="shared" si="10"/>
        <v>57.08</v>
      </c>
      <c r="M61" s="3"/>
      <c r="N61" s="7">
        <f t="shared" si="11"/>
        <v>0</v>
      </c>
      <c r="O61" s="12"/>
      <c r="P61" s="8">
        <v>57.08</v>
      </c>
      <c r="Q61" s="3"/>
      <c r="R61" s="7">
        <f t="shared" si="12"/>
        <v>9.1484592347028555E-4</v>
      </c>
      <c r="S61" s="3"/>
      <c r="T61" s="8"/>
      <c r="U61" s="3"/>
      <c r="V61" s="7">
        <f t="shared" si="13"/>
        <v>0</v>
      </c>
      <c r="W61" s="3"/>
      <c r="X61" s="8">
        <f t="shared" si="14"/>
        <v>57.08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6"/>
      <c r="B62" s="14" t="str">
        <f>CONCATENATE("     ","Supplies                                          ")</f>
        <v xml:space="preserve">     Supplies                                          </v>
      </c>
      <c r="C62" s="14"/>
      <c r="D62" s="2">
        <f>SUM(OSRRefD22_10x_0)</f>
        <v>-131.74</v>
      </c>
      <c r="E62" s="2"/>
      <c r="F62" s="6">
        <f t="shared" si="8"/>
        <v>-3.5948754878009181E-3</v>
      </c>
      <c r="G62" s="2"/>
      <c r="H62" s="2">
        <f>SUM(OSRRefH22_10x_0)</f>
        <v>0</v>
      </c>
      <c r="I62" s="2"/>
      <c r="J62" s="6">
        <f t="shared" si="9"/>
        <v>0</v>
      </c>
      <c r="K62" s="2"/>
      <c r="L62" s="2">
        <f t="shared" si="10"/>
        <v>-131.74</v>
      </c>
      <c r="M62" s="2"/>
      <c r="N62" s="6">
        <f t="shared" si="11"/>
        <v>0</v>
      </c>
      <c r="O62" s="14"/>
      <c r="P62" s="2">
        <f>SUM(OSRRefP22_10x_0)</f>
        <v>1552.8300000000002</v>
      </c>
      <c r="Q62" s="2"/>
      <c r="R62" s="6">
        <f t="shared" si="12"/>
        <v>2.4887880086586611E-2</v>
      </c>
      <c r="S62" s="2"/>
      <c r="T62" s="2">
        <f>SUM(OSRRefT22_10x_0)</f>
        <v>328.55</v>
      </c>
      <c r="U62" s="2"/>
      <c r="V62" s="6">
        <f t="shared" si="13"/>
        <v>0.13266867759351011</v>
      </c>
      <c r="W62" s="2"/>
      <c r="X62" s="2">
        <f t="shared" si="14"/>
        <v>1224.2800000000002</v>
      </c>
      <c r="Y62" s="2"/>
      <c r="Z62" s="6">
        <f t="shared" si="15"/>
        <v>3.7263125856034094</v>
      </c>
    </row>
    <row r="63" spans="1:26" s="69" customFormat="1" ht="15" hidden="1" customHeight="1" outlineLevel="2" x14ac:dyDescent="0.3">
      <c r="A63" s="25"/>
      <c r="B63" s="12" t="str">
        <f>CONCATENATE("          ","6234"," - ","EXPENDABLE SUPPLIES &amp; EQUIPMEN")</f>
        <v xml:space="preserve">          6234 - EXPENDABLE SUPPLIES &amp; EQUIPMEN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1194.8900000000001</v>
      </c>
      <c r="Q63" s="3"/>
      <c r="R63" s="7">
        <f t="shared" si="12"/>
        <v>1.915102041863016E-2</v>
      </c>
      <c r="S63" s="3"/>
      <c r="T63" s="8"/>
      <c r="U63" s="3"/>
      <c r="V63" s="7">
        <f t="shared" si="13"/>
        <v>0</v>
      </c>
      <c r="W63" s="3"/>
      <c r="X63" s="8">
        <f t="shared" si="14"/>
        <v>1194.8900000000001</v>
      </c>
      <c r="Y63" s="3"/>
      <c r="Z63" s="7">
        <f t="shared" si="15"/>
        <v>0</v>
      </c>
    </row>
    <row r="64" spans="1:26" s="69" customFormat="1" ht="15" hidden="1" customHeight="1" outlineLevel="2" x14ac:dyDescent="0.3">
      <c r="A64" s="25"/>
      <c r="B64" s="12" t="str">
        <f>CONCATENATE("          ","6235"," - ","COVID-19 EXPENSES")</f>
        <v xml:space="preserve">          6235 - COVID-19 EXPENSES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/>
      <c r="Q64" s="3"/>
      <c r="R64" s="7">
        <f t="shared" si="12"/>
        <v>0</v>
      </c>
      <c r="S64" s="3"/>
      <c r="T64" s="8">
        <v>207.27</v>
      </c>
      <c r="U64" s="3"/>
      <c r="V64" s="7">
        <f t="shared" si="13"/>
        <v>8.3695744345782502E-2</v>
      </c>
      <c r="W64" s="3"/>
      <c r="X64" s="8">
        <f t="shared" si="14"/>
        <v>-207.27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5"/>
      <c r="B65" s="12" t="str">
        <f>CONCATENATE("          ","6237"," - ","JANITORIAL SUPPLIES")</f>
        <v xml:space="preserve">          6237 - JANITORIAL SUPPLIES</v>
      </c>
      <c r="C65" s="12"/>
      <c r="D65" s="8">
        <v>-90</v>
      </c>
      <c r="E65" s="3"/>
      <c r="F65" s="7">
        <f t="shared" si="8"/>
        <v>-2.4558888257331306E-3</v>
      </c>
      <c r="G65" s="3"/>
      <c r="H65" s="8"/>
      <c r="I65" s="3"/>
      <c r="J65" s="7">
        <f t="shared" si="9"/>
        <v>0</v>
      </c>
      <c r="K65" s="3"/>
      <c r="L65" s="8">
        <f t="shared" si="10"/>
        <v>-90</v>
      </c>
      <c r="M65" s="3"/>
      <c r="N65" s="7">
        <f t="shared" si="11"/>
        <v>0</v>
      </c>
      <c r="O65" s="12"/>
      <c r="P65" s="8">
        <v>-51.66</v>
      </c>
      <c r="Q65" s="3"/>
      <c r="R65" s="7">
        <f t="shared" si="12"/>
        <v>-8.2797723206858703E-4</v>
      </c>
      <c r="S65" s="3"/>
      <c r="T65" s="8"/>
      <c r="U65" s="3"/>
      <c r="V65" s="7">
        <f t="shared" si="13"/>
        <v>0</v>
      </c>
      <c r="W65" s="3"/>
      <c r="X65" s="8">
        <f t="shared" si="14"/>
        <v>-51.66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5"/>
      <c r="B66" s="12" t="str">
        <f>CONCATENATE("          ","6241"," - ","OFFICE EXPENSE")</f>
        <v xml:space="preserve">          6241 - OFFICE EXPENSE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19.940000000000001</v>
      </c>
      <c r="Q66" s="3"/>
      <c r="R66" s="7">
        <f t="shared" si="12"/>
        <v>3.1958703072875778E-4</v>
      </c>
      <c r="S66" s="3"/>
      <c r="T66" s="8"/>
      <c r="U66" s="3"/>
      <c r="V66" s="7">
        <f t="shared" si="13"/>
        <v>0</v>
      </c>
      <c r="W66" s="3"/>
      <c r="X66" s="8">
        <f t="shared" si="14"/>
        <v>19.940000000000001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5"/>
      <c r="B67" s="12" t="str">
        <f>CONCATENATE("          ","6247"," - ","STORE SUPPLIES")</f>
        <v xml:space="preserve">          6247 - STORE SUPPLIES</v>
      </c>
      <c r="C67" s="12"/>
      <c r="D67" s="8">
        <v>-41.74</v>
      </c>
      <c r="E67" s="3"/>
      <c r="F67" s="7">
        <f t="shared" si="8"/>
        <v>-1.1389866620677876E-3</v>
      </c>
      <c r="G67" s="3"/>
      <c r="H67" s="8"/>
      <c r="I67" s="3"/>
      <c r="J67" s="7">
        <f t="shared" si="9"/>
        <v>0</v>
      </c>
      <c r="K67" s="3"/>
      <c r="L67" s="8">
        <f t="shared" si="10"/>
        <v>-41.74</v>
      </c>
      <c r="M67" s="3"/>
      <c r="N67" s="7">
        <f t="shared" si="11"/>
        <v>0</v>
      </c>
      <c r="O67" s="12"/>
      <c r="P67" s="8">
        <v>389.66</v>
      </c>
      <c r="Q67" s="3"/>
      <c r="R67" s="7">
        <f t="shared" si="12"/>
        <v>6.2452498692962769E-3</v>
      </c>
      <c r="S67" s="3"/>
      <c r="T67" s="8">
        <v>121.28</v>
      </c>
      <c r="U67" s="3"/>
      <c r="V67" s="7">
        <f t="shared" si="13"/>
        <v>4.8972933247727606E-2</v>
      </c>
      <c r="W67" s="3"/>
      <c r="X67" s="8">
        <f t="shared" si="14"/>
        <v>268.38</v>
      </c>
      <c r="Y67" s="3"/>
      <c r="Z67" s="7">
        <f t="shared" si="15"/>
        <v>2.2128957783641159</v>
      </c>
    </row>
    <row r="68" spans="1:26" s="68" customFormat="1" ht="15" customHeight="1" outlineLevel="1" collapsed="1" x14ac:dyDescent="0.3">
      <c r="A68" s="26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SUM(OSRRefD22_11x_0)</f>
        <v>126.5</v>
      </c>
      <c r="E68" s="2"/>
      <c r="F68" s="6">
        <f t="shared" si="8"/>
        <v>3.4518881828360113E-3</v>
      </c>
      <c r="G68" s="2"/>
      <c r="H68" s="2">
        <f>SUM(OSRRefH22_11x_0)</f>
        <v>51.5</v>
      </c>
      <c r="I68" s="2"/>
      <c r="J68" s="6">
        <f t="shared" si="9"/>
        <v>0</v>
      </c>
      <c r="K68" s="2"/>
      <c r="L68" s="2">
        <f t="shared" si="10"/>
        <v>75</v>
      </c>
      <c r="M68" s="2"/>
      <c r="N68" s="6">
        <f t="shared" si="11"/>
        <v>1.4563106796116505</v>
      </c>
      <c r="O68" s="14"/>
      <c r="P68" s="2">
        <f>SUM(OSRRefP22_11x_0)</f>
        <v>465</v>
      </c>
      <c r="Q68" s="2"/>
      <c r="R68" s="6">
        <f t="shared" si="12"/>
        <v>7.4527567346475612E-3</v>
      </c>
      <c r="S68" s="2"/>
      <c r="T68" s="2">
        <f>SUM(OSRRefT22_11x_0)</f>
        <v>787</v>
      </c>
      <c r="U68" s="2"/>
      <c r="V68" s="6">
        <f t="shared" si="13"/>
        <v>0.31779104935654373</v>
      </c>
      <c r="W68" s="2"/>
      <c r="X68" s="2">
        <f t="shared" si="14"/>
        <v>-322</v>
      </c>
      <c r="Y68" s="2"/>
      <c r="Z68" s="6">
        <f t="shared" si="15"/>
        <v>-0.40914866581956799</v>
      </c>
    </row>
    <row r="69" spans="1:26" s="69" customFormat="1" ht="15" hidden="1" customHeight="1" outlineLevel="2" x14ac:dyDescent="0.3">
      <c r="A69" s="25"/>
      <c r="B69" s="12" t="str">
        <f>CONCATENATE("          ","6309"," - ","TELEPHONE")</f>
        <v xml:space="preserve">          6309 - TELEPHONE</v>
      </c>
      <c r="C69" s="12"/>
      <c r="D69" s="8">
        <v>126.5</v>
      </c>
      <c r="E69" s="3"/>
      <c r="F69" s="7">
        <f t="shared" si="8"/>
        <v>3.4518881828360113E-3</v>
      </c>
      <c r="G69" s="3"/>
      <c r="H69" s="8">
        <v>51.5</v>
      </c>
      <c r="I69" s="3"/>
      <c r="J69" s="7">
        <f t="shared" si="9"/>
        <v>0</v>
      </c>
      <c r="K69" s="3"/>
      <c r="L69" s="8">
        <f t="shared" si="10"/>
        <v>75</v>
      </c>
      <c r="M69" s="3"/>
      <c r="N69" s="7">
        <f t="shared" si="11"/>
        <v>1.4563106796116505</v>
      </c>
      <c r="O69" s="12"/>
      <c r="P69" s="8">
        <v>465</v>
      </c>
      <c r="Q69" s="3"/>
      <c r="R69" s="7">
        <f t="shared" si="12"/>
        <v>7.4527567346475612E-3</v>
      </c>
      <c r="S69" s="3"/>
      <c r="T69" s="8">
        <v>787</v>
      </c>
      <c r="U69" s="3"/>
      <c r="V69" s="7">
        <f t="shared" si="13"/>
        <v>0.31779104935654373</v>
      </c>
      <c r="W69" s="3"/>
      <c r="X69" s="8">
        <f t="shared" si="14"/>
        <v>-322</v>
      </c>
      <c r="Y69" s="3"/>
      <c r="Z69" s="7">
        <f t="shared" si="15"/>
        <v>-0.40914866581956799</v>
      </c>
    </row>
    <row r="70" spans="1:26" s="68" customFormat="1" ht="15" customHeight="1" outlineLevel="1" collapsed="1" x14ac:dyDescent="0.3">
      <c r="A70" s="26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SUM(OSRRefD22_12x_0)</f>
        <v>0</v>
      </c>
      <c r="E70" s="2"/>
      <c r="F70" s="6">
        <f t="shared" si="8"/>
        <v>0</v>
      </c>
      <c r="G70" s="2"/>
      <c r="H70" s="2">
        <f>SUM(OSRRefH22_12x_0)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SUM(OSRRefP22_12x_0)</f>
        <v>80</v>
      </c>
      <c r="Q70" s="2"/>
      <c r="R70" s="6">
        <f t="shared" si="12"/>
        <v>1.2821947070361394E-3</v>
      </c>
      <c r="S70" s="2"/>
      <c r="T70" s="2">
        <f>SUM(OSRRefT22_12x_0)</f>
        <v>0</v>
      </c>
      <c r="U70" s="2"/>
      <c r="V70" s="6">
        <f t="shared" si="13"/>
        <v>0</v>
      </c>
      <c r="W70" s="2"/>
      <c r="X70" s="2">
        <f t="shared" si="14"/>
        <v>80</v>
      </c>
      <c r="Y70" s="2"/>
      <c r="Z70" s="6">
        <f t="shared" si="15"/>
        <v>0</v>
      </c>
    </row>
    <row r="71" spans="1:26" s="69" customFormat="1" ht="15" hidden="1" customHeight="1" outlineLevel="2" x14ac:dyDescent="0.3">
      <c r="A71" s="25"/>
      <c r="B71" s="12" t="str">
        <f>CONCATENATE("          ","6376"," - ","TRAINING")</f>
        <v xml:space="preserve">          6376 - TRAINING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80</v>
      </c>
      <c r="Q71" s="3"/>
      <c r="R71" s="7">
        <f t="shared" si="12"/>
        <v>1.2821947070361394E-3</v>
      </c>
      <c r="S71" s="3"/>
      <c r="T71" s="8"/>
      <c r="U71" s="3"/>
      <c r="V71" s="7">
        <f t="shared" si="13"/>
        <v>0</v>
      </c>
      <c r="W71" s="3"/>
      <c r="X71" s="8">
        <f t="shared" si="14"/>
        <v>80</v>
      </c>
      <c r="Y71" s="3"/>
      <c r="Z71" s="7">
        <f t="shared" si="15"/>
        <v>0</v>
      </c>
    </row>
    <row r="72" spans="1:26" s="68" customFormat="1" ht="15" customHeight="1" outlineLevel="1" collapsed="1" x14ac:dyDescent="0.3">
      <c r="A72" s="26"/>
      <c r="B72" s="14" t="str">
        <f>CONCATENATE("     ","Utilities                                         ")</f>
        <v xml:space="preserve">     Utilities                                         </v>
      </c>
      <c r="C72" s="14"/>
      <c r="D72" s="2">
        <f>SUM(OSRRefD22_13x_0)</f>
        <v>0</v>
      </c>
      <c r="E72" s="2"/>
      <c r="F72" s="6">
        <f t="shared" si="8"/>
        <v>0</v>
      </c>
      <c r="G72" s="2"/>
      <c r="H72" s="2">
        <f>SUM(OSRRefH22_13x_0)</f>
        <v>50</v>
      </c>
      <c r="I72" s="2"/>
      <c r="J72" s="6">
        <f t="shared" si="9"/>
        <v>0</v>
      </c>
      <c r="K72" s="2"/>
      <c r="L72" s="2">
        <f t="shared" si="10"/>
        <v>-50</v>
      </c>
      <c r="M72" s="2"/>
      <c r="N72" s="6">
        <f t="shared" si="11"/>
        <v>-1</v>
      </c>
      <c r="O72" s="14"/>
      <c r="P72" s="2">
        <f>SUM(OSRRefP22_13x_0)</f>
        <v>0</v>
      </c>
      <c r="Q72" s="2"/>
      <c r="R72" s="6">
        <f t="shared" si="12"/>
        <v>0</v>
      </c>
      <c r="S72" s="2"/>
      <c r="T72" s="2">
        <f>SUM(OSRRefT22_13x_0)</f>
        <v>450</v>
      </c>
      <c r="U72" s="2"/>
      <c r="V72" s="6">
        <f t="shared" si="13"/>
        <v>0.18171025693830328</v>
      </c>
      <c r="W72" s="2"/>
      <c r="X72" s="2">
        <f t="shared" si="14"/>
        <v>-450</v>
      </c>
      <c r="Y72" s="2"/>
      <c r="Z72" s="6">
        <f t="shared" si="15"/>
        <v>-1</v>
      </c>
    </row>
    <row r="73" spans="1:26" s="69" customFormat="1" ht="15" hidden="1" customHeight="1" outlineLevel="2" x14ac:dyDescent="0.3">
      <c r="A73" s="25"/>
      <c r="B73" s="12" t="str">
        <f>CONCATENATE("          ","6274"," - ","UTILITIES")</f>
        <v xml:space="preserve">          6274 - UTILITIES</v>
      </c>
      <c r="C73" s="12"/>
      <c r="D73" s="8"/>
      <c r="E73" s="3"/>
      <c r="F73" s="7">
        <f t="shared" si="8"/>
        <v>0</v>
      </c>
      <c r="G73" s="3"/>
      <c r="H73" s="8">
        <v>50</v>
      </c>
      <c r="I73" s="3"/>
      <c r="J73" s="7">
        <f t="shared" si="9"/>
        <v>0</v>
      </c>
      <c r="K73" s="3"/>
      <c r="L73" s="8">
        <f t="shared" si="10"/>
        <v>-50</v>
      </c>
      <c r="M73" s="3"/>
      <c r="N73" s="7">
        <f t="shared" si="11"/>
        <v>-1</v>
      </c>
      <c r="O73" s="12"/>
      <c r="P73" s="8"/>
      <c r="Q73" s="3"/>
      <c r="R73" s="7">
        <f t="shared" si="12"/>
        <v>0</v>
      </c>
      <c r="S73" s="3"/>
      <c r="T73" s="8">
        <v>450</v>
      </c>
      <c r="U73" s="3"/>
      <c r="V73" s="7">
        <f t="shared" si="13"/>
        <v>0.18171025693830328</v>
      </c>
      <c r="W73" s="3"/>
      <c r="X73" s="8">
        <f t="shared" si="14"/>
        <v>-450</v>
      </c>
      <c r="Y73" s="3"/>
      <c r="Z73" s="7">
        <f t="shared" si="15"/>
        <v>-1</v>
      </c>
    </row>
    <row r="74" spans="1:26" s="64" customFormat="1" ht="15" customHeight="1" x14ac:dyDescent="0.3">
      <c r="A74" s="36"/>
      <c r="B74" s="36"/>
      <c r="C74" s="36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2" customFormat="1" ht="15" customHeight="1" x14ac:dyDescent="0.3">
      <c r="A75" s="11"/>
      <c r="B75" s="28" t="s">
        <v>290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3">
      <c r="A77" s="11"/>
      <c r="B77" s="27" t="s">
        <v>291</v>
      </c>
      <c r="C77" s="27"/>
      <c r="D77" s="22">
        <f>+D23-D25+D75</f>
        <v>3480.5199999999986</v>
      </c>
      <c r="E77" s="15"/>
      <c r="F77" s="21">
        <f>IF(D$12=0,0,D77/D$12)</f>
        <v>9.4975224174896358E-2</v>
      </c>
      <c r="G77" s="15"/>
      <c r="H77" s="22">
        <f>+H23-H25+H75</f>
        <v>-2096.42</v>
      </c>
      <c r="I77" s="15"/>
      <c r="J77" s="21">
        <f>IF(H$12=0,0,H77/H$12)</f>
        <v>0</v>
      </c>
      <c r="K77" s="17"/>
      <c r="L77" s="22">
        <f>+D77-H77</f>
        <v>5576.9399999999987</v>
      </c>
      <c r="M77" s="17"/>
      <c r="N77" s="21">
        <f>IF(H77=0,0,L77/H77)</f>
        <v>-2.6602207572909999</v>
      </c>
      <c r="O77" s="28"/>
      <c r="P77" s="22">
        <f>+P23-P25+P75</f>
        <v>-27078.199999999997</v>
      </c>
      <c r="Q77" s="15"/>
      <c r="R77" s="21">
        <f>IF(P$12=0,0,P77/P$12)</f>
        <v>-0.43399405895082488</v>
      </c>
      <c r="S77" s="15"/>
      <c r="T77" s="22">
        <f>+T23-T25+T75</f>
        <v>-56759.119999999981</v>
      </c>
      <c r="U77" s="15"/>
      <c r="V77" s="21">
        <f>IF(T$12=0,0,T77/T$12)</f>
        <v>-22.919365063982191</v>
      </c>
      <c r="W77" s="17"/>
      <c r="X77" s="22">
        <f>+P77-T77</f>
        <v>29680.919999999984</v>
      </c>
      <c r="Y77" s="17"/>
      <c r="Z77" s="21">
        <f>IF(T77=0,0,X77/T77)</f>
        <v>-0.52292776914088857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48"/>
      <c r="B79" s="11" t="s">
        <v>292</v>
      </c>
      <c r="C79" s="11"/>
      <c r="D79" s="5">
        <v>4232.71</v>
      </c>
      <c r="E79" s="5"/>
      <c r="F79" s="13">
        <f>IF(D$12=0,0,D79/D$12)</f>
        <v>0.11550072435076532</v>
      </c>
      <c r="G79" s="5"/>
      <c r="H79" s="5">
        <v>19.95</v>
      </c>
      <c r="I79" s="5"/>
      <c r="J79" s="13">
        <f>IF(H$12=0,0,H79/H$12)</f>
        <v>0</v>
      </c>
      <c r="K79" s="5"/>
      <c r="L79" s="5">
        <f>+D79-H79</f>
        <v>4212.76</v>
      </c>
      <c r="M79" s="5"/>
      <c r="N79" s="13">
        <f>IF(H79=0,0,L79/H79)</f>
        <v>211.16591478696745</v>
      </c>
      <c r="O79" s="11"/>
      <c r="P79" s="5">
        <v>7446.45</v>
      </c>
      <c r="Q79" s="5"/>
      <c r="R79" s="13">
        <f>IF(P$12=0,0,P79/P$12)</f>
        <v>0.11934748470261576</v>
      </c>
      <c r="S79" s="5"/>
      <c r="T79" s="5">
        <v>510.38</v>
      </c>
      <c r="U79" s="5"/>
      <c r="V79" s="13">
        <f>IF(T$12=0,0,T79/T$12)</f>
        <v>0.20609173541371384</v>
      </c>
      <c r="W79" s="5"/>
      <c r="X79" s="5">
        <f>+P79-T79</f>
        <v>6936.07</v>
      </c>
      <c r="Y79" s="5"/>
      <c r="Z79" s="13">
        <f>IF(T79=0,0,X79/T79)</f>
        <v>13.590011364081665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7" t="s">
        <v>293</v>
      </c>
      <c r="C81" s="27"/>
      <c r="D81" s="34">
        <f>+D77-D79</f>
        <v>-752.19000000000142</v>
      </c>
      <c r="E81" s="15"/>
      <c r="F81" s="33">
        <f>IF(D$12=0,0,D81/D$12)</f>
        <v>-2.0525500175868967E-2</v>
      </c>
      <c r="G81" s="15"/>
      <c r="H81" s="34">
        <f>+H77-H79</f>
        <v>-2116.37</v>
      </c>
      <c r="I81" s="15"/>
      <c r="J81" s="33">
        <f>IF(H$12=0,0,H81/H$12)</f>
        <v>0</v>
      </c>
      <c r="K81" s="17"/>
      <c r="L81" s="34">
        <f>D81-H81</f>
        <v>1364.1799999999985</v>
      </c>
      <c r="M81" s="17"/>
      <c r="N81" s="33">
        <f>IF(H81=0,0,L81/H81)</f>
        <v>-0.6445848315748185</v>
      </c>
      <c r="O81" s="28"/>
      <c r="P81" s="34">
        <f>+P77-P79</f>
        <v>-34524.649999999994</v>
      </c>
      <c r="Q81" s="15"/>
      <c r="R81" s="33">
        <f>IF(P$12=0,0,P81/P$12)</f>
        <v>-0.55334154365344057</v>
      </c>
      <c r="S81" s="15"/>
      <c r="T81" s="34">
        <f>+T77-T79</f>
        <v>-57269.499999999978</v>
      </c>
      <c r="U81" s="15"/>
      <c r="V81" s="33">
        <f>IF(T$12=0,0,T81/T$12)</f>
        <v>-23.125456799395902</v>
      </c>
      <c r="W81" s="17"/>
      <c r="X81" s="34">
        <f>P81-T81</f>
        <v>22744.849999999984</v>
      </c>
      <c r="Y81" s="17"/>
      <c r="Z81" s="33">
        <f>IF(T81=0,0,X81/T81)</f>
        <v>-0.3971546809383702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296</v>
      </c>
      <c r="C84" s="27"/>
      <c r="D84" s="31">
        <f>SUM(D81:D83)</f>
        <v>-752.19000000000142</v>
      </c>
      <c r="E84" s="15"/>
      <c r="F84" s="32">
        <f>IF(D$12=0,0,D84/D$12)</f>
        <v>-2.0525500175868967E-2</v>
      </c>
      <c r="G84" s="15"/>
      <c r="H84" s="31">
        <f>SUM(H81:H83)</f>
        <v>-2116.37</v>
      </c>
      <c r="I84" s="15"/>
      <c r="J84" s="32">
        <f>IF(H$12=0,0,H84/H$12)</f>
        <v>0</v>
      </c>
      <c r="K84" s="17"/>
      <c r="L84" s="31">
        <f>+D84-H84</f>
        <v>1364.1799999999985</v>
      </c>
      <c r="M84" s="17"/>
      <c r="N84" s="32">
        <f>IF(H84=0,0,L84/H84)</f>
        <v>-0.6445848315748185</v>
      </c>
      <c r="O84" s="28"/>
      <c r="P84" s="31">
        <f>SUM(P81:P83)</f>
        <v>-34524.649999999994</v>
      </c>
      <c r="Q84" s="15"/>
      <c r="R84" s="32">
        <f>IF(P$12=0,0,P84/P$12)</f>
        <v>-0.55334154365344057</v>
      </c>
      <c r="S84" s="15"/>
      <c r="T84" s="31">
        <f>SUM(T81:T83)</f>
        <v>-57269.499999999978</v>
      </c>
      <c r="U84" s="15"/>
      <c r="V84" s="32">
        <f>IF(T$12=0,0,T84/T$12)</f>
        <v>-23.125456799395902</v>
      </c>
      <c r="W84" s="17"/>
      <c r="X84" s="31">
        <f>+P84-T84</f>
        <v>22744.849999999984</v>
      </c>
      <c r="Y84" s="17"/>
      <c r="Z84" s="32">
        <f>IF(T84=0,0,X84/T84)</f>
        <v>-0.3971546809383702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6">
        <v>44663.03859679398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7" t="s">
        <v>297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8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068C2-C3E4-6CE2-10E8-2AC6EC4DC615}">
  <sheetPr>
    <tabColor rgb="FF92D050"/>
    <outlinePr summaryBelow="0" summaryRight="0"/>
  </sheetPr>
  <dimension ref="A2:Z5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","322"," - ","Beach Hut")</f>
        <v>Department 322 - Beach Hut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-1222.33</v>
      </c>
      <c r="U14" s="5"/>
      <c r="V14" s="13">
        <f>IF(T$12=0,0,T14/T$12)</f>
        <v>0</v>
      </c>
      <c r="W14" s="5"/>
      <c r="X14" s="5">
        <f>+P14-T14</f>
        <v>1222.33</v>
      </c>
      <c r="Y14" s="5"/>
      <c r="Z14" s="13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/>
      <c r="Q15" s="3"/>
      <c r="R15" s="20">
        <f>IF(P$12=0,0,P15/P$12)</f>
        <v>0</v>
      </c>
      <c r="S15" s="3"/>
      <c r="T15" s="3">
        <v>-1222.33</v>
      </c>
      <c r="U15" s="3"/>
      <c r="V15" s="20">
        <f>IF(T$12=0,0,T15/T$12)</f>
        <v>0</v>
      </c>
      <c r="W15" s="3"/>
      <c r="X15" s="3">
        <f>+P15-T15</f>
        <v>1222.33</v>
      </c>
      <c r="Y15" s="3"/>
      <c r="Z15" s="20">
        <f>IF(T15=0,0,X15/T15)</f>
        <v>-1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7" t="s">
        <v>288</v>
      </c>
      <c r="C17" s="27"/>
      <c r="D17" s="22">
        <f>D12-D14</f>
        <v>0</v>
      </c>
      <c r="E17" s="15"/>
      <c r="F17" s="21">
        <f>IF(D$12=0,0,D17/D$12)</f>
        <v>0</v>
      </c>
      <c r="G17" s="15"/>
      <c r="H17" s="22">
        <f>H12-H14</f>
        <v>0</v>
      </c>
      <c r="I17" s="15"/>
      <c r="J17" s="21">
        <f>IF(H$12=0,0,H17/H$12)</f>
        <v>0</v>
      </c>
      <c r="K17" s="17"/>
      <c r="L17" s="22">
        <f>+D17-H17</f>
        <v>0</v>
      </c>
      <c r="M17" s="17"/>
      <c r="N17" s="21">
        <f>IF(H17=0,0,L17/H17)</f>
        <v>0</v>
      </c>
      <c r="O17" s="28"/>
      <c r="P17" s="22">
        <f>P12-P14</f>
        <v>0</v>
      </c>
      <c r="Q17" s="15"/>
      <c r="R17" s="21">
        <f>IF(P$12=0,0,P17/P$12)</f>
        <v>0</v>
      </c>
      <c r="S17" s="15"/>
      <c r="T17" s="22">
        <f>T12-T14</f>
        <v>1222.33</v>
      </c>
      <c r="U17" s="15"/>
      <c r="V17" s="21">
        <f>IF(T$12=0,0,T17/T$12)</f>
        <v>0</v>
      </c>
      <c r="W17" s="17"/>
      <c r="X17" s="22">
        <f>+P17-T17</f>
        <v>-1222.33</v>
      </c>
      <c r="Y17" s="17"/>
      <c r="Z17" s="21">
        <f>IF(T17=0,0,X17/T17)</f>
        <v>-1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8" t="s">
        <v>289</v>
      </c>
      <c r="C19" s="11"/>
      <c r="D19" s="23" cm="1">
        <f t="array" ref="D19">SUM(OSRRefD22x_0)</f>
        <v>0</v>
      </c>
      <c r="E19" s="23"/>
      <c r="F19" s="35">
        <f t="shared" ref="F19:F40" si="0">IF(D$12=0,0,D19/D$12)</f>
        <v>0</v>
      </c>
      <c r="G19" s="23"/>
      <c r="H19" s="23" cm="1">
        <f t="array" ref="H19">SUM(OSRRefH22x_0)</f>
        <v>1796.69</v>
      </c>
      <c r="I19" s="23"/>
      <c r="J19" s="35">
        <f t="shared" ref="J19:J40" si="1">IF(H$12=0,0,H19/H$12)</f>
        <v>0</v>
      </c>
      <c r="K19" s="5"/>
      <c r="L19" s="23">
        <f t="shared" ref="L19:L40" si="2">+D19-H19</f>
        <v>-1796.69</v>
      </c>
      <c r="M19" s="5"/>
      <c r="N19" s="35">
        <f t="shared" ref="N19:N40" si="3">IF(H19=0,0,L19/H19)</f>
        <v>-1</v>
      </c>
      <c r="O19" s="11"/>
      <c r="P19" s="23" cm="1">
        <f t="array" ref="P19">SUM(OSRRefP22x_0)</f>
        <v>0</v>
      </c>
      <c r="Q19" s="23"/>
      <c r="R19" s="35">
        <f t="shared" ref="R19:R40" si="4">IF(P$12=0,0,P19/P$12)</f>
        <v>0</v>
      </c>
      <c r="S19" s="23"/>
      <c r="T19" s="23" cm="1">
        <f t="array" ref="T19">SUM(OSRRefT22x_0)</f>
        <v>22037.660000000003</v>
      </c>
      <c r="U19" s="23"/>
      <c r="V19" s="35">
        <f t="shared" ref="V19:V40" si="5">IF(T$12=0,0,T19/T$12)</f>
        <v>0</v>
      </c>
      <c r="W19" s="5"/>
      <c r="X19" s="23">
        <f t="shared" ref="X19:X40" si="6">+P19-T19</f>
        <v>-22037.660000000003</v>
      </c>
      <c r="Y19" s="5"/>
      <c r="Z19" s="35">
        <f t="shared" ref="Z19:Z40" si="7">IF(T19=0,0,X19/T19)</f>
        <v>-1</v>
      </c>
    </row>
    <row r="20" spans="1:26" s="68" customFormat="1" ht="15" customHeight="1" outlineLevel="1" collapsed="1" x14ac:dyDescent="0.3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0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0</v>
      </c>
      <c r="M20" s="2"/>
      <c r="N20" s="6">
        <f t="shared" si="3"/>
        <v>0</v>
      </c>
      <c r="O20" s="14"/>
      <c r="P20" s="2">
        <f>SUM(OSRRefP22_0x_0)</f>
        <v>0</v>
      </c>
      <c r="Q20" s="2"/>
      <c r="R20" s="6">
        <f t="shared" si="4"/>
        <v>0</v>
      </c>
      <c r="S20" s="2"/>
      <c r="T20" s="2">
        <f>SUM(OSRRefT22_0x_0)</f>
        <v>1595.9699999999998</v>
      </c>
      <c r="U20" s="2"/>
      <c r="V20" s="6">
        <f t="shared" si="5"/>
        <v>0</v>
      </c>
      <c r="W20" s="2"/>
      <c r="X20" s="2">
        <f t="shared" si="6"/>
        <v>-1595.9699999999998</v>
      </c>
      <c r="Y20" s="2"/>
      <c r="Z20" s="6">
        <f t="shared" si="7"/>
        <v>-1</v>
      </c>
    </row>
    <row r="21" spans="1:26" s="69" customFormat="1" ht="15" hidden="1" customHeight="1" outlineLevel="2" x14ac:dyDescent="0.3">
      <c r="A21" s="25"/>
      <c r="B21" s="12" t="str">
        <f>CONCATENATE("          ","6111"," - ","F.I.C.A.")</f>
        <v xml:space="preserve">          6111 - F.I.C.A.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159.12</v>
      </c>
      <c r="U21" s="3"/>
      <c r="V21" s="7">
        <f t="shared" si="5"/>
        <v>0</v>
      </c>
      <c r="W21" s="3"/>
      <c r="X21" s="8">
        <f t="shared" si="6"/>
        <v>-159.12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683.68</v>
      </c>
      <c r="U22" s="3"/>
      <c r="V22" s="7">
        <f t="shared" si="5"/>
        <v>0</v>
      </c>
      <c r="W22" s="3"/>
      <c r="X22" s="8">
        <f t="shared" si="6"/>
        <v>-683.68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5"/>
      <c r="B23" s="12" t="str">
        <f>CONCATENATE("          ","6115"," - ","P.E.R.S.")</f>
        <v xml:space="preserve">          6115 - P.E.R.S.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321.57</v>
      </c>
      <c r="U23" s="3"/>
      <c r="V23" s="7">
        <f t="shared" si="5"/>
        <v>0</v>
      </c>
      <c r="W23" s="3"/>
      <c r="X23" s="8">
        <f t="shared" si="6"/>
        <v>-321.57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5"/>
      <c r="B24" s="12" t="str">
        <f>CONCATENATE("          ","6118"," - ","VACATION")</f>
        <v xml:space="preserve">          6118 - VACATION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239.72</v>
      </c>
      <c r="U24" s="3"/>
      <c r="V24" s="7">
        <f t="shared" si="5"/>
        <v>0</v>
      </c>
      <c r="W24" s="3"/>
      <c r="X24" s="8">
        <f t="shared" si="6"/>
        <v>-239.72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5"/>
      <c r="B25" s="12" t="str">
        <f>CONCATENATE("          ","6119"," - ","SICK LEAVE")</f>
        <v xml:space="preserve">          6119 - SICK LEAVE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191.88</v>
      </c>
      <c r="U25" s="3"/>
      <c r="V25" s="7">
        <f t="shared" si="5"/>
        <v>0</v>
      </c>
      <c r="W25" s="3"/>
      <c r="X25" s="8">
        <f t="shared" si="6"/>
        <v>-191.88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6"/>
      <c r="B26" s="14" t="str">
        <f>CONCATENATE("     ","*Payroll                                          ")</f>
        <v xml:space="preserve">     *Payroll                                          </v>
      </c>
      <c r="C26" s="14"/>
      <c r="D26" s="2">
        <f>SUM(OSRRefD22_1x_0)</f>
        <v>0</v>
      </c>
      <c r="E26" s="2"/>
      <c r="F26" s="6">
        <f t="shared" si="0"/>
        <v>0</v>
      </c>
      <c r="G26" s="2"/>
      <c r="H26" s="2">
        <f>SUM(OSRRefH22_1x_0)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SUM(OSRRefP22_1x_0)</f>
        <v>0</v>
      </c>
      <c r="Q26" s="2"/>
      <c r="R26" s="6">
        <f t="shared" si="4"/>
        <v>0</v>
      </c>
      <c r="S26" s="2"/>
      <c r="T26" s="2">
        <f>SUM(OSRRefT22_1x_0)</f>
        <v>2080</v>
      </c>
      <c r="U26" s="2"/>
      <c r="V26" s="6">
        <f t="shared" si="5"/>
        <v>0</v>
      </c>
      <c r="W26" s="2"/>
      <c r="X26" s="2">
        <f t="shared" si="6"/>
        <v>-2080</v>
      </c>
      <c r="Y26" s="2"/>
      <c r="Z26" s="6">
        <f t="shared" si="7"/>
        <v>-1</v>
      </c>
    </row>
    <row r="27" spans="1:26" s="69" customFormat="1" ht="15" hidden="1" customHeight="1" outlineLevel="2" x14ac:dyDescent="0.3">
      <c r="A27" s="25"/>
      <c r="B27" s="12" t="str">
        <f>CONCATENATE("          ","6002"," - ","STAFF SALARIES")</f>
        <v xml:space="preserve">          6002 - STAFF SALARIES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2080</v>
      </c>
      <c r="U27" s="3"/>
      <c r="V27" s="7">
        <f t="shared" si="5"/>
        <v>0</v>
      </c>
      <c r="W27" s="3"/>
      <c r="X27" s="8">
        <f t="shared" si="6"/>
        <v>-2080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6"/>
      <c r="B28" s="14" t="str">
        <f>CONCATENATE("     ","Depreciation                                      ")</f>
        <v xml:space="preserve">     Depreciation                                      </v>
      </c>
      <c r="C28" s="14"/>
      <c r="D28" s="2">
        <f>SUM(OSRRefD22_2x_0)</f>
        <v>0</v>
      </c>
      <c r="E28" s="2"/>
      <c r="F28" s="6">
        <f t="shared" si="0"/>
        <v>0</v>
      </c>
      <c r="G28" s="2"/>
      <c r="H28" s="2">
        <f>SUM(OSRRefH22_2x_0)</f>
        <v>2017.34</v>
      </c>
      <c r="I28" s="2"/>
      <c r="J28" s="6">
        <f t="shared" si="1"/>
        <v>0</v>
      </c>
      <c r="K28" s="2"/>
      <c r="L28" s="2">
        <f t="shared" si="2"/>
        <v>-2017.34</v>
      </c>
      <c r="M28" s="2"/>
      <c r="N28" s="6">
        <f t="shared" si="3"/>
        <v>-1</v>
      </c>
      <c r="O28" s="14"/>
      <c r="P28" s="2">
        <f>SUM(OSRRefP22_2x_0)</f>
        <v>0</v>
      </c>
      <c r="Q28" s="2"/>
      <c r="R28" s="6">
        <f t="shared" si="4"/>
        <v>0</v>
      </c>
      <c r="S28" s="2"/>
      <c r="T28" s="2">
        <f>SUM(OSRRefT22_2x_0)</f>
        <v>18156.060000000001</v>
      </c>
      <c r="U28" s="2"/>
      <c r="V28" s="6">
        <f t="shared" si="5"/>
        <v>0</v>
      </c>
      <c r="W28" s="2"/>
      <c r="X28" s="2">
        <f t="shared" si="6"/>
        <v>-18156.060000000001</v>
      </c>
      <c r="Y28" s="2"/>
      <c r="Z28" s="6">
        <f t="shared" si="7"/>
        <v>-1</v>
      </c>
    </row>
    <row r="29" spans="1:26" s="69" customFormat="1" ht="15" hidden="1" customHeight="1" outlineLevel="2" x14ac:dyDescent="0.3">
      <c r="A29" s="25"/>
      <c r="B29" s="12" t="str">
        <f>CONCATENATE("          ","6322"," - ","EQUIPMENT DEPRECIATION EXPENSE")</f>
        <v xml:space="preserve">          6322 - EQUIPMENT DEPRECIATION EXPENSE</v>
      </c>
      <c r="C29" s="12"/>
      <c r="D29" s="8"/>
      <c r="E29" s="3"/>
      <c r="F29" s="7">
        <f t="shared" si="0"/>
        <v>0</v>
      </c>
      <c r="G29" s="3"/>
      <c r="H29" s="8">
        <v>2017.34</v>
      </c>
      <c r="I29" s="3"/>
      <c r="J29" s="7">
        <f t="shared" si="1"/>
        <v>0</v>
      </c>
      <c r="K29" s="3"/>
      <c r="L29" s="8">
        <f t="shared" si="2"/>
        <v>-2017.34</v>
      </c>
      <c r="M29" s="3"/>
      <c r="N29" s="7">
        <f t="shared" si="3"/>
        <v>-1</v>
      </c>
      <c r="O29" s="12"/>
      <c r="P29" s="8"/>
      <c r="Q29" s="3"/>
      <c r="R29" s="7">
        <f t="shared" si="4"/>
        <v>0</v>
      </c>
      <c r="S29" s="3"/>
      <c r="T29" s="8">
        <v>18156.060000000001</v>
      </c>
      <c r="U29" s="3"/>
      <c r="V29" s="7">
        <f t="shared" si="5"/>
        <v>0</v>
      </c>
      <c r="W29" s="3"/>
      <c r="X29" s="8">
        <f t="shared" si="6"/>
        <v>-18156.060000000001</v>
      </c>
      <c r="Y29" s="3"/>
      <c r="Z29" s="7">
        <f t="shared" si="7"/>
        <v>-1</v>
      </c>
    </row>
    <row r="30" spans="1:26" s="68" customFormat="1" ht="15" customHeight="1" outlineLevel="1" collapsed="1" x14ac:dyDescent="0.3">
      <c r="A30" s="26"/>
      <c r="B30" s="14" t="str">
        <f>CONCATENATE("     ","Repair and Maintenance                            ")</f>
        <v xml:space="preserve">     Repair and Maintenance                            </v>
      </c>
      <c r="C30" s="14"/>
      <c r="D30" s="2">
        <f>SUM(OSRRefD22_3x_0)</f>
        <v>0</v>
      </c>
      <c r="E30" s="2"/>
      <c r="F30" s="6">
        <f t="shared" si="0"/>
        <v>0</v>
      </c>
      <c r="G30" s="2"/>
      <c r="H30" s="2">
        <f>SUM(OSRRefH22_3x_0)</f>
        <v>72.349999999999994</v>
      </c>
      <c r="I30" s="2"/>
      <c r="J30" s="6">
        <f t="shared" si="1"/>
        <v>0</v>
      </c>
      <c r="K30" s="2"/>
      <c r="L30" s="2">
        <f t="shared" si="2"/>
        <v>-72.349999999999994</v>
      </c>
      <c r="M30" s="2"/>
      <c r="N30" s="6">
        <f t="shared" si="3"/>
        <v>-1</v>
      </c>
      <c r="O30" s="14"/>
      <c r="P30" s="2">
        <f>SUM(OSRRefP22_3x_0)</f>
        <v>0</v>
      </c>
      <c r="Q30" s="2"/>
      <c r="R30" s="6">
        <f t="shared" si="4"/>
        <v>0</v>
      </c>
      <c r="S30" s="2"/>
      <c r="T30" s="2">
        <f>SUM(OSRRefT22_3x_0)</f>
        <v>295.64999999999998</v>
      </c>
      <c r="U30" s="2"/>
      <c r="V30" s="6">
        <f t="shared" si="5"/>
        <v>0</v>
      </c>
      <c r="W30" s="2"/>
      <c r="X30" s="2">
        <f t="shared" si="6"/>
        <v>-295.64999999999998</v>
      </c>
      <c r="Y30" s="2"/>
      <c r="Z30" s="6">
        <f t="shared" si="7"/>
        <v>-1</v>
      </c>
    </row>
    <row r="31" spans="1:26" s="69" customFormat="1" ht="15" hidden="1" customHeight="1" outlineLevel="2" x14ac:dyDescent="0.3">
      <c r="A31" s="25"/>
      <c r="B31" s="12" t="str">
        <f>CONCATENATE("          ","6373"," - ","MAINTENANCE CONTRACTS")</f>
        <v xml:space="preserve">          6373 - MAINTENANCE CONTRACTS</v>
      </c>
      <c r="C31" s="12"/>
      <c r="D31" s="8"/>
      <c r="E31" s="3"/>
      <c r="F31" s="7">
        <f t="shared" si="0"/>
        <v>0</v>
      </c>
      <c r="G31" s="3"/>
      <c r="H31" s="8">
        <v>72.349999999999994</v>
      </c>
      <c r="I31" s="3"/>
      <c r="J31" s="7">
        <f t="shared" si="1"/>
        <v>0</v>
      </c>
      <c r="K31" s="3"/>
      <c r="L31" s="8">
        <f t="shared" si="2"/>
        <v>-72.349999999999994</v>
      </c>
      <c r="M31" s="3"/>
      <c r="N31" s="7">
        <f t="shared" si="3"/>
        <v>-1</v>
      </c>
      <c r="O31" s="12"/>
      <c r="P31" s="8">
        <v>0</v>
      </c>
      <c r="Q31" s="3"/>
      <c r="R31" s="7">
        <f t="shared" si="4"/>
        <v>0</v>
      </c>
      <c r="S31" s="3"/>
      <c r="T31" s="8">
        <v>295.64999999999998</v>
      </c>
      <c r="U31" s="3"/>
      <c r="V31" s="7">
        <f t="shared" si="5"/>
        <v>0</v>
      </c>
      <c r="W31" s="3"/>
      <c r="X31" s="8">
        <f t="shared" si="6"/>
        <v>-295.64999999999998</v>
      </c>
      <c r="Y31" s="3"/>
      <c r="Z31" s="7">
        <f t="shared" si="7"/>
        <v>-1</v>
      </c>
    </row>
    <row r="32" spans="1:26" s="68" customFormat="1" ht="15" customHeight="1" outlineLevel="1" collapsed="1" x14ac:dyDescent="0.3">
      <c r="A32" s="26"/>
      <c r="B32" s="14" t="str">
        <f>CONCATENATE("     ","Services                                          ")</f>
        <v xml:space="preserve">     Services                                          </v>
      </c>
      <c r="C32" s="14"/>
      <c r="D32" s="2">
        <f>SUM(OSRRefD22_4x_0)</f>
        <v>0</v>
      </c>
      <c r="E32" s="2"/>
      <c r="F32" s="6">
        <f t="shared" si="0"/>
        <v>0</v>
      </c>
      <c r="G32" s="2"/>
      <c r="H32" s="2">
        <f>SUM(OSRRefH22_4x_0)</f>
        <v>0</v>
      </c>
      <c r="I32" s="2"/>
      <c r="J32" s="6">
        <f t="shared" si="1"/>
        <v>0</v>
      </c>
      <c r="K32" s="2"/>
      <c r="L32" s="2">
        <f t="shared" si="2"/>
        <v>0</v>
      </c>
      <c r="M32" s="2"/>
      <c r="N32" s="6">
        <f t="shared" si="3"/>
        <v>0</v>
      </c>
      <c r="O32" s="14"/>
      <c r="P32" s="2">
        <f>SUM(OSRRefP22_4x_0)</f>
        <v>0</v>
      </c>
      <c r="Q32" s="2"/>
      <c r="R32" s="6">
        <f t="shared" si="4"/>
        <v>0</v>
      </c>
      <c r="S32" s="2"/>
      <c r="T32" s="2">
        <f>SUM(OSRRefT22_4x_0)</f>
        <v>-1053.52</v>
      </c>
      <c r="U32" s="2"/>
      <c r="V32" s="6">
        <f t="shared" si="5"/>
        <v>0</v>
      </c>
      <c r="W32" s="2"/>
      <c r="X32" s="2">
        <f t="shared" si="6"/>
        <v>1053.52</v>
      </c>
      <c r="Y32" s="2"/>
      <c r="Z32" s="6">
        <f t="shared" si="7"/>
        <v>-1</v>
      </c>
    </row>
    <row r="33" spans="1:26" s="69" customFormat="1" ht="15" hidden="1" customHeight="1" outlineLevel="2" x14ac:dyDescent="0.3">
      <c r="A33" s="25"/>
      <c r="B33" s="12" t="str">
        <f>CONCATENATE("          ","6282"," - ","JANITORIAL/EXTERMINATOR EXPENS")</f>
        <v xml:space="preserve">          6282 - JANITORIAL/EXTERMINATOR EXPENS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-567.28</v>
      </c>
      <c r="U33" s="3"/>
      <c r="V33" s="7">
        <f t="shared" si="5"/>
        <v>0</v>
      </c>
      <c r="W33" s="3"/>
      <c r="X33" s="8">
        <f t="shared" si="6"/>
        <v>567.28</v>
      </c>
      <c r="Y33" s="3"/>
      <c r="Z33" s="7">
        <f t="shared" si="7"/>
        <v>-1</v>
      </c>
    </row>
    <row r="34" spans="1:26" s="69" customFormat="1" ht="15" hidden="1" customHeight="1" outlineLevel="2" x14ac:dyDescent="0.3">
      <c r="A34" s="25"/>
      <c r="B34" s="12" t="str">
        <f>CONCATENATE("          ","6285"," - ","JANITORIAL SERVICES")</f>
        <v xml:space="preserve">          6285 - JANITORIAL SERVICES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-486.24</v>
      </c>
      <c r="U34" s="3"/>
      <c r="V34" s="7">
        <f t="shared" si="5"/>
        <v>0</v>
      </c>
      <c r="W34" s="3"/>
      <c r="X34" s="8">
        <f t="shared" si="6"/>
        <v>486.24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6"/>
      <c r="B35" s="14" t="str">
        <f>CONCATENATE("     ","Supplies                                          ")</f>
        <v xml:space="preserve">     Supplies              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131.30000000000001</v>
      </c>
      <c r="U35" s="2"/>
      <c r="V35" s="6">
        <f t="shared" si="5"/>
        <v>0</v>
      </c>
      <c r="W35" s="2"/>
      <c r="X35" s="2">
        <f t="shared" si="6"/>
        <v>-131.30000000000001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5"/>
      <c r="B36" s="12" t="str">
        <f>CONCATENATE("          ","6241"," - ","OFFICE EXPENSE")</f>
        <v xml:space="preserve">          6241 - OFFICE EXPENSE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131.30000000000001</v>
      </c>
      <c r="U36" s="3"/>
      <c r="V36" s="7">
        <f t="shared" si="5"/>
        <v>0</v>
      </c>
      <c r="W36" s="3"/>
      <c r="X36" s="8">
        <f t="shared" si="6"/>
        <v>-131.30000000000001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6"/>
      <c r="B37" s="14" t="str">
        <f>CONCATENATE("     ","Telephone/Data Lines                              ")</f>
        <v xml:space="preserve">     Telephone/Data Lines                              </v>
      </c>
      <c r="C37" s="14"/>
      <c r="D37" s="2">
        <f>SUM(OSRRefD22_6x_0)</f>
        <v>0</v>
      </c>
      <c r="E37" s="2"/>
      <c r="F37" s="6">
        <f t="shared" si="0"/>
        <v>0</v>
      </c>
      <c r="G37" s="2"/>
      <c r="H37" s="2">
        <f>SUM(OSRRefH22_6x_0)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SUM(OSRRefP22_6x_0)</f>
        <v>0</v>
      </c>
      <c r="Q37" s="2"/>
      <c r="R37" s="6">
        <f t="shared" si="4"/>
        <v>0</v>
      </c>
      <c r="S37" s="2"/>
      <c r="T37" s="2">
        <f>SUM(OSRRefT22_6x_0)</f>
        <v>85.2</v>
      </c>
      <c r="U37" s="2"/>
      <c r="V37" s="6">
        <f t="shared" si="5"/>
        <v>0</v>
      </c>
      <c r="W37" s="2"/>
      <c r="X37" s="2">
        <f t="shared" si="6"/>
        <v>-85.2</v>
      </c>
      <c r="Y37" s="2"/>
      <c r="Z37" s="6">
        <f t="shared" si="7"/>
        <v>-1</v>
      </c>
    </row>
    <row r="38" spans="1:26" s="69" customFormat="1" ht="15" hidden="1" customHeight="1" outlineLevel="2" x14ac:dyDescent="0.3">
      <c r="A38" s="25"/>
      <c r="B38" s="12" t="str">
        <f>CONCATENATE("          ","6309"," - ","TELEPHONE")</f>
        <v xml:space="preserve">          6309 - TELEPHONE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85.2</v>
      </c>
      <c r="U38" s="3"/>
      <c r="V38" s="7">
        <f t="shared" si="5"/>
        <v>0</v>
      </c>
      <c r="W38" s="3"/>
      <c r="X38" s="8">
        <f t="shared" si="6"/>
        <v>-85.2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6"/>
      <c r="B39" s="14" t="str">
        <f>CONCATENATE("     ","Utilities                                         ")</f>
        <v xml:space="preserve">     Utilities                                         </v>
      </c>
      <c r="C39" s="14"/>
      <c r="D39" s="2">
        <f>SUM(OSRRefD22_7x_0)</f>
        <v>0</v>
      </c>
      <c r="E39" s="2"/>
      <c r="F39" s="6">
        <f t="shared" si="0"/>
        <v>0</v>
      </c>
      <c r="G39" s="2"/>
      <c r="H39" s="2">
        <f>SUM(OSRRefH22_7x_0)</f>
        <v>-293</v>
      </c>
      <c r="I39" s="2"/>
      <c r="J39" s="6">
        <f t="shared" si="1"/>
        <v>0</v>
      </c>
      <c r="K39" s="2"/>
      <c r="L39" s="2">
        <f t="shared" si="2"/>
        <v>293</v>
      </c>
      <c r="M39" s="2"/>
      <c r="N39" s="6">
        <f t="shared" si="3"/>
        <v>-1</v>
      </c>
      <c r="O39" s="14"/>
      <c r="P39" s="2">
        <f>SUM(OSRRefP22_7x_0)</f>
        <v>0</v>
      </c>
      <c r="Q39" s="2"/>
      <c r="R39" s="6">
        <f t="shared" si="4"/>
        <v>0</v>
      </c>
      <c r="S39" s="2"/>
      <c r="T39" s="2">
        <f>SUM(OSRRefT22_7x_0)</f>
        <v>747</v>
      </c>
      <c r="U39" s="2"/>
      <c r="V39" s="6">
        <f t="shared" si="5"/>
        <v>0</v>
      </c>
      <c r="W39" s="2"/>
      <c r="X39" s="2">
        <f t="shared" si="6"/>
        <v>-747</v>
      </c>
      <c r="Y39" s="2"/>
      <c r="Z39" s="6">
        <f t="shared" si="7"/>
        <v>-1</v>
      </c>
    </row>
    <row r="40" spans="1:26" s="69" customFormat="1" ht="15" hidden="1" customHeight="1" outlineLevel="2" x14ac:dyDescent="0.3">
      <c r="A40" s="25"/>
      <c r="B40" s="12" t="str">
        <f>CONCATENATE("          ","6274"," - ","UTILITIES")</f>
        <v xml:space="preserve">          6274 - UTILITIES</v>
      </c>
      <c r="C40" s="12"/>
      <c r="D40" s="8"/>
      <c r="E40" s="3"/>
      <c r="F40" s="7">
        <f t="shared" si="0"/>
        <v>0</v>
      </c>
      <c r="G40" s="3"/>
      <c r="H40" s="8">
        <v>-293</v>
      </c>
      <c r="I40" s="3"/>
      <c r="J40" s="7">
        <f t="shared" si="1"/>
        <v>0</v>
      </c>
      <c r="K40" s="3"/>
      <c r="L40" s="8">
        <f t="shared" si="2"/>
        <v>293</v>
      </c>
      <c r="M40" s="3"/>
      <c r="N40" s="7">
        <f t="shared" si="3"/>
        <v>-1</v>
      </c>
      <c r="O40" s="12"/>
      <c r="P40" s="8"/>
      <c r="Q40" s="3"/>
      <c r="R40" s="7">
        <f t="shared" si="4"/>
        <v>0</v>
      </c>
      <c r="S40" s="3"/>
      <c r="T40" s="8">
        <v>747</v>
      </c>
      <c r="U40" s="3"/>
      <c r="V40" s="7">
        <f t="shared" si="5"/>
        <v>0</v>
      </c>
      <c r="W40" s="3"/>
      <c r="X40" s="8">
        <f t="shared" si="6"/>
        <v>-747</v>
      </c>
      <c r="Y40" s="3"/>
      <c r="Z40" s="7">
        <f t="shared" si="7"/>
        <v>-1</v>
      </c>
    </row>
    <row r="41" spans="1:26" s="64" customFormat="1" ht="15" customHeight="1" x14ac:dyDescent="0.3">
      <c r="A41" s="36"/>
      <c r="B41" s="36"/>
      <c r="C41" s="36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2" customFormat="1" ht="15" customHeight="1" x14ac:dyDescent="0.3">
      <c r="A42" s="11"/>
      <c r="B42" s="28" t="s">
        <v>290</v>
      </c>
      <c r="C42" s="11"/>
      <c r="D42" s="5">
        <f>SUM(0)</f>
        <v>0</v>
      </c>
      <c r="E42" s="5"/>
      <c r="F42" s="13">
        <f>IF(D$12=0,0,D42/D$12)</f>
        <v>0</v>
      </c>
      <c r="G42" s="5"/>
      <c r="H42" s="5">
        <f>SUM(0)</f>
        <v>0</v>
      </c>
      <c r="I42" s="5"/>
      <c r="J42" s="13">
        <f>IF(H$12=0,0,H42/H$12)</f>
        <v>0</v>
      </c>
      <c r="K42" s="5"/>
      <c r="L42" s="5">
        <f>+D42-H42</f>
        <v>0</v>
      </c>
      <c r="M42" s="5"/>
      <c r="N42" s="13">
        <f>IF(H42=0,0,L42/H42)</f>
        <v>0</v>
      </c>
      <c r="O42" s="11"/>
      <c r="P42" s="5">
        <f>SUM(0)</f>
        <v>0</v>
      </c>
      <c r="Q42" s="5"/>
      <c r="R42" s="13">
        <f>IF(P$12=0,0,P42/P$12)</f>
        <v>0</v>
      </c>
      <c r="S42" s="5"/>
      <c r="T42" s="5">
        <f>SUM(0)</f>
        <v>0</v>
      </c>
      <c r="U42" s="5"/>
      <c r="V42" s="13">
        <f>IF(T$12=0,0,T42/T$12)</f>
        <v>0</v>
      </c>
      <c r="W42" s="5"/>
      <c r="X42" s="5">
        <f>+P42-T42</f>
        <v>0</v>
      </c>
      <c r="Y42" s="5"/>
      <c r="Z42" s="13">
        <f>IF(T42=0,0,X42/T42)</f>
        <v>0</v>
      </c>
    </row>
    <row r="43" spans="1:26" ht="15" customHeight="1" x14ac:dyDescent="0.3">
      <c r="A43" s="10"/>
      <c r="B43" s="11"/>
      <c r="C43" s="11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O43" s="11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3">
      <c r="A44" s="11"/>
      <c r="B44" s="27" t="s">
        <v>291</v>
      </c>
      <c r="C44" s="27"/>
      <c r="D44" s="22">
        <f>+D17-D19+D42</f>
        <v>0</v>
      </c>
      <c r="E44" s="15"/>
      <c r="F44" s="21">
        <f>IF(D$12=0,0,D44/D$12)</f>
        <v>0</v>
      </c>
      <c r="G44" s="15"/>
      <c r="H44" s="22">
        <f>+H17-H19+H42</f>
        <v>-1796.69</v>
      </c>
      <c r="I44" s="15"/>
      <c r="J44" s="21">
        <f>IF(H$12=0,0,H44/H$12)</f>
        <v>0</v>
      </c>
      <c r="K44" s="17"/>
      <c r="L44" s="22">
        <f>+D44-H44</f>
        <v>1796.69</v>
      </c>
      <c r="M44" s="17"/>
      <c r="N44" s="21">
        <f>IF(H44=0,0,L44/H44)</f>
        <v>-1</v>
      </c>
      <c r="O44" s="28"/>
      <c r="P44" s="22">
        <f>+P17-P19+P42</f>
        <v>0</v>
      </c>
      <c r="Q44" s="15"/>
      <c r="R44" s="21">
        <f>IF(P$12=0,0,P44/P$12)</f>
        <v>0</v>
      </c>
      <c r="S44" s="15"/>
      <c r="T44" s="22">
        <f>+T17-T19+T42</f>
        <v>-20815.330000000002</v>
      </c>
      <c r="U44" s="15"/>
      <c r="V44" s="21">
        <f>IF(T$12=0,0,T44/T$12)</f>
        <v>0</v>
      </c>
      <c r="W44" s="17"/>
      <c r="X44" s="22">
        <f>+P44-T44</f>
        <v>20815.330000000002</v>
      </c>
      <c r="Y44" s="17"/>
      <c r="Z44" s="21">
        <f>IF(T44=0,0,X44/T44)</f>
        <v>-1</v>
      </c>
    </row>
    <row r="45" spans="1:26" ht="15" customHeight="1" x14ac:dyDescent="0.3">
      <c r="A45" s="10"/>
      <c r="B45" s="11"/>
      <c r="C45" s="10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48"/>
      <c r="B46" s="11" t="s">
        <v>292</v>
      </c>
      <c r="C46" s="11"/>
      <c r="D46" s="5"/>
      <c r="E46" s="5"/>
      <c r="F46" s="13">
        <f>IF(D$12=0,0,D46/D$12)</f>
        <v>0</v>
      </c>
      <c r="G46" s="5"/>
      <c r="H46" s="5"/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/>
      <c r="Q46" s="5"/>
      <c r="R46" s="13">
        <f>IF(P$12=0,0,P46/P$12)</f>
        <v>0</v>
      </c>
      <c r="S46" s="5"/>
      <c r="T46" s="5"/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7" t="s">
        <v>293</v>
      </c>
      <c r="C48" s="27"/>
      <c r="D48" s="34">
        <f>+D44-D46</f>
        <v>0</v>
      </c>
      <c r="E48" s="15"/>
      <c r="F48" s="33">
        <f>IF(D$12=0,0,D48/D$12)</f>
        <v>0</v>
      </c>
      <c r="G48" s="15"/>
      <c r="H48" s="34">
        <f>+H44-H46</f>
        <v>-1796.69</v>
      </c>
      <c r="I48" s="15"/>
      <c r="J48" s="33">
        <f>IF(H$12=0,0,H48/H$12)</f>
        <v>0</v>
      </c>
      <c r="K48" s="17"/>
      <c r="L48" s="34">
        <f>D48-H48</f>
        <v>1796.69</v>
      </c>
      <c r="M48" s="17"/>
      <c r="N48" s="33">
        <f>IF(H48=0,0,L48/H48)</f>
        <v>-1</v>
      </c>
      <c r="O48" s="28"/>
      <c r="P48" s="34">
        <f>+P44-P46</f>
        <v>0</v>
      </c>
      <c r="Q48" s="15"/>
      <c r="R48" s="33">
        <f>IF(P$12=0,0,P48/P$12)</f>
        <v>0</v>
      </c>
      <c r="S48" s="15"/>
      <c r="T48" s="34">
        <f>+T44-T46</f>
        <v>-20815.330000000002</v>
      </c>
      <c r="U48" s="15"/>
      <c r="V48" s="33">
        <f>IF(T$12=0,0,T48/T$12)</f>
        <v>0</v>
      </c>
      <c r="W48" s="17"/>
      <c r="X48" s="34">
        <f>P48-T48</f>
        <v>20815.330000000002</v>
      </c>
      <c r="Y48" s="17"/>
      <c r="Z48" s="33">
        <f>IF(T48=0,0,X48/T48)</f>
        <v>-1</v>
      </c>
    </row>
    <row r="49" spans="1:26" ht="15" customHeight="1" x14ac:dyDescent="0.3">
      <c r="A49" s="10"/>
      <c r="B49" s="10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ht="15" customHeight="1" x14ac:dyDescent="0.3">
      <c r="A50" s="10"/>
      <c r="B50" s="10"/>
      <c r="C50" s="10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7" t="s">
        <v>296</v>
      </c>
      <c r="C51" s="27"/>
      <c r="D51" s="31">
        <f>SUM(D48:D50)</f>
        <v>0</v>
      </c>
      <c r="E51" s="15"/>
      <c r="F51" s="32">
        <f>IF(D$12=0,0,D51/D$12)</f>
        <v>0</v>
      </c>
      <c r="G51" s="15"/>
      <c r="H51" s="31">
        <f>SUM(H48:H50)</f>
        <v>-1796.69</v>
      </c>
      <c r="I51" s="15"/>
      <c r="J51" s="32">
        <f>IF(H$12=0,0,H51/H$12)</f>
        <v>0</v>
      </c>
      <c r="K51" s="17"/>
      <c r="L51" s="31">
        <f>+D51-H51</f>
        <v>1796.69</v>
      </c>
      <c r="M51" s="17"/>
      <c r="N51" s="32">
        <f>IF(H51=0,0,L51/H51)</f>
        <v>-1</v>
      </c>
      <c r="O51" s="28"/>
      <c r="P51" s="31">
        <f>SUM(P48:P50)</f>
        <v>0</v>
      </c>
      <c r="Q51" s="15"/>
      <c r="R51" s="32">
        <f>IF(P$12=0,0,P51/P$12)</f>
        <v>0</v>
      </c>
      <c r="S51" s="15"/>
      <c r="T51" s="31">
        <f>SUM(T48:T50)</f>
        <v>-20815.330000000002</v>
      </c>
      <c r="U51" s="15"/>
      <c r="V51" s="32">
        <f>IF(T$12=0,0,T51/T$12)</f>
        <v>0</v>
      </c>
      <c r="W51" s="17"/>
      <c r="X51" s="31">
        <f>+P51-T51</f>
        <v>20815.330000000002</v>
      </c>
      <c r="Y51" s="17"/>
      <c r="Z51" s="32">
        <f>IF(T51=0,0,X51/T51)</f>
        <v>-1</v>
      </c>
    </row>
    <row r="52" spans="1:26" ht="15" customHeight="1" x14ac:dyDescent="0.3">
      <c r="A52" s="10"/>
      <c r="C52" s="10"/>
      <c r="D52" s="19"/>
      <c r="E52" s="19"/>
      <c r="G52" s="19"/>
      <c r="H52" s="19"/>
      <c r="I52" s="19"/>
      <c r="J52" s="40"/>
      <c r="K52" s="19"/>
      <c r="L52" s="19"/>
      <c r="M52" s="19"/>
      <c r="P52" s="19"/>
      <c r="Q52" s="19"/>
      <c r="R52" s="40"/>
      <c r="S52" s="19"/>
      <c r="T52" s="19"/>
      <c r="U52" s="19"/>
      <c r="V52" s="40"/>
      <c r="W52" s="19"/>
      <c r="X52" s="19"/>
    </row>
    <row r="53" spans="1:26" ht="15" customHeight="1" x14ac:dyDescent="0.3">
      <c r="A53" s="10"/>
      <c r="B53" s="56">
        <v>44663.03859679398</v>
      </c>
      <c r="D53" s="19"/>
      <c r="E53" s="19"/>
      <c r="G53" s="19"/>
      <c r="H53" s="19"/>
      <c r="I53" s="19"/>
      <c r="J53" s="40"/>
      <c r="K53" s="19"/>
      <c r="L53" s="19"/>
      <c r="M53" s="19"/>
      <c r="P53" s="19"/>
      <c r="Q53" s="19"/>
      <c r="R53" s="40"/>
      <c r="S53" s="19"/>
      <c r="T53" s="19"/>
      <c r="U53" s="19"/>
      <c r="V53" s="40"/>
      <c r="W53" s="19"/>
      <c r="X53" s="19"/>
    </row>
    <row r="54" spans="1:26" ht="15" customHeight="1" x14ac:dyDescent="0.3">
      <c r="A54" s="10"/>
      <c r="B54" s="57" t="s">
        <v>297</v>
      </c>
      <c r="D54" s="19"/>
      <c r="E54" s="19"/>
      <c r="G54" s="19"/>
      <c r="H54" s="19"/>
      <c r="I54" s="19"/>
      <c r="J54" s="40"/>
      <c r="K54" s="19"/>
      <c r="L54" s="19"/>
      <c r="M54" s="19"/>
      <c r="P54" s="19"/>
      <c r="Q54" s="19"/>
      <c r="R54" s="40"/>
      <c r="S54" s="19"/>
      <c r="T54" s="19"/>
      <c r="U54" s="19"/>
      <c r="V54" s="40"/>
      <c r="W54" s="19"/>
      <c r="X54" s="19"/>
    </row>
    <row r="55" spans="1:26" ht="15" customHeight="1" x14ac:dyDescent="0.3">
      <c r="A55" s="10"/>
      <c r="B55" s="58"/>
      <c r="D55" s="19"/>
      <c r="E55" s="19"/>
      <c r="G55" s="19"/>
      <c r="H55" s="19"/>
      <c r="I55" s="19"/>
      <c r="J55" s="40"/>
      <c r="K55" s="19"/>
      <c r="L55" s="19"/>
      <c r="M55" s="19"/>
      <c r="P55" s="19"/>
      <c r="Q55" s="19"/>
      <c r="R55" s="40"/>
      <c r="S55" s="19"/>
      <c r="T55" s="19"/>
      <c r="U55" s="19"/>
      <c r="V55" s="40"/>
      <c r="W55" s="19"/>
      <c r="X55" s="19"/>
    </row>
    <row r="56" spans="1:26" ht="15" customHeight="1" x14ac:dyDescent="0.3">
      <c r="D56" s="19"/>
      <c r="E56" s="19"/>
      <c r="G56" s="19"/>
      <c r="H56" s="19"/>
      <c r="I56" s="19"/>
      <c r="J56" s="40"/>
      <c r="K56" s="19"/>
      <c r="L56" s="19"/>
      <c r="M56" s="19"/>
      <c r="P56" s="19"/>
      <c r="Q56" s="19"/>
      <c r="R56" s="40"/>
      <c r="S56" s="19"/>
      <c r="T56" s="19"/>
      <c r="U56" s="19"/>
      <c r="V56" s="40"/>
      <c r="W56" s="19"/>
      <c r="X5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D5F77-6967-2DD4-A747-AA4BE34B496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298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FBA7B-310D-1716-2095-90BB3973CB2F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","325"," - ","Outpost C-Store")</f>
        <v>Department 325 - Outpost C-Store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65050.549999999996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65050.549999999996</v>
      </c>
      <c r="M12" s="5"/>
      <c r="N12" s="13">
        <f>IF(H12=0,0,L12/H12)</f>
        <v>0</v>
      </c>
      <c r="O12" s="11"/>
      <c r="P12" s="5">
        <f>SUM(OSRRefP13x_0)</f>
        <v>191658.73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191658.73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--8860.49</f>
        <v>8860.49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8860.49</v>
      </c>
      <c r="M13" s="3"/>
      <c r="N13" s="20">
        <f>IF(H13=0,0,L13/H13)</f>
        <v>0</v>
      </c>
      <c r="O13" s="12"/>
      <c r="P13" s="3">
        <f>--29233.78</f>
        <v>29233.78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29233.78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--56190.06</f>
        <v>56190.06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56190.06</v>
      </c>
      <c r="M14" s="3"/>
      <c r="N14" s="20">
        <f>IF(H14=0,0,L14/H14)</f>
        <v>0</v>
      </c>
      <c r="O14" s="12"/>
      <c r="P14" s="3">
        <f>--162424.95</f>
        <v>162424.95000000001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162424.95000000001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8" t="s">
        <v>287</v>
      </c>
      <c r="C16" s="11"/>
      <c r="D16" s="5">
        <f>SUM(OSRRefD16x_0)</f>
        <v>13045.739999999998</v>
      </c>
      <c r="E16" s="5"/>
      <c r="F16" s="13">
        <f>IF(D$12=0,0,D16/D$12)</f>
        <v>0.20054772788239297</v>
      </c>
      <c r="G16" s="5"/>
      <c r="H16" s="5">
        <f>SUM(OSRRefH16x_0)</f>
        <v>176.4</v>
      </c>
      <c r="I16" s="5"/>
      <c r="J16" s="13">
        <f>IF(H$12=0,0,H16/H$12)</f>
        <v>0</v>
      </c>
      <c r="K16" s="5"/>
      <c r="L16" s="5">
        <f>+D16-H16</f>
        <v>12869.339999999998</v>
      </c>
      <c r="M16" s="5"/>
      <c r="N16" s="13">
        <f>IF(H16=0,0,L16/H16)</f>
        <v>72.955442176870733</v>
      </c>
      <c r="O16" s="11"/>
      <c r="P16" s="5">
        <f>SUM(OSRRefP16x_0)</f>
        <v>75844.160000000003</v>
      </c>
      <c r="Q16" s="5"/>
      <c r="R16" s="13">
        <f>IF(P$12=0,0,P16/P$12)</f>
        <v>0.39572504732761193</v>
      </c>
      <c r="S16" s="5"/>
      <c r="T16" s="5">
        <f>SUM(OSRRefT16x_0)</f>
        <v>10817.64</v>
      </c>
      <c r="U16" s="5"/>
      <c r="V16" s="13">
        <f>IF(T$12=0,0,T16/T$12)</f>
        <v>0</v>
      </c>
      <c r="W16" s="5"/>
      <c r="X16" s="5">
        <f>+P16-T16</f>
        <v>65026.520000000004</v>
      </c>
      <c r="Y16" s="5"/>
      <c r="Z16" s="13">
        <f>IF(T16=0,0,X16/T16)</f>
        <v>6.0111558528477564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-14878.27</v>
      </c>
      <c r="E17" s="3"/>
      <c r="F17" s="20">
        <f>IF(D$12=0,0,D17/D$12)</f>
        <v>-0.22871858885128568</v>
      </c>
      <c r="G17" s="3"/>
      <c r="H17" s="3">
        <v>176.4</v>
      </c>
      <c r="I17" s="3"/>
      <c r="J17" s="20">
        <f>IF(H$12=0,0,H17/H$12)</f>
        <v>0</v>
      </c>
      <c r="K17" s="3"/>
      <c r="L17" s="3">
        <f>+D17-H17</f>
        <v>-15054.67</v>
      </c>
      <c r="M17" s="3"/>
      <c r="N17" s="20">
        <f>IF(H17=0,0,L17/H17)</f>
        <v>-85.343934240362813</v>
      </c>
      <c r="O17" s="12"/>
      <c r="P17" s="3">
        <v>27014.34</v>
      </c>
      <c r="Q17" s="3"/>
      <c r="R17" s="20">
        <f>IF(P$12=0,0,P17/P$12)</f>
        <v>0.14095021917342351</v>
      </c>
      <c r="S17" s="3"/>
      <c r="T17" s="3">
        <v>-811.36</v>
      </c>
      <c r="U17" s="3"/>
      <c r="V17" s="20">
        <f>IF(T$12=0,0,T17/T$12)</f>
        <v>0</v>
      </c>
      <c r="W17" s="3"/>
      <c r="X17" s="3">
        <f>+P17-T17</f>
        <v>27825.7</v>
      </c>
      <c r="Y17" s="3"/>
      <c r="Z17" s="20">
        <f>IF(T17=0,0,X17/T17)</f>
        <v>-34.295134095839089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27924.01</v>
      </c>
      <c r="E18" s="3"/>
      <c r="F18" s="20">
        <f>IF(D$12=0,0,D18/D$12)</f>
        <v>0.42926631673367865</v>
      </c>
      <c r="G18" s="3"/>
      <c r="H18" s="3"/>
      <c r="I18" s="3"/>
      <c r="J18" s="20">
        <f>IF(H$12=0,0,H18/H$12)</f>
        <v>0</v>
      </c>
      <c r="K18" s="3"/>
      <c r="L18" s="3">
        <f>+D18-H18</f>
        <v>27924.01</v>
      </c>
      <c r="M18" s="3"/>
      <c r="N18" s="20">
        <f>IF(H18=0,0,L18/H18)</f>
        <v>0</v>
      </c>
      <c r="O18" s="12"/>
      <c r="P18" s="3">
        <v>48829.82</v>
      </c>
      <c r="Q18" s="3"/>
      <c r="R18" s="20">
        <f>IF(P$12=0,0,P18/P$12)</f>
        <v>0.25477482815418845</v>
      </c>
      <c r="S18" s="3"/>
      <c r="T18" s="3">
        <v>11629</v>
      </c>
      <c r="U18" s="3"/>
      <c r="V18" s="20">
        <f>IF(T$12=0,0,T18/T$12)</f>
        <v>0</v>
      </c>
      <c r="W18" s="3"/>
      <c r="X18" s="3">
        <f>+P18-T18</f>
        <v>37200.82</v>
      </c>
      <c r="Y18" s="3"/>
      <c r="Z18" s="20">
        <f>IF(T18=0,0,X18/T18)</f>
        <v>3.1989698168372174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7" t="s">
        <v>288</v>
      </c>
      <c r="C20" s="27"/>
      <c r="D20" s="22">
        <f>D12-D16</f>
        <v>52004.81</v>
      </c>
      <c r="E20" s="15"/>
      <c r="F20" s="21">
        <f>IF(D$12=0,0,D20/D$12)</f>
        <v>0.79945227211760705</v>
      </c>
      <c r="G20" s="15"/>
      <c r="H20" s="22">
        <f>H12-H16</f>
        <v>-176.4</v>
      </c>
      <c r="I20" s="15"/>
      <c r="J20" s="21">
        <f>IF(H$12=0,0,H20/H$12)</f>
        <v>0</v>
      </c>
      <c r="K20" s="17"/>
      <c r="L20" s="22">
        <f>+D20-H20</f>
        <v>52181.21</v>
      </c>
      <c r="M20" s="17"/>
      <c r="N20" s="21">
        <f>IF(H20=0,0,L20/H20)</f>
        <v>-295.81184807256233</v>
      </c>
      <c r="O20" s="28"/>
      <c r="P20" s="22">
        <f>P12-P16</f>
        <v>115814.57</v>
      </c>
      <c r="Q20" s="15"/>
      <c r="R20" s="21">
        <f>IF(P$12=0,0,P20/P$12)</f>
        <v>0.60427495267238807</v>
      </c>
      <c r="S20" s="15"/>
      <c r="T20" s="22">
        <f>T12-T16</f>
        <v>-10817.64</v>
      </c>
      <c r="U20" s="15"/>
      <c r="V20" s="21">
        <f>IF(T$12=0,0,T20/T$12)</f>
        <v>0</v>
      </c>
      <c r="W20" s="17"/>
      <c r="X20" s="22">
        <f>+P20-T20</f>
        <v>126632.21</v>
      </c>
      <c r="Y20" s="17"/>
      <c r="Z20" s="21">
        <f>IF(T20=0,0,X20/T20)</f>
        <v>-11.706084691300507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8" t="s">
        <v>289</v>
      </c>
      <c r="C22" s="11"/>
      <c r="D22" s="23" cm="1">
        <f t="array" ref="D22">SUM(OSRRefD22x_0)</f>
        <v>35663.089999999989</v>
      </c>
      <c r="E22" s="23"/>
      <c r="F22" s="35">
        <f t="shared" ref="F22:F53" si="0">IF(D$12=0,0,D22/D$12)</f>
        <v>0.54823656371852336</v>
      </c>
      <c r="G22" s="23"/>
      <c r="H22" s="23" cm="1">
        <f t="array" ref="H22">SUM(OSRRefH22x_0)</f>
        <v>8951.6200000000008</v>
      </c>
      <c r="I22" s="23"/>
      <c r="J22" s="35">
        <f t="shared" ref="J22:J53" si="1">IF(H$12=0,0,H22/H$12)</f>
        <v>0</v>
      </c>
      <c r="K22" s="5"/>
      <c r="L22" s="23">
        <f t="shared" ref="L22:L53" si="2">+D22-H22</f>
        <v>26711.469999999987</v>
      </c>
      <c r="M22" s="5"/>
      <c r="N22" s="35">
        <f t="shared" ref="N22:N53" si="3">IF(H22=0,0,L22/H22)</f>
        <v>2.9839816703568722</v>
      </c>
      <c r="O22" s="11"/>
      <c r="P22" s="23" cm="1">
        <f t="array" ref="P22">SUM(OSRRefP22x_0)</f>
        <v>189524.43000000005</v>
      </c>
      <c r="Q22" s="23"/>
      <c r="R22" s="35">
        <f t="shared" ref="R22:R53" si="4">IF(P$12=0,0,P22/P$12)</f>
        <v>0.98886406061440579</v>
      </c>
      <c r="S22" s="23"/>
      <c r="T22" s="23" cm="1">
        <f t="array" ref="T22">SUM(OSRRefT22x_0)</f>
        <v>100467.34000000001</v>
      </c>
      <c r="U22" s="23"/>
      <c r="V22" s="35">
        <f t="shared" ref="V22:V53" si="5">IF(T$12=0,0,T22/T$12)</f>
        <v>0</v>
      </c>
      <c r="W22" s="5"/>
      <c r="X22" s="23">
        <f t="shared" ref="X22:X53" si="6">+P22-T22</f>
        <v>89057.09000000004</v>
      </c>
      <c r="Y22" s="5"/>
      <c r="Z22" s="35">
        <f t="shared" ref="Z22:Z53" si="7">IF(T22=0,0,X22/T22)</f>
        <v>0.88642826614101689</v>
      </c>
    </row>
    <row r="23" spans="1:26" s="68" customFormat="1" ht="15" customHeight="1" outlineLevel="1" collapsed="1" x14ac:dyDescent="0.3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4140.4699999999993</v>
      </c>
      <c r="E23" s="2"/>
      <c r="F23" s="6">
        <f t="shared" si="0"/>
        <v>6.3650038316355503E-2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4140.4699999999993</v>
      </c>
      <c r="M23" s="2"/>
      <c r="N23" s="6">
        <f t="shared" si="3"/>
        <v>0</v>
      </c>
      <c r="O23" s="14"/>
      <c r="P23" s="2">
        <f>SUM(OSRRefP22_0x_0)</f>
        <v>13476.320000000002</v>
      </c>
      <c r="Q23" s="2"/>
      <c r="R23" s="6">
        <f t="shared" si="4"/>
        <v>7.0314146399697006E-2</v>
      </c>
      <c r="S23" s="2"/>
      <c r="T23" s="2">
        <f>SUM(OSRRefT22_0x_0)</f>
        <v>2889.72</v>
      </c>
      <c r="U23" s="2"/>
      <c r="V23" s="6">
        <f t="shared" si="5"/>
        <v>0</v>
      </c>
      <c r="W23" s="2"/>
      <c r="X23" s="2">
        <f t="shared" si="6"/>
        <v>10586.600000000002</v>
      </c>
      <c r="Y23" s="2"/>
      <c r="Z23" s="6">
        <f t="shared" si="7"/>
        <v>3.663538335894136</v>
      </c>
    </row>
    <row r="24" spans="1:26" s="69" customFormat="1" ht="15" hidden="1" customHeight="1" outlineLevel="2" x14ac:dyDescent="0.3">
      <c r="A24" s="25"/>
      <c r="B24" s="12" t="str">
        <f>CONCATENATE("          ","6111"," - ","F.I.C.A.")</f>
        <v xml:space="preserve">          6111 - F.I.C.A.</v>
      </c>
      <c r="C24" s="12"/>
      <c r="D24" s="8">
        <v>688.4</v>
      </c>
      <c r="E24" s="3"/>
      <c r="F24" s="7">
        <f t="shared" si="0"/>
        <v>1.0582539271382026E-2</v>
      </c>
      <c r="G24" s="3"/>
      <c r="H24" s="8"/>
      <c r="I24" s="3"/>
      <c r="J24" s="7">
        <f t="shared" si="1"/>
        <v>0</v>
      </c>
      <c r="K24" s="3"/>
      <c r="L24" s="8">
        <f t="shared" si="2"/>
        <v>688.4</v>
      </c>
      <c r="M24" s="3"/>
      <c r="N24" s="7">
        <f t="shared" si="3"/>
        <v>0</v>
      </c>
      <c r="O24" s="12"/>
      <c r="P24" s="8">
        <v>2811.96</v>
      </c>
      <c r="Q24" s="3"/>
      <c r="R24" s="7">
        <f t="shared" si="4"/>
        <v>1.4671703188265934E-2</v>
      </c>
      <c r="S24" s="3"/>
      <c r="T24" s="8">
        <v>159.12</v>
      </c>
      <c r="U24" s="3"/>
      <c r="V24" s="7">
        <f t="shared" si="5"/>
        <v>0</v>
      </c>
      <c r="W24" s="3"/>
      <c r="X24" s="8">
        <f t="shared" si="6"/>
        <v>2652.84</v>
      </c>
      <c r="Y24" s="3"/>
      <c r="Z24" s="7">
        <f t="shared" si="7"/>
        <v>16.671945701357465</v>
      </c>
    </row>
    <row r="25" spans="1:26" s="69" customFormat="1" ht="15" hidden="1" customHeight="1" outlineLevel="2" x14ac:dyDescent="0.3">
      <c r="A25" s="25"/>
      <c r="B25" s="12" t="str">
        <f>CONCATENATE("          ","6112"," - ","COMPENSATION INSURANCE")</f>
        <v xml:space="preserve">          6112 - COMPENSATION INSURANCE</v>
      </c>
      <c r="C25" s="12"/>
      <c r="D25" s="8">
        <v>260.11</v>
      </c>
      <c r="E25" s="3"/>
      <c r="F25" s="7">
        <f t="shared" si="0"/>
        <v>3.9985826407309393E-3</v>
      </c>
      <c r="G25" s="3"/>
      <c r="H25" s="8"/>
      <c r="I25" s="3"/>
      <c r="J25" s="7">
        <f t="shared" si="1"/>
        <v>0</v>
      </c>
      <c r="K25" s="3"/>
      <c r="L25" s="8">
        <f t="shared" si="2"/>
        <v>260.11</v>
      </c>
      <c r="M25" s="3"/>
      <c r="N25" s="7">
        <f t="shared" si="3"/>
        <v>0</v>
      </c>
      <c r="O25" s="12"/>
      <c r="P25" s="8">
        <v>1015.5</v>
      </c>
      <c r="Q25" s="3"/>
      <c r="R25" s="7">
        <f t="shared" si="4"/>
        <v>5.2984802727222497E-3</v>
      </c>
      <c r="S25" s="3"/>
      <c r="T25" s="8"/>
      <c r="U25" s="3"/>
      <c r="V25" s="7">
        <f t="shared" si="5"/>
        <v>0</v>
      </c>
      <c r="W25" s="3"/>
      <c r="X25" s="8">
        <f t="shared" si="6"/>
        <v>1015.5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5"/>
      <c r="B26" s="12" t="str">
        <f>CONCATENATE("          ","6113"," - ","GROUP INSURANCE")</f>
        <v xml:space="preserve">          6113 - GROUP INSURANCE</v>
      </c>
      <c r="C26" s="12"/>
      <c r="D26" s="8">
        <v>1752.24</v>
      </c>
      <c r="E26" s="3"/>
      <c r="F26" s="7">
        <f t="shared" si="0"/>
        <v>2.6936590082635738E-2</v>
      </c>
      <c r="G26" s="3"/>
      <c r="H26" s="8"/>
      <c r="I26" s="3"/>
      <c r="J26" s="7">
        <f t="shared" si="1"/>
        <v>0</v>
      </c>
      <c r="K26" s="3"/>
      <c r="L26" s="8">
        <f t="shared" si="2"/>
        <v>1752.24</v>
      </c>
      <c r="M26" s="3"/>
      <c r="N26" s="7">
        <f t="shared" si="3"/>
        <v>0</v>
      </c>
      <c r="O26" s="12"/>
      <c r="P26" s="8">
        <v>5256.72</v>
      </c>
      <c r="Q26" s="3"/>
      <c r="R26" s="7">
        <f t="shared" si="4"/>
        <v>2.7427500954430827E-2</v>
      </c>
      <c r="S26" s="3"/>
      <c r="T26" s="8">
        <v>1915.63</v>
      </c>
      <c r="U26" s="3"/>
      <c r="V26" s="7">
        <f t="shared" si="5"/>
        <v>0</v>
      </c>
      <c r="W26" s="3"/>
      <c r="X26" s="8">
        <f t="shared" si="6"/>
        <v>3341.09</v>
      </c>
      <c r="Y26" s="3"/>
      <c r="Z26" s="7">
        <f t="shared" si="7"/>
        <v>1.7441207331269608</v>
      </c>
    </row>
    <row r="27" spans="1:26" s="69" customFormat="1" ht="15" hidden="1" customHeight="1" outlineLevel="2" x14ac:dyDescent="0.3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45.7</v>
      </c>
      <c r="E27" s="3"/>
      <c r="F27" s="7">
        <f t="shared" si="0"/>
        <v>7.0253057045636057E-4</v>
      </c>
      <c r="G27" s="3"/>
      <c r="H27" s="8"/>
      <c r="I27" s="3"/>
      <c r="J27" s="7">
        <f t="shared" si="1"/>
        <v>0</v>
      </c>
      <c r="K27" s="3"/>
      <c r="L27" s="8">
        <f t="shared" si="2"/>
        <v>45.7</v>
      </c>
      <c r="M27" s="3"/>
      <c r="N27" s="7">
        <f t="shared" si="3"/>
        <v>0</v>
      </c>
      <c r="O27" s="12"/>
      <c r="P27" s="8">
        <v>157.71</v>
      </c>
      <c r="Q27" s="3"/>
      <c r="R27" s="7">
        <f t="shared" si="4"/>
        <v>8.228688565347376E-4</v>
      </c>
      <c r="S27" s="3"/>
      <c r="T27" s="8"/>
      <c r="U27" s="3"/>
      <c r="V27" s="7">
        <f t="shared" si="5"/>
        <v>0</v>
      </c>
      <c r="W27" s="3"/>
      <c r="X27" s="8">
        <f t="shared" si="6"/>
        <v>157.71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5"/>
      <c r="B28" s="12" t="str">
        <f>CONCATENATE("          ","6115"," - ","P.E.R.S.")</f>
        <v xml:space="preserve">          6115 - P.E.R.S.</v>
      </c>
      <c r="C28" s="12"/>
      <c r="D28" s="8">
        <v>548.17999999999995</v>
      </c>
      <c r="E28" s="3"/>
      <c r="F28" s="7">
        <f t="shared" si="0"/>
        <v>8.4269848602356173E-3</v>
      </c>
      <c r="G28" s="3"/>
      <c r="H28" s="8"/>
      <c r="I28" s="3"/>
      <c r="J28" s="7">
        <f t="shared" si="1"/>
        <v>0</v>
      </c>
      <c r="K28" s="3"/>
      <c r="L28" s="8">
        <f t="shared" si="2"/>
        <v>548.17999999999995</v>
      </c>
      <c r="M28" s="3"/>
      <c r="N28" s="7">
        <f t="shared" si="3"/>
        <v>0</v>
      </c>
      <c r="O28" s="12"/>
      <c r="P28" s="8">
        <v>1644.54</v>
      </c>
      <c r="Q28" s="3"/>
      <c r="R28" s="7">
        <f t="shared" si="4"/>
        <v>8.5805640056156058E-3</v>
      </c>
      <c r="S28" s="3"/>
      <c r="T28" s="8">
        <v>458.89</v>
      </c>
      <c r="U28" s="3"/>
      <c r="V28" s="7">
        <f t="shared" si="5"/>
        <v>0</v>
      </c>
      <c r="W28" s="3"/>
      <c r="X28" s="8">
        <f t="shared" si="6"/>
        <v>1185.6500000000001</v>
      </c>
      <c r="Y28" s="3"/>
      <c r="Z28" s="7">
        <f t="shared" si="7"/>
        <v>2.5837346640807168</v>
      </c>
    </row>
    <row r="29" spans="1:26" s="69" customFormat="1" ht="15" hidden="1" customHeight="1" outlineLevel="2" x14ac:dyDescent="0.3">
      <c r="A29" s="25"/>
      <c r="B29" s="12" t="str">
        <f>CONCATENATE("          ","6118"," - ","VACATION")</f>
        <v xml:space="preserve">          6118 - VACATION</v>
      </c>
      <c r="C29" s="12"/>
      <c r="D29" s="8">
        <v>368.44</v>
      </c>
      <c r="E29" s="3"/>
      <c r="F29" s="7">
        <f t="shared" si="0"/>
        <v>5.6639029185764E-3</v>
      </c>
      <c r="G29" s="3"/>
      <c r="H29" s="8"/>
      <c r="I29" s="3"/>
      <c r="J29" s="7">
        <f t="shared" si="1"/>
        <v>0</v>
      </c>
      <c r="K29" s="3"/>
      <c r="L29" s="8">
        <f t="shared" si="2"/>
        <v>368.44</v>
      </c>
      <c r="M29" s="3"/>
      <c r="N29" s="7">
        <f t="shared" si="3"/>
        <v>0</v>
      </c>
      <c r="O29" s="12"/>
      <c r="P29" s="8">
        <v>1105.32</v>
      </c>
      <c r="Q29" s="3"/>
      <c r="R29" s="7">
        <f t="shared" si="4"/>
        <v>5.7671257656773571E-3</v>
      </c>
      <c r="S29" s="3"/>
      <c r="T29" s="8">
        <v>152.1</v>
      </c>
      <c r="U29" s="3"/>
      <c r="V29" s="7">
        <f t="shared" si="5"/>
        <v>0</v>
      </c>
      <c r="W29" s="3"/>
      <c r="X29" s="8">
        <f t="shared" si="6"/>
        <v>953.21999999999991</v>
      </c>
      <c r="Y29" s="3"/>
      <c r="Z29" s="7">
        <f t="shared" si="7"/>
        <v>6.267061143984221</v>
      </c>
    </row>
    <row r="30" spans="1:26" s="69" customFormat="1" ht="15" hidden="1" customHeight="1" outlineLevel="2" x14ac:dyDescent="0.3">
      <c r="A30" s="25"/>
      <c r="B30" s="12" t="str">
        <f>CONCATENATE("          ","6119"," - ","SICK LEAVE")</f>
        <v xml:space="preserve">          6119 - SICK LEAVE</v>
      </c>
      <c r="C30" s="12"/>
      <c r="D30" s="8">
        <v>232.4</v>
      </c>
      <c r="E30" s="3"/>
      <c r="F30" s="7">
        <f t="shared" si="0"/>
        <v>3.5726062270034615E-3</v>
      </c>
      <c r="G30" s="3"/>
      <c r="H30" s="8"/>
      <c r="I30" s="3"/>
      <c r="J30" s="7">
        <f t="shared" si="1"/>
        <v>0</v>
      </c>
      <c r="K30" s="3"/>
      <c r="L30" s="8">
        <f t="shared" si="2"/>
        <v>232.4</v>
      </c>
      <c r="M30" s="3"/>
      <c r="N30" s="7">
        <f t="shared" si="3"/>
        <v>0</v>
      </c>
      <c r="O30" s="12"/>
      <c r="P30" s="8">
        <v>697.2</v>
      </c>
      <c r="Q30" s="3"/>
      <c r="R30" s="7">
        <f t="shared" si="4"/>
        <v>3.6377158504598251E-3</v>
      </c>
      <c r="S30" s="3"/>
      <c r="T30" s="8">
        <v>203.98</v>
      </c>
      <c r="U30" s="3"/>
      <c r="V30" s="7">
        <f t="shared" si="5"/>
        <v>0</v>
      </c>
      <c r="W30" s="3"/>
      <c r="X30" s="8">
        <f t="shared" si="6"/>
        <v>493.22</v>
      </c>
      <c r="Y30" s="3"/>
      <c r="Z30" s="7">
        <f t="shared" si="7"/>
        <v>2.4179821551132465</v>
      </c>
    </row>
    <row r="31" spans="1:26" s="69" customFormat="1" ht="15" hidden="1" customHeight="1" outlineLevel="2" x14ac:dyDescent="0.3">
      <c r="A31" s="25"/>
      <c r="B31" s="12" t="str">
        <f>CONCATENATE("          ","6156"," - ","EMPLOYEE MEALS")</f>
        <v xml:space="preserve">          6156 - EMPLOYEE MEALS</v>
      </c>
      <c r="C31" s="12"/>
      <c r="D31" s="8">
        <v>245</v>
      </c>
      <c r="E31" s="3"/>
      <c r="F31" s="7">
        <f t="shared" si="0"/>
        <v>3.7663017453349744E-3</v>
      </c>
      <c r="G31" s="3"/>
      <c r="H31" s="8"/>
      <c r="I31" s="3"/>
      <c r="J31" s="7">
        <f t="shared" si="1"/>
        <v>0</v>
      </c>
      <c r="K31" s="3"/>
      <c r="L31" s="8">
        <f t="shared" si="2"/>
        <v>245</v>
      </c>
      <c r="M31" s="3"/>
      <c r="N31" s="7">
        <f t="shared" si="3"/>
        <v>0</v>
      </c>
      <c r="O31" s="12"/>
      <c r="P31" s="8">
        <v>787.37</v>
      </c>
      <c r="Q31" s="3"/>
      <c r="R31" s="7">
        <f t="shared" si="4"/>
        <v>4.1081875059904649E-3</v>
      </c>
      <c r="S31" s="3"/>
      <c r="T31" s="8"/>
      <c r="U31" s="3"/>
      <c r="V31" s="7">
        <f t="shared" si="5"/>
        <v>0</v>
      </c>
      <c r="W31" s="3"/>
      <c r="X31" s="8">
        <f t="shared" si="6"/>
        <v>787.37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6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16325.560000000001</v>
      </c>
      <c r="E32" s="2"/>
      <c r="F32" s="6">
        <f t="shared" si="0"/>
        <v>0.25096728621049325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16325.560000000001</v>
      </c>
      <c r="M32" s="2"/>
      <c r="N32" s="6">
        <f t="shared" si="3"/>
        <v>0</v>
      </c>
      <c r="O32" s="14"/>
      <c r="P32" s="2">
        <f>SUM(OSRRefP22_1x_0)</f>
        <v>62046.52</v>
      </c>
      <c r="Q32" s="2"/>
      <c r="R32" s="6">
        <f t="shared" si="4"/>
        <v>0.32373437933142934</v>
      </c>
      <c r="S32" s="2"/>
      <c r="T32" s="2">
        <f>SUM(OSRRefT22_1x_0)</f>
        <v>884</v>
      </c>
      <c r="U32" s="2"/>
      <c r="V32" s="6">
        <f t="shared" si="5"/>
        <v>0</v>
      </c>
      <c r="W32" s="2"/>
      <c r="X32" s="2">
        <f t="shared" si="6"/>
        <v>61162.52</v>
      </c>
      <c r="Y32" s="2"/>
      <c r="Z32" s="6">
        <f t="shared" si="7"/>
        <v>69.188371040723979</v>
      </c>
    </row>
    <row r="33" spans="1:26" s="69" customFormat="1" ht="15" hidden="1" customHeight="1" outlineLevel="2" x14ac:dyDescent="0.3">
      <c r="A33" s="25"/>
      <c r="B33" s="12" t="str">
        <f>CONCATENATE("          ","6002"," - ","STAFF SALARIES")</f>
        <v xml:space="preserve">          6002 - STAFF SALARIES</v>
      </c>
      <c r="C33" s="12"/>
      <c r="D33" s="8">
        <v>4534.6099999999997</v>
      </c>
      <c r="E33" s="3"/>
      <c r="F33" s="7">
        <f t="shared" si="0"/>
        <v>6.9709018601687461E-2</v>
      </c>
      <c r="G33" s="3"/>
      <c r="H33" s="8"/>
      <c r="I33" s="3"/>
      <c r="J33" s="7">
        <f t="shared" si="1"/>
        <v>0</v>
      </c>
      <c r="K33" s="3"/>
      <c r="L33" s="8">
        <f t="shared" si="2"/>
        <v>4534.6099999999997</v>
      </c>
      <c r="M33" s="3"/>
      <c r="N33" s="7">
        <f t="shared" si="3"/>
        <v>0</v>
      </c>
      <c r="O33" s="12"/>
      <c r="P33" s="8">
        <v>15619.61</v>
      </c>
      <c r="Q33" s="3"/>
      <c r="R33" s="7">
        <f t="shared" si="4"/>
        <v>8.1496992075445765E-2</v>
      </c>
      <c r="S33" s="3"/>
      <c r="T33" s="8">
        <v>884</v>
      </c>
      <c r="U33" s="3"/>
      <c r="V33" s="7">
        <f t="shared" si="5"/>
        <v>0</v>
      </c>
      <c r="W33" s="3"/>
      <c r="X33" s="8">
        <f t="shared" si="6"/>
        <v>14735.61</v>
      </c>
      <c r="Y33" s="3"/>
      <c r="Z33" s="7">
        <f t="shared" si="7"/>
        <v>16.669242081447965</v>
      </c>
    </row>
    <row r="34" spans="1:26" s="69" customFormat="1" ht="15" hidden="1" customHeight="1" outlineLevel="2" x14ac:dyDescent="0.3">
      <c r="A34" s="25"/>
      <c r="B34" s="12" t="str">
        <f>CONCATENATE("          ","6005"," - ","TEMPORARY WAGES-HOURLY")</f>
        <v xml:space="preserve">          6005 - TEMPORARY WAGES-HOURLY</v>
      </c>
      <c r="C34" s="12"/>
      <c r="D34" s="8">
        <v>2910.34</v>
      </c>
      <c r="E34" s="3"/>
      <c r="F34" s="7">
        <f t="shared" si="0"/>
        <v>4.4739667842931388E-2</v>
      </c>
      <c r="G34" s="3"/>
      <c r="H34" s="8"/>
      <c r="I34" s="3"/>
      <c r="J34" s="7">
        <f t="shared" si="1"/>
        <v>0</v>
      </c>
      <c r="K34" s="3"/>
      <c r="L34" s="8">
        <f t="shared" si="2"/>
        <v>2910.34</v>
      </c>
      <c r="M34" s="3"/>
      <c r="N34" s="7">
        <f t="shared" si="3"/>
        <v>0</v>
      </c>
      <c r="O34" s="12"/>
      <c r="P34" s="8">
        <v>20568.73</v>
      </c>
      <c r="Q34" s="3"/>
      <c r="R34" s="7">
        <f t="shared" si="4"/>
        <v>0.10731955700635186</v>
      </c>
      <c r="S34" s="3"/>
      <c r="T34" s="8"/>
      <c r="U34" s="3"/>
      <c r="V34" s="7">
        <f t="shared" si="5"/>
        <v>0</v>
      </c>
      <c r="W34" s="3"/>
      <c r="X34" s="8">
        <f t="shared" si="6"/>
        <v>20568.73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5"/>
      <c r="B35" s="12" t="str">
        <f>CONCATENATE("          ","6007"," - ","STUDENT HOURLY")</f>
        <v xml:space="preserve">          6007 - STUDENT HOURLY</v>
      </c>
      <c r="C35" s="12"/>
      <c r="D35" s="8">
        <v>8880.61</v>
      </c>
      <c r="E35" s="3"/>
      <c r="F35" s="7">
        <f t="shared" si="0"/>
        <v>0.13651859976587441</v>
      </c>
      <c r="G35" s="3"/>
      <c r="H35" s="8"/>
      <c r="I35" s="3"/>
      <c r="J35" s="7">
        <f t="shared" si="1"/>
        <v>0</v>
      </c>
      <c r="K35" s="3"/>
      <c r="L35" s="8">
        <f t="shared" si="2"/>
        <v>8880.61</v>
      </c>
      <c r="M35" s="3"/>
      <c r="N35" s="7">
        <f t="shared" si="3"/>
        <v>0</v>
      </c>
      <c r="O35" s="12"/>
      <c r="P35" s="8">
        <v>25858.18</v>
      </c>
      <c r="Q35" s="3"/>
      <c r="R35" s="7">
        <f t="shared" si="4"/>
        <v>0.13491783024963172</v>
      </c>
      <c r="S35" s="3"/>
      <c r="T35" s="8"/>
      <c r="U35" s="3"/>
      <c r="V35" s="7">
        <f t="shared" si="5"/>
        <v>0</v>
      </c>
      <c r="W35" s="3"/>
      <c r="X35" s="8">
        <f t="shared" si="6"/>
        <v>25858.18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6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0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SUM(OSRRefP22_2x_0)</f>
        <v>91.22</v>
      </c>
      <c r="Q36" s="2"/>
      <c r="R36" s="6">
        <f t="shared" si="4"/>
        <v>4.7595014325723642E-4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91.22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5"/>
      <c r="B37" s="12" t="str">
        <f>CONCATENATE("          ","6362"," - ","ADVERTISING EXPENSE")</f>
        <v xml:space="preserve">          6362 - ADVERTISING EXPENSE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91.22</v>
      </c>
      <c r="Q37" s="3"/>
      <c r="R37" s="7">
        <f t="shared" si="4"/>
        <v>4.7595014325723642E-4</v>
      </c>
      <c r="S37" s="3"/>
      <c r="T37" s="8"/>
      <c r="U37" s="3"/>
      <c r="V37" s="7">
        <f t="shared" si="5"/>
        <v>0</v>
      </c>
      <c r="W37" s="3"/>
      <c r="X37" s="8">
        <f t="shared" si="6"/>
        <v>91.22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6"/>
      <c r="B38" s="14" t="str">
        <f>CONCATENATE("     ","Bad Debts/Over/Short                              ")</f>
        <v xml:space="preserve">     Bad Debts/Over/Short                              </v>
      </c>
      <c r="C38" s="14"/>
      <c r="D38" s="2">
        <f>SUM(OSRRefD22_3x_0)</f>
        <v>-1.92</v>
      </c>
      <c r="E38" s="2"/>
      <c r="F38" s="6">
        <f t="shared" si="0"/>
        <v>-2.9515507555278166E-5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-1.92</v>
      </c>
      <c r="M38" s="2"/>
      <c r="N38" s="6">
        <f t="shared" si="3"/>
        <v>0</v>
      </c>
      <c r="O38" s="14"/>
      <c r="P38" s="2">
        <f>SUM(OSRRefP22_3x_0)</f>
        <v>17.989999999999998</v>
      </c>
      <c r="Q38" s="2"/>
      <c r="R38" s="6">
        <f t="shared" si="4"/>
        <v>9.3864756382346873E-5</v>
      </c>
      <c r="S38" s="2"/>
      <c r="T38" s="2">
        <f>SUM(OSRRefT22_3x_0)</f>
        <v>0</v>
      </c>
      <c r="U38" s="2"/>
      <c r="V38" s="6">
        <f t="shared" si="5"/>
        <v>0</v>
      </c>
      <c r="W38" s="2"/>
      <c r="X38" s="2">
        <f t="shared" si="6"/>
        <v>17.989999999999998</v>
      </c>
      <c r="Y38" s="2"/>
      <c r="Z38" s="6">
        <f t="shared" si="7"/>
        <v>0</v>
      </c>
    </row>
    <row r="39" spans="1:26" s="69" customFormat="1" ht="15" hidden="1" customHeight="1" outlineLevel="2" x14ac:dyDescent="0.3">
      <c r="A39" s="25"/>
      <c r="B39" s="12" t="str">
        <f>CONCATENATE("          ","6272"," - ","CASH (OVER/SHORT)")</f>
        <v xml:space="preserve">          6272 - CASH (OVER/SHORT)</v>
      </c>
      <c r="C39" s="12"/>
      <c r="D39" s="8">
        <v>-1.92</v>
      </c>
      <c r="E39" s="3"/>
      <c r="F39" s="7">
        <f t="shared" si="0"/>
        <v>-2.9515507555278166E-5</v>
      </c>
      <c r="G39" s="3"/>
      <c r="H39" s="8"/>
      <c r="I39" s="3"/>
      <c r="J39" s="7">
        <f t="shared" si="1"/>
        <v>0</v>
      </c>
      <c r="K39" s="3"/>
      <c r="L39" s="8">
        <f t="shared" si="2"/>
        <v>-1.92</v>
      </c>
      <c r="M39" s="3"/>
      <c r="N39" s="7">
        <f t="shared" si="3"/>
        <v>0</v>
      </c>
      <c r="O39" s="12"/>
      <c r="P39" s="8">
        <v>17.989999999999998</v>
      </c>
      <c r="Q39" s="3"/>
      <c r="R39" s="7">
        <f t="shared" si="4"/>
        <v>9.3864756382346873E-5</v>
      </c>
      <c r="S39" s="3"/>
      <c r="T39" s="8"/>
      <c r="U39" s="3"/>
      <c r="V39" s="7">
        <f t="shared" si="5"/>
        <v>0</v>
      </c>
      <c r="W39" s="3"/>
      <c r="X39" s="8">
        <f t="shared" si="6"/>
        <v>17.989999999999998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6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SUM(OSRRefD22_4x_0)</f>
        <v>2610.98</v>
      </c>
      <c r="E40" s="2"/>
      <c r="F40" s="6">
        <f t="shared" si="0"/>
        <v>4.0137708289937596E-2</v>
      </c>
      <c r="G40" s="2"/>
      <c r="H40" s="2">
        <f>SUM(OSRRefH22_4x_0)</f>
        <v>0</v>
      </c>
      <c r="I40" s="2"/>
      <c r="J40" s="6">
        <f t="shared" si="1"/>
        <v>0</v>
      </c>
      <c r="K40" s="2"/>
      <c r="L40" s="2">
        <f t="shared" si="2"/>
        <v>2610.98</v>
      </c>
      <c r="M40" s="2"/>
      <c r="N40" s="6">
        <f t="shared" si="3"/>
        <v>0</v>
      </c>
      <c r="O40" s="14"/>
      <c r="P40" s="2">
        <f>SUM(OSRRefP22_4x_0)</f>
        <v>7723.9</v>
      </c>
      <c r="Q40" s="2"/>
      <c r="R40" s="6">
        <f t="shared" si="4"/>
        <v>4.0300277477576939E-2</v>
      </c>
      <c r="S40" s="2"/>
      <c r="T40" s="2">
        <f>SUM(OSRRefT22_4x_0)</f>
        <v>0</v>
      </c>
      <c r="U40" s="2"/>
      <c r="V40" s="6">
        <f t="shared" si="5"/>
        <v>0</v>
      </c>
      <c r="W40" s="2"/>
      <c r="X40" s="2">
        <f t="shared" si="6"/>
        <v>7723.9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5"/>
      <c r="B41" s="12" t="str">
        <f>CONCATENATE("          ","6381"," - ","BANK/CREDIT CARD FEES")</f>
        <v xml:space="preserve">          6381 - BANK/CREDIT CARD FEES</v>
      </c>
      <c r="C41" s="12"/>
      <c r="D41" s="8">
        <v>2610.98</v>
      </c>
      <c r="E41" s="3"/>
      <c r="F41" s="7">
        <f t="shared" si="0"/>
        <v>4.0137708289937596E-2</v>
      </c>
      <c r="G41" s="3"/>
      <c r="H41" s="8"/>
      <c r="I41" s="3"/>
      <c r="J41" s="7">
        <f t="shared" si="1"/>
        <v>0</v>
      </c>
      <c r="K41" s="3"/>
      <c r="L41" s="8">
        <f t="shared" si="2"/>
        <v>2610.98</v>
      </c>
      <c r="M41" s="3"/>
      <c r="N41" s="7">
        <f t="shared" si="3"/>
        <v>0</v>
      </c>
      <c r="O41" s="12"/>
      <c r="P41" s="8">
        <v>7723.9</v>
      </c>
      <c r="Q41" s="3"/>
      <c r="R41" s="7">
        <f t="shared" si="4"/>
        <v>4.0300277477576939E-2</v>
      </c>
      <c r="S41" s="3"/>
      <c r="T41" s="8"/>
      <c r="U41" s="3"/>
      <c r="V41" s="7">
        <f t="shared" si="5"/>
        <v>0</v>
      </c>
      <c r="W41" s="3"/>
      <c r="X41" s="8">
        <f t="shared" si="6"/>
        <v>7723.9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6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SUM(OSRRefD22_5x_0)</f>
        <v>5471.21</v>
      </c>
      <c r="E42" s="2"/>
      <c r="F42" s="6">
        <f t="shared" si="0"/>
        <v>8.410705213099659E-2</v>
      </c>
      <c r="G42" s="2"/>
      <c r="H42" s="2">
        <f>SUM(OSRRefH22_5x_0)</f>
        <v>5471.21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SUM(OSRRefP22_5x_0)</f>
        <v>49240.89</v>
      </c>
      <c r="Q42" s="2"/>
      <c r="R42" s="6">
        <f t="shared" si="4"/>
        <v>0.25691963001111401</v>
      </c>
      <c r="S42" s="2"/>
      <c r="T42" s="2">
        <f>SUM(OSRRefT22_5x_0)</f>
        <v>49686.39</v>
      </c>
      <c r="U42" s="2"/>
      <c r="V42" s="6">
        <f t="shared" si="5"/>
        <v>0</v>
      </c>
      <c r="W42" s="2"/>
      <c r="X42" s="2">
        <f t="shared" si="6"/>
        <v>-445.5</v>
      </c>
      <c r="Y42" s="2"/>
      <c r="Z42" s="6">
        <f t="shared" si="7"/>
        <v>-8.9662380382233443E-3</v>
      </c>
    </row>
    <row r="43" spans="1:26" s="69" customFormat="1" ht="15" hidden="1" customHeight="1" outlineLevel="2" x14ac:dyDescent="0.3">
      <c r="A43" s="25"/>
      <c r="B43" s="12" t="str">
        <f>CONCATENATE("          ","6321"," - ","BUILDING DEPRECIATION")</f>
        <v xml:space="preserve">          6321 - BUILDING DEPRECIATION</v>
      </c>
      <c r="C43" s="12"/>
      <c r="D43" s="8">
        <v>5080.51</v>
      </c>
      <c r="E43" s="3"/>
      <c r="F43" s="7">
        <f t="shared" si="0"/>
        <v>7.8100953796701192E-2</v>
      </c>
      <c r="G43" s="3"/>
      <c r="H43" s="8">
        <v>5080.51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45724.59</v>
      </c>
      <c r="Q43" s="3"/>
      <c r="R43" s="7">
        <f t="shared" si="4"/>
        <v>0.23857295725584737</v>
      </c>
      <c r="S43" s="3"/>
      <c r="T43" s="8">
        <v>45724.59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69" customFormat="1" ht="15" hidden="1" customHeight="1" outlineLevel="2" x14ac:dyDescent="0.3">
      <c r="A44" s="25"/>
      <c r="B44" s="12" t="str">
        <f>CONCATENATE("          ","6322"," - ","EQUIPMENT DEPRECIATION EXPENSE")</f>
        <v xml:space="preserve">          6322 - EQUIPMENT DEPRECIATION EXPENSE</v>
      </c>
      <c r="C44" s="12"/>
      <c r="D44" s="8">
        <v>390.7</v>
      </c>
      <c r="E44" s="3"/>
      <c r="F44" s="7">
        <f t="shared" si="0"/>
        <v>6.0060983342954061E-3</v>
      </c>
      <c r="G44" s="3"/>
      <c r="H44" s="8">
        <v>390.7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3516.3</v>
      </c>
      <c r="Q44" s="3"/>
      <c r="R44" s="7">
        <f t="shared" si="4"/>
        <v>1.8346672755266615E-2</v>
      </c>
      <c r="S44" s="3"/>
      <c r="T44" s="8">
        <v>3961.8</v>
      </c>
      <c r="U44" s="3"/>
      <c r="V44" s="7">
        <f t="shared" si="5"/>
        <v>0</v>
      </c>
      <c r="W44" s="3"/>
      <c r="X44" s="8">
        <f t="shared" si="6"/>
        <v>-445.5</v>
      </c>
      <c r="Y44" s="3"/>
      <c r="Z44" s="7">
        <f t="shared" si="7"/>
        <v>-0.11244888686960472</v>
      </c>
    </row>
    <row r="45" spans="1:26" s="68" customFormat="1" ht="15" customHeight="1" outlineLevel="1" collapsed="1" x14ac:dyDescent="0.3">
      <c r="A45" s="26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SUM(OSRRefD22_6x_0)</f>
        <v>0</v>
      </c>
      <c r="E45" s="2"/>
      <c r="F45" s="6">
        <f t="shared" si="0"/>
        <v>0</v>
      </c>
      <c r="G45" s="2"/>
      <c r="H45" s="2">
        <f>SUM(OSRRefH22_6x_0)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SUM(OSRRefP22_6x_0)</f>
        <v>0</v>
      </c>
      <c r="Q45" s="2"/>
      <c r="R45" s="6">
        <f t="shared" si="4"/>
        <v>0</v>
      </c>
      <c r="S45" s="2"/>
      <c r="T45" s="2">
        <f>SUM(OSRRefT22_6x_0)</f>
        <v>428.95</v>
      </c>
      <c r="U45" s="2"/>
      <c r="V45" s="6">
        <f t="shared" si="5"/>
        <v>0</v>
      </c>
      <c r="W45" s="2"/>
      <c r="X45" s="2">
        <f t="shared" si="6"/>
        <v>-428.95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5"/>
      <c r="B46" s="12" t="str">
        <f>CONCATENATE("          ","6351"," - ","EQUIPMENT RENTAL")</f>
        <v xml:space="preserve">          6351 - EQUIPMENT RENTAL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428.95</v>
      </c>
      <c r="U46" s="3"/>
      <c r="V46" s="7">
        <f t="shared" si="5"/>
        <v>0</v>
      </c>
      <c r="W46" s="3"/>
      <c r="X46" s="8">
        <f t="shared" si="6"/>
        <v>-428.95</v>
      </c>
      <c r="Y46" s="3"/>
      <c r="Z46" s="7">
        <f t="shared" si="7"/>
        <v>-1</v>
      </c>
    </row>
    <row r="47" spans="1:26" s="68" customFormat="1" ht="15" customHeight="1" outlineLevel="1" collapsed="1" x14ac:dyDescent="0.3">
      <c r="A47" s="26"/>
      <c r="B47" s="14" t="str">
        <f>CONCATENATE("     ","General                                           ")</f>
        <v xml:space="preserve">     General                                           </v>
      </c>
      <c r="C47" s="14"/>
      <c r="D47" s="2">
        <f>SUM(OSRRefD22_7x_0)</f>
        <v>0</v>
      </c>
      <c r="E47" s="2"/>
      <c r="F47" s="6">
        <f t="shared" si="0"/>
        <v>0</v>
      </c>
      <c r="G47" s="2"/>
      <c r="H47" s="2">
        <f>SUM(OSRRefH22_7x_0)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SUM(OSRRefP22_7x_0)</f>
        <v>1002.45</v>
      </c>
      <c r="Q47" s="2"/>
      <c r="R47" s="6">
        <f t="shared" si="4"/>
        <v>5.2303904966916979E-3</v>
      </c>
      <c r="S47" s="2"/>
      <c r="T47" s="2">
        <f>SUM(OSRRefT22_7x_0)</f>
        <v>914.55</v>
      </c>
      <c r="U47" s="2"/>
      <c r="V47" s="6">
        <f t="shared" si="5"/>
        <v>0</v>
      </c>
      <c r="W47" s="2"/>
      <c r="X47" s="2">
        <f t="shared" si="6"/>
        <v>87.900000000000091</v>
      </c>
      <c r="Y47" s="2"/>
      <c r="Z47" s="6">
        <f t="shared" si="7"/>
        <v>9.6112842381499197E-2</v>
      </c>
    </row>
    <row r="48" spans="1:26" s="69" customFormat="1" ht="15" hidden="1" customHeight="1" outlineLevel="2" x14ac:dyDescent="0.3">
      <c r="A48" s="25"/>
      <c r="B48" s="12" t="str">
        <f>CONCATENATE("          ","6279"," - ","GENERAL EXPENSE")</f>
        <v xml:space="preserve">          6279 - GENERAL EXPENSE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1002.45</v>
      </c>
      <c r="Q48" s="3"/>
      <c r="R48" s="7">
        <f t="shared" si="4"/>
        <v>5.2303904966916979E-3</v>
      </c>
      <c r="S48" s="3"/>
      <c r="T48" s="8">
        <v>914.55</v>
      </c>
      <c r="U48" s="3"/>
      <c r="V48" s="7">
        <f t="shared" si="5"/>
        <v>0</v>
      </c>
      <c r="W48" s="3"/>
      <c r="X48" s="8">
        <f t="shared" si="6"/>
        <v>87.900000000000091</v>
      </c>
      <c r="Y48" s="3"/>
      <c r="Z48" s="7">
        <f t="shared" si="7"/>
        <v>9.6112842381499197E-2</v>
      </c>
    </row>
    <row r="49" spans="1:26" s="68" customFormat="1" ht="15" customHeight="1" outlineLevel="1" collapsed="1" x14ac:dyDescent="0.3">
      <c r="A49" s="26"/>
      <c r="B49" s="14" t="str">
        <f>CONCATENATE("     ","Insurance                                         ")</f>
        <v xml:space="preserve">     Insurance                                         </v>
      </c>
      <c r="C49" s="14"/>
      <c r="D49" s="2">
        <f>SUM(OSRRefD22_8x_0)</f>
        <v>331.01</v>
      </c>
      <c r="E49" s="2"/>
      <c r="F49" s="6">
        <f t="shared" si="0"/>
        <v>5.088504247850326E-3</v>
      </c>
      <c r="G49" s="2"/>
      <c r="H49" s="2">
        <f>SUM(OSRRefH22_8x_0)</f>
        <v>243.54</v>
      </c>
      <c r="I49" s="2"/>
      <c r="J49" s="6">
        <f t="shared" si="1"/>
        <v>0</v>
      </c>
      <c r="K49" s="2"/>
      <c r="L49" s="2">
        <f t="shared" si="2"/>
        <v>87.47</v>
      </c>
      <c r="M49" s="2"/>
      <c r="N49" s="6">
        <f t="shared" si="3"/>
        <v>0.35916071281924944</v>
      </c>
      <c r="O49" s="14"/>
      <c r="P49" s="2">
        <f>SUM(OSRRefP22_8x_0)</f>
        <v>2979.09</v>
      </c>
      <c r="Q49" s="2"/>
      <c r="R49" s="6">
        <f t="shared" si="4"/>
        <v>1.5543721906119278E-2</v>
      </c>
      <c r="S49" s="2"/>
      <c r="T49" s="2">
        <f>SUM(OSRRefT22_8x_0)</f>
        <v>2191.86</v>
      </c>
      <c r="U49" s="2"/>
      <c r="V49" s="6">
        <f t="shared" si="5"/>
        <v>0</v>
      </c>
      <c r="W49" s="2"/>
      <c r="X49" s="2">
        <f t="shared" si="6"/>
        <v>787.23</v>
      </c>
      <c r="Y49" s="2"/>
      <c r="Z49" s="6">
        <f t="shared" si="7"/>
        <v>0.35916071281924938</v>
      </c>
    </row>
    <row r="50" spans="1:26" s="69" customFormat="1" ht="15" hidden="1" customHeight="1" outlineLevel="2" x14ac:dyDescent="0.3">
      <c r="A50" s="25"/>
      <c r="B50" s="12" t="str">
        <f>CONCATENATE("          ","6314"," - ","LIABILITY INSURANCE")</f>
        <v xml:space="preserve">          6314 - LIABILITY INSURANCE</v>
      </c>
      <c r="C50" s="12"/>
      <c r="D50" s="8">
        <v>331.01</v>
      </c>
      <c r="E50" s="3"/>
      <c r="F50" s="7">
        <f t="shared" si="0"/>
        <v>5.088504247850326E-3</v>
      </c>
      <c r="G50" s="3"/>
      <c r="H50" s="8">
        <v>243.54</v>
      </c>
      <c r="I50" s="3"/>
      <c r="J50" s="7">
        <f t="shared" si="1"/>
        <v>0</v>
      </c>
      <c r="K50" s="3"/>
      <c r="L50" s="8">
        <f t="shared" si="2"/>
        <v>87.47</v>
      </c>
      <c r="M50" s="3"/>
      <c r="N50" s="7">
        <f t="shared" si="3"/>
        <v>0.35916071281924944</v>
      </c>
      <c r="O50" s="12"/>
      <c r="P50" s="8">
        <v>2979.09</v>
      </c>
      <c r="Q50" s="3"/>
      <c r="R50" s="7">
        <f t="shared" si="4"/>
        <v>1.5543721906119278E-2</v>
      </c>
      <c r="S50" s="3"/>
      <c r="T50" s="8">
        <v>2191.86</v>
      </c>
      <c r="U50" s="3"/>
      <c r="V50" s="7">
        <f t="shared" si="5"/>
        <v>0</v>
      </c>
      <c r="W50" s="3"/>
      <c r="X50" s="8">
        <f t="shared" si="6"/>
        <v>787.23</v>
      </c>
      <c r="Y50" s="3"/>
      <c r="Z50" s="7">
        <f t="shared" si="7"/>
        <v>0.35916071281924938</v>
      </c>
    </row>
    <row r="51" spans="1:26" s="68" customFormat="1" ht="15" customHeight="1" outlineLevel="1" collapsed="1" x14ac:dyDescent="0.3">
      <c r="A51" s="26"/>
      <c r="B51" s="14" t="str">
        <f>CONCATENATE("     ","Interest                                          ")</f>
        <v xml:space="preserve">     Interest                                          </v>
      </c>
      <c r="C51" s="14"/>
      <c r="D51" s="2">
        <f>SUM(OSRRefD22_9x_0)</f>
        <v>3905</v>
      </c>
      <c r="E51" s="2"/>
      <c r="F51" s="6">
        <f t="shared" si="0"/>
        <v>6.0030238022583976E-2</v>
      </c>
      <c r="G51" s="2"/>
      <c r="H51" s="2">
        <f>SUM(OSRRefH22_9x_0)</f>
        <v>4044</v>
      </c>
      <c r="I51" s="2"/>
      <c r="J51" s="6">
        <f t="shared" si="1"/>
        <v>0</v>
      </c>
      <c r="K51" s="2"/>
      <c r="L51" s="2">
        <f t="shared" si="2"/>
        <v>-139</v>
      </c>
      <c r="M51" s="2"/>
      <c r="N51" s="6">
        <f t="shared" si="3"/>
        <v>-3.4371909000989118E-2</v>
      </c>
      <c r="O51" s="14"/>
      <c r="P51" s="2">
        <f>SUM(OSRRefP22_9x_0)</f>
        <v>34869</v>
      </c>
      <c r="Q51" s="2"/>
      <c r="R51" s="6">
        <f t="shared" si="4"/>
        <v>0.18193275098921921</v>
      </c>
      <c r="S51" s="2"/>
      <c r="T51" s="2">
        <f>SUM(OSRRefT22_9x_0)</f>
        <v>36133.85</v>
      </c>
      <c r="U51" s="2"/>
      <c r="V51" s="6">
        <f t="shared" si="5"/>
        <v>0</v>
      </c>
      <c r="W51" s="2"/>
      <c r="X51" s="2">
        <f t="shared" si="6"/>
        <v>-1264.8499999999985</v>
      </c>
      <c r="Y51" s="2"/>
      <c r="Z51" s="6">
        <f t="shared" si="7"/>
        <v>-3.5004573274090602E-2</v>
      </c>
    </row>
    <row r="52" spans="1:26" s="69" customFormat="1" ht="15" hidden="1" customHeight="1" outlineLevel="2" x14ac:dyDescent="0.3">
      <c r="A52" s="25"/>
      <c r="B52" s="12" t="str">
        <f>CONCATENATE("          ","6401"," - ","INTEREST EXPENSE")</f>
        <v xml:space="preserve">          6401 - INTEREST EXPENSE</v>
      </c>
      <c r="C52" s="12"/>
      <c r="D52" s="8">
        <v>3905</v>
      </c>
      <c r="E52" s="3"/>
      <c r="F52" s="7">
        <f t="shared" si="0"/>
        <v>6.0030238022583976E-2</v>
      </c>
      <c r="G52" s="3"/>
      <c r="H52" s="8">
        <v>4044</v>
      </c>
      <c r="I52" s="3"/>
      <c r="J52" s="7">
        <f t="shared" si="1"/>
        <v>0</v>
      </c>
      <c r="K52" s="3"/>
      <c r="L52" s="8">
        <f t="shared" si="2"/>
        <v>-139</v>
      </c>
      <c r="M52" s="3"/>
      <c r="N52" s="7">
        <f t="shared" si="3"/>
        <v>-3.4371909000989118E-2</v>
      </c>
      <c r="O52" s="12"/>
      <c r="P52" s="8">
        <v>34869</v>
      </c>
      <c r="Q52" s="3"/>
      <c r="R52" s="7">
        <f t="shared" si="4"/>
        <v>0.18193275098921921</v>
      </c>
      <c r="S52" s="3"/>
      <c r="T52" s="8">
        <v>36133.85</v>
      </c>
      <c r="U52" s="3"/>
      <c r="V52" s="7">
        <f t="shared" si="5"/>
        <v>0</v>
      </c>
      <c r="W52" s="3"/>
      <c r="X52" s="8">
        <f t="shared" si="6"/>
        <v>-1264.8499999999985</v>
      </c>
      <c r="Y52" s="3"/>
      <c r="Z52" s="7">
        <f t="shared" si="7"/>
        <v>-3.5004573274090602E-2</v>
      </c>
    </row>
    <row r="53" spans="1:26" s="68" customFormat="1" ht="15" customHeight="1" outlineLevel="1" collapsed="1" x14ac:dyDescent="0.3">
      <c r="A53" s="26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SUM(OSRRefD22_10x_0)</f>
        <v>112.34</v>
      </c>
      <c r="E53" s="2"/>
      <c r="F53" s="6">
        <f t="shared" si="0"/>
        <v>1.7269646451874736E-3</v>
      </c>
      <c r="G53" s="2"/>
      <c r="H53" s="2">
        <f>SUM(OSRRefH22_10x_0)</f>
        <v>233.51999999999998</v>
      </c>
      <c r="I53" s="2"/>
      <c r="J53" s="6">
        <f t="shared" si="1"/>
        <v>0</v>
      </c>
      <c r="K53" s="2"/>
      <c r="L53" s="2">
        <f t="shared" si="2"/>
        <v>-121.17999999999998</v>
      </c>
      <c r="M53" s="2"/>
      <c r="N53" s="6">
        <f t="shared" si="3"/>
        <v>-0.51892771497088042</v>
      </c>
      <c r="O53" s="14"/>
      <c r="P53" s="2">
        <f>SUM(OSRRefP22_10x_0)</f>
        <v>2894.93</v>
      </c>
      <c r="Q53" s="2"/>
      <c r="R53" s="6">
        <f t="shared" si="4"/>
        <v>1.51046080708142E-2</v>
      </c>
      <c r="S53" s="2"/>
      <c r="T53" s="2">
        <f>SUM(OSRRefT22_10x_0)</f>
        <v>637.16000000000008</v>
      </c>
      <c r="U53" s="2"/>
      <c r="V53" s="6">
        <f t="shared" si="5"/>
        <v>0</v>
      </c>
      <c r="W53" s="2"/>
      <c r="X53" s="2">
        <f t="shared" si="6"/>
        <v>2257.7699999999995</v>
      </c>
      <c r="Y53" s="2"/>
      <c r="Z53" s="6">
        <f t="shared" si="7"/>
        <v>3.5434898612593373</v>
      </c>
    </row>
    <row r="54" spans="1:26" s="69" customFormat="1" ht="15" hidden="1" customHeight="1" outlineLevel="2" x14ac:dyDescent="0.3">
      <c r="A54" s="25"/>
      <c r="B54" s="12" t="str">
        <f>CONCATENATE("          ","6373"," - ","MAINTENANCE CONTRACTS")</f>
        <v xml:space="preserve">          6373 - MAINTENANCE CONTRACTS</v>
      </c>
      <c r="C54" s="12"/>
      <c r="D54" s="8">
        <v>112.34</v>
      </c>
      <c r="E54" s="3"/>
      <c r="F54" s="7">
        <f t="shared" ref="F54:F73" si="8">IF(D$12=0,0,D54/D$12)</f>
        <v>1.7269646451874736E-3</v>
      </c>
      <c r="G54" s="3"/>
      <c r="H54" s="8">
        <v>108.52</v>
      </c>
      <c r="I54" s="3"/>
      <c r="J54" s="7">
        <f t="shared" ref="J54:J73" si="9">IF(H$12=0,0,H54/H$12)</f>
        <v>0</v>
      </c>
      <c r="K54" s="3"/>
      <c r="L54" s="8">
        <f t="shared" ref="L54:L73" si="10">+D54-H54</f>
        <v>3.8200000000000074</v>
      </c>
      <c r="M54" s="3"/>
      <c r="N54" s="7">
        <f t="shared" ref="N54:N73" si="11">IF(H54=0,0,L54/H54)</f>
        <v>3.5200884629561439E-2</v>
      </c>
      <c r="O54" s="12"/>
      <c r="P54" s="8">
        <v>733.68</v>
      </c>
      <c r="Q54" s="3"/>
      <c r="R54" s="7">
        <f t="shared" ref="R54:R73" si="12">IF(P$12=0,0,P54/P$12)</f>
        <v>3.8280541669038501E-3</v>
      </c>
      <c r="S54" s="3"/>
      <c r="T54" s="8">
        <v>404.16</v>
      </c>
      <c r="U54" s="3"/>
      <c r="V54" s="7">
        <f t="shared" ref="V54:V73" si="13">IF(T$12=0,0,T54/T$12)</f>
        <v>0</v>
      </c>
      <c r="W54" s="3"/>
      <c r="X54" s="8">
        <f t="shared" ref="X54:X73" si="14">+P54-T54</f>
        <v>329.51999999999992</v>
      </c>
      <c r="Y54" s="3"/>
      <c r="Z54" s="7">
        <f t="shared" ref="Z54:Z73" si="15">IF(T54=0,0,X54/T54)</f>
        <v>0.81532066508313517</v>
      </c>
    </row>
    <row r="55" spans="1:26" s="69" customFormat="1" ht="15" hidden="1" customHeight="1" outlineLevel="2" x14ac:dyDescent="0.3">
      <c r="A55" s="25"/>
      <c r="B55" s="12" t="str">
        <f>CONCATENATE("          ","6375"," - ","OUTSIDE REPAIRS &amp; MAINTENANCE")</f>
        <v xml:space="preserve">          6375 - OUTSIDE REPAIRS &amp; MAINTENANCE</v>
      </c>
      <c r="C55" s="12"/>
      <c r="D55" s="8"/>
      <c r="E55" s="3"/>
      <c r="F55" s="7">
        <f t="shared" si="8"/>
        <v>0</v>
      </c>
      <c r="G55" s="3"/>
      <c r="H55" s="8">
        <v>125</v>
      </c>
      <c r="I55" s="3"/>
      <c r="J55" s="7">
        <f t="shared" si="9"/>
        <v>0</v>
      </c>
      <c r="K55" s="3"/>
      <c r="L55" s="8">
        <f t="shared" si="10"/>
        <v>-125</v>
      </c>
      <c r="M55" s="3"/>
      <c r="N55" s="7">
        <f t="shared" si="11"/>
        <v>-1</v>
      </c>
      <c r="O55" s="12"/>
      <c r="P55" s="8">
        <v>2161.25</v>
      </c>
      <c r="Q55" s="3"/>
      <c r="R55" s="7">
        <f t="shared" si="12"/>
        <v>1.1276553903910351E-2</v>
      </c>
      <c r="S55" s="3"/>
      <c r="T55" s="8">
        <v>233</v>
      </c>
      <c r="U55" s="3"/>
      <c r="V55" s="7">
        <f t="shared" si="13"/>
        <v>0</v>
      </c>
      <c r="W55" s="3"/>
      <c r="X55" s="8">
        <f t="shared" si="14"/>
        <v>1928.25</v>
      </c>
      <c r="Y55" s="3"/>
      <c r="Z55" s="7">
        <f t="shared" si="15"/>
        <v>8.2757510729613735</v>
      </c>
    </row>
    <row r="56" spans="1:26" s="68" customFormat="1" ht="15" customHeight="1" outlineLevel="1" collapsed="1" x14ac:dyDescent="0.3">
      <c r="A56" s="26"/>
      <c r="B56" s="14" t="str">
        <f>CONCATENATE("     ","Services                                          ")</f>
        <v xml:space="preserve">     Services                                          </v>
      </c>
      <c r="C56" s="14"/>
      <c r="D56" s="2">
        <f>SUM(OSRRefD22_11x_0)</f>
        <v>363.69000000000005</v>
      </c>
      <c r="E56" s="2"/>
      <c r="F56" s="6">
        <f t="shared" si="8"/>
        <v>5.5908827826974573E-3</v>
      </c>
      <c r="G56" s="2"/>
      <c r="H56" s="2">
        <f>SUM(OSRRefH22_11x_0)</f>
        <v>-123.65</v>
      </c>
      <c r="I56" s="2"/>
      <c r="J56" s="6">
        <f t="shared" si="9"/>
        <v>0</v>
      </c>
      <c r="K56" s="2"/>
      <c r="L56" s="2">
        <f t="shared" si="10"/>
        <v>487.34000000000003</v>
      </c>
      <c r="M56" s="2"/>
      <c r="N56" s="6">
        <f t="shared" si="11"/>
        <v>-3.941285887585928</v>
      </c>
      <c r="O56" s="14"/>
      <c r="P56" s="2">
        <f>SUM(OSRRefP22_11x_0)</f>
        <v>9369.0500000000011</v>
      </c>
      <c r="Q56" s="2"/>
      <c r="R56" s="6">
        <f t="shared" si="12"/>
        <v>4.8884024223681335E-2</v>
      </c>
      <c r="S56" s="2"/>
      <c r="T56" s="2">
        <f>SUM(OSRRefT22_11x_0)</f>
        <v>1661.75</v>
      </c>
      <c r="U56" s="2"/>
      <c r="V56" s="6">
        <f t="shared" si="13"/>
        <v>0</v>
      </c>
      <c r="W56" s="2"/>
      <c r="X56" s="2">
        <f t="shared" si="14"/>
        <v>7707.3000000000011</v>
      </c>
      <c r="Y56" s="2"/>
      <c r="Z56" s="6">
        <f t="shared" si="15"/>
        <v>4.6380622837370247</v>
      </c>
    </row>
    <row r="57" spans="1:26" s="69" customFormat="1" ht="15" hidden="1" customHeight="1" outlineLevel="2" x14ac:dyDescent="0.3">
      <c r="A57" s="25"/>
      <c r="B57" s="12" t="str">
        <f>CONCATENATE("          ","6282"," - ","JANITORIAL/EXTERMINATOR EXPENS")</f>
        <v xml:space="preserve">          6282 - JANITORIAL/EXTERMINATOR EXPENS</v>
      </c>
      <c r="C57" s="12"/>
      <c r="D57" s="8">
        <v>168.4</v>
      </c>
      <c r="E57" s="3"/>
      <c r="F57" s="7">
        <f t="shared" si="8"/>
        <v>2.588755975160856E-3</v>
      </c>
      <c r="G57" s="3"/>
      <c r="H57" s="8">
        <v>157.35</v>
      </c>
      <c r="I57" s="3"/>
      <c r="J57" s="7">
        <f t="shared" si="9"/>
        <v>0</v>
      </c>
      <c r="K57" s="3"/>
      <c r="L57" s="8">
        <f t="shared" si="10"/>
        <v>11.050000000000011</v>
      </c>
      <c r="M57" s="3"/>
      <c r="N57" s="7">
        <f t="shared" si="11"/>
        <v>7.0225611693676596E-2</v>
      </c>
      <c r="O57" s="12"/>
      <c r="P57" s="8">
        <v>1347.2</v>
      </c>
      <c r="Q57" s="3"/>
      <c r="R57" s="7">
        <f t="shared" si="12"/>
        <v>7.0291606335907576E-3</v>
      </c>
      <c r="S57" s="3"/>
      <c r="T57" s="8">
        <v>786.75</v>
      </c>
      <c r="U57" s="3"/>
      <c r="V57" s="7">
        <f t="shared" si="13"/>
        <v>0</v>
      </c>
      <c r="W57" s="3"/>
      <c r="X57" s="8">
        <f t="shared" si="14"/>
        <v>560.45000000000005</v>
      </c>
      <c r="Y57" s="3"/>
      <c r="Z57" s="7">
        <f t="shared" si="15"/>
        <v>0.71236097870988246</v>
      </c>
    </row>
    <row r="58" spans="1:26" s="69" customFormat="1" ht="15" hidden="1" customHeight="1" outlineLevel="2" x14ac:dyDescent="0.3">
      <c r="A58" s="25"/>
      <c r="B58" s="12" t="str">
        <f>CONCATENATE("          ","6284"," - ","TRASH REMOVAL EXPENSE")</f>
        <v xml:space="preserve">          6284 - TRASH REMOVAL EXPENSE</v>
      </c>
      <c r="C58" s="12"/>
      <c r="D58" s="8"/>
      <c r="E58" s="3"/>
      <c r="F58" s="7">
        <f t="shared" si="8"/>
        <v>0</v>
      </c>
      <c r="G58" s="3"/>
      <c r="H58" s="8">
        <v>-281</v>
      </c>
      <c r="I58" s="3"/>
      <c r="J58" s="7">
        <f t="shared" si="9"/>
        <v>0</v>
      </c>
      <c r="K58" s="3"/>
      <c r="L58" s="8">
        <f t="shared" si="10"/>
        <v>281</v>
      </c>
      <c r="M58" s="3"/>
      <c r="N58" s="7">
        <f t="shared" si="11"/>
        <v>-1</v>
      </c>
      <c r="O58" s="12"/>
      <c r="P58" s="8"/>
      <c r="Q58" s="3"/>
      <c r="R58" s="7">
        <f t="shared" si="12"/>
        <v>0</v>
      </c>
      <c r="S58" s="3"/>
      <c r="T58" s="8">
        <v>875</v>
      </c>
      <c r="U58" s="3"/>
      <c r="V58" s="7">
        <f t="shared" si="13"/>
        <v>0</v>
      </c>
      <c r="W58" s="3"/>
      <c r="X58" s="8">
        <f t="shared" si="14"/>
        <v>-875</v>
      </c>
      <c r="Y58" s="3"/>
      <c r="Z58" s="7">
        <f t="shared" si="15"/>
        <v>-1</v>
      </c>
    </row>
    <row r="59" spans="1:26" s="69" customFormat="1" ht="15" hidden="1" customHeight="1" outlineLevel="2" x14ac:dyDescent="0.3">
      <c r="A59" s="25"/>
      <c r="B59" s="12" t="str">
        <f>CONCATENATE("          ","6285"," - ","JANITORIAL SERVICES")</f>
        <v xml:space="preserve">          6285 - JANITORIAL SERVICES</v>
      </c>
      <c r="C59" s="12"/>
      <c r="D59" s="8">
        <v>57.08</v>
      </c>
      <c r="E59" s="3"/>
      <c r="F59" s="7">
        <f t="shared" si="8"/>
        <v>8.7747144336212382E-4</v>
      </c>
      <c r="G59" s="3"/>
      <c r="H59" s="8"/>
      <c r="I59" s="3"/>
      <c r="J59" s="7">
        <f t="shared" si="9"/>
        <v>0</v>
      </c>
      <c r="K59" s="3"/>
      <c r="L59" s="8">
        <f t="shared" si="10"/>
        <v>57.08</v>
      </c>
      <c r="M59" s="3"/>
      <c r="N59" s="7">
        <f t="shared" si="11"/>
        <v>0</v>
      </c>
      <c r="O59" s="12"/>
      <c r="P59" s="8">
        <v>7286.6</v>
      </c>
      <c r="Q59" s="3"/>
      <c r="R59" s="7">
        <f t="shared" si="12"/>
        <v>3.8018617779633619E-2</v>
      </c>
      <c r="S59" s="3"/>
      <c r="T59" s="8"/>
      <c r="U59" s="3"/>
      <c r="V59" s="7">
        <f t="shared" si="13"/>
        <v>0</v>
      </c>
      <c r="W59" s="3"/>
      <c r="X59" s="8">
        <f t="shared" si="14"/>
        <v>7286.6</v>
      </c>
      <c r="Y59" s="3"/>
      <c r="Z59" s="7">
        <f t="shared" si="15"/>
        <v>0</v>
      </c>
    </row>
    <row r="60" spans="1:26" s="69" customFormat="1" ht="15" hidden="1" customHeight="1" outlineLevel="2" x14ac:dyDescent="0.3">
      <c r="A60" s="25"/>
      <c r="B60" s="12" t="str">
        <f>CONCATENATE("          ","6286"," - ","LAUNDRY EXPENSE")</f>
        <v xml:space="preserve">          6286 - LAUNDRY EXPENSE</v>
      </c>
      <c r="C60" s="12"/>
      <c r="D60" s="8">
        <v>138.21</v>
      </c>
      <c r="E60" s="3"/>
      <c r="F60" s="7">
        <f t="shared" si="8"/>
        <v>2.1246553641744771E-3</v>
      </c>
      <c r="G60" s="3"/>
      <c r="H60" s="8"/>
      <c r="I60" s="3"/>
      <c r="J60" s="7">
        <f t="shared" si="9"/>
        <v>0</v>
      </c>
      <c r="K60" s="3"/>
      <c r="L60" s="8">
        <f t="shared" si="10"/>
        <v>138.21</v>
      </c>
      <c r="M60" s="3"/>
      <c r="N60" s="7">
        <f t="shared" si="11"/>
        <v>0</v>
      </c>
      <c r="O60" s="12"/>
      <c r="P60" s="8">
        <v>735.25</v>
      </c>
      <c r="Q60" s="3"/>
      <c r="R60" s="7">
        <f t="shared" si="12"/>
        <v>3.836245810456951E-3</v>
      </c>
      <c r="S60" s="3"/>
      <c r="T60" s="8"/>
      <c r="U60" s="3"/>
      <c r="V60" s="7">
        <f t="shared" si="13"/>
        <v>0</v>
      </c>
      <c r="W60" s="3"/>
      <c r="X60" s="8">
        <f t="shared" si="14"/>
        <v>735.25</v>
      </c>
      <c r="Y60" s="3"/>
      <c r="Z60" s="7">
        <f t="shared" si="15"/>
        <v>0</v>
      </c>
    </row>
    <row r="61" spans="1:26" s="68" customFormat="1" ht="15" customHeight="1" outlineLevel="1" collapsed="1" x14ac:dyDescent="0.3">
      <c r="A61" s="26"/>
      <c r="B61" s="14" t="str">
        <f>CONCATENATE("     ","Supplies                                          ")</f>
        <v xml:space="preserve">     Supplies                                          </v>
      </c>
      <c r="C61" s="14"/>
      <c r="D61" s="2">
        <f>SUM(OSRRefD22_12x_0)</f>
        <v>2207.75</v>
      </c>
      <c r="E61" s="2"/>
      <c r="F61" s="6">
        <f t="shared" si="8"/>
        <v>3.3938990523523629E-2</v>
      </c>
      <c r="G61" s="2"/>
      <c r="H61" s="2">
        <f>SUM(OSRRefH22_12x_0)</f>
        <v>0</v>
      </c>
      <c r="I61" s="2"/>
      <c r="J61" s="6">
        <f t="shared" si="9"/>
        <v>0</v>
      </c>
      <c r="K61" s="2"/>
      <c r="L61" s="2">
        <f t="shared" si="10"/>
        <v>2207.75</v>
      </c>
      <c r="M61" s="2"/>
      <c r="N61" s="6">
        <f t="shared" si="11"/>
        <v>0</v>
      </c>
      <c r="O61" s="14"/>
      <c r="P61" s="2">
        <f>SUM(OSRRefP22_12x_0)</f>
        <v>4285.07</v>
      </c>
      <c r="Q61" s="2"/>
      <c r="R61" s="6">
        <f t="shared" si="12"/>
        <v>2.2357812764385945E-2</v>
      </c>
      <c r="S61" s="2"/>
      <c r="T61" s="2">
        <f>SUM(OSRRefT22_12x_0)</f>
        <v>634.24</v>
      </c>
      <c r="U61" s="2"/>
      <c r="V61" s="6">
        <f t="shared" si="13"/>
        <v>0</v>
      </c>
      <c r="W61" s="2"/>
      <c r="X61" s="2">
        <f t="shared" si="14"/>
        <v>3650.83</v>
      </c>
      <c r="Y61" s="2"/>
      <c r="Z61" s="6">
        <f t="shared" si="15"/>
        <v>5.7562279263370328</v>
      </c>
    </row>
    <row r="62" spans="1:26" s="69" customFormat="1" ht="15" hidden="1" customHeight="1" outlineLevel="2" x14ac:dyDescent="0.3">
      <c r="A62" s="25"/>
      <c r="B62" s="12" t="str">
        <f>CONCATENATE("          ","6234"," - ","EXPENDABLE SUPPLIES &amp; EQUIPMEN")</f>
        <v xml:space="preserve">          6234 - EXPENDABLE SUPPLIES &amp; EQUIPMEN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/>
      <c r="Q62" s="3"/>
      <c r="R62" s="7">
        <f t="shared" si="12"/>
        <v>0</v>
      </c>
      <c r="S62" s="3"/>
      <c r="T62" s="8">
        <v>316.67</v>
      </c>
      <c r="U62" s="3"/>
      <c r="V62" s="7">
        <f t="shared" si="13"/>
        <v>0</v>
      </c>
      <c r="W62" s="3"/>
      <c r="X62" s="8">
        <f t="shared" si="14"/>
        <v>-316.67</v>
      </c>
      <c r="Y62" s="3"/>
      <c r="Z62" s="7">
        <f t="shared" si="15"/>
        <v>-1</v>
      </c>
    </row>
    <row r="63" spans="1:26" s="69" customFormat="1" ht="15" hidden="1" customHeight="1" outlineLevel="2" x14ac:dyDescent="0.3">
      <c r="A63" s="25"/>
      <c r="B63" s="12" t="str">
        <f>CONCATENATE("          ","6235"," - ","COVID-19 EXPENSES")</f>
        <v xml:space="preserve">          6235 - COVID-19 EXPENSES</v>
      </c>
      <c r="C63" s="12"/>
      <c r="D63" s="8">
        <v>71.45</v>
      </c>
      <c r="E63" s="3"/>
      <c r="F63" s="7">
        <f t="shared" si="8"/>
        <v>1.0983765702211588E-3</v>
      </c>
      <c r="G63" s="3"/>
      <c r="H63" s="8"/>
      <c r="I63" s="3"/>
      <c r="J63" s="7">
        <f t="shared" si="9"/>
        <v>0</v>
      </c>
      <c r="K63" s="3"/>
      <c r="L63" s="8">
        <f t="shared" si="10"/>
        <v>71.45</v>
      </c>
      <c r="M63" s="3"/>
      <c r="N63" s="7">
        <f t="shared" si="11"/>
        <v>0</v>
      </c>
      <c r="O63" s="12"/>
      <c r="P63" s="8">
        <v>71.45</v>
      </c>
      <c r="Q63" s="3"/>
      <c r="R63" s="7">
        <f t="shared" si="12"/>
        <v>3.7279804577646945E-4</v>
      </c>
      <c r="S63" s="3"/>
      <c r="T63" s="8"/>
      <c r="U63" s="3"/>
      <c r="V63" s="7">
        <f t="shared" si="13"/>
        <v>0</v>
      </c>
      <c r="W63" s="3"/>
      <c r="X63" s="8">
        <f t="shared" si="14"/>
        <v>71.45</v>
      </c>
      <c r="Y63" s="3"/>
      <c r="Z63" s="7">
        <f t="shared" si="15"/>
        <v>0</v>
      </c>
    </row>
    <row r="64" spans="1:26" s="69" customFormat="1" ht="15" hidden="1" customHeight="1" outlineLevel="2" x14ac:dyDescent="0.3">
      <c r="A64" s="25"/>
      <c r="B64" s="12" t="str">
        <f>CONCATENATE("          ","6237"," - ","JANITORIAL SUPPLIES")</f>
        <v xml:space="preserve">          6237 - JANITORIAL SUPPLIES</v>
      </c>
      <c r="C64" s="12"/>
      <c r="D64" s="8">
        <v>291.77999999999997</v>
      </c>
      <c r="E64" s="3"/>
      <c r="F64" s="7">
        <f t="shared" si="8"/>
        <v>4.4854347887911782E-3</v>
      </c>
      <c r="G64" s="3"/>
      <c r="H64" s="8"/>
      <c r="I64" s="3"/>
      <c r="J64" s="7">
        <f t="shared" si="9"/>
        <v>0</v>
      </c>
      <c r="K64" s="3"/>
      <c r="L64" s="8">
        <f t="shared" si="10"/>
        <v>291.77999999999997</v>
      </c>
      <c r="M64" s="3"/>
      <c r="N64" s="7">
        <f t="shared" si="11"/>
        <v>0</v>
      </c>
      <c r="O64" s="12"/>
      <c r="P64" s="8">
        <v>940.35</v>
      </c>
      <c r="Q64" s="3"/>
      <c r="R64" s="7">
        <f t="shared" si="12"/>
        <v>4.9063770797187272E-3</v>
      </c>
      <c r="S64" s="3"/>
      <c r="T64" s="8">
        <v>317.57</v>
      </c>
      <c r="U64" s="3"/>
      <c r="V64" s="7">
        <f t="shared" si="13"/>
        <v>0</v>
      </c>
      <c r="W64" s="3"/>
      <c r="X64" s="8">
        <f t="shared" si="14"/>
        <v>622.78</v>
      </c>
      <c r="Y64" s="3"/>
      <c r="Z64" s="7">
        <f t="shared" si="15"/>
        <v>1.9610794470510438</v>
      </c>
    </row>
    <row r="65" spans="1:26" s="69" customFormat="1" ht="15" hidden="1" customHeight="1" outlineLevel="2" x14ac:dyDescent="0.3">
      <c r="A65" s="25"/>
      <c r="B65" s="12" t="str">
        <f>CONCATENATE("          ","6241"," - ","OFFICE EXPENSE")</f>
        <v xml:space="preserve">          6241 - OFFICE EXPENSE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427.98</v>
      </c>
      <c r="Q65" s="3"/>
      <c r="R65" s="7">
        <f t="shared" si="12"/>
        <v>2.2330315973605793E-3</v>
      </c>
      <c r="S65" s="3"/>
      <c r="T65" s="8"/>
      <c r="U65" s="3"/>
      <c r="V65" s="7">
        <f t="shared" si="13"/>
        <v>0</v>
      </c>
      <c r="W65" s="3"/>
      <c r="X65" s="8">
        <f t="shared" si="14"/>
        <v>427.98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5"/>
      <c r="B66" s="12" t="str">
        <f>CONCATENATE("          ","6243"," - ","PAPER SUPPLIES")</f>
        <v xml:space="preserve">          6243 - PAPER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44.38</v>
      </c>
      <c r="Q66" s="3"/>
      <c r="R66" s="7">
        <f t="shared" si="12"/>
        <v>2.3155741457746277E-4</v>
      </c>
      <c r="S66" s="3"/>
      <c r="T66" s="8"/>
      <c r="U66" s="3"/>
      <c r="V66" s="7">
        <f t="shared" si="13"/>
        <v>0</v>
      </c>
      <c r="W66" s="3"/>
      <c r="X66" s="8">
        <f t="shared" si="14"/>
        <v>44.38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5"/>
      <c r="B67" s="12" t="str">
        <f>CONCATENATE("          ","6247"," - ","STORE SUPPLIES")</f>
        <v xml:space="preserve">          6247 - STORE SUPPLIES</v>
      </c>
      <c r="C67" s="12"/>
      <c r="D67" s="8">
        <v>1844.52</v>
      </c>
      <c r="E67" s="3"/>
      <c r="F67" s="7">
        <f t="shared" si="8"/>
        <v>2.8355179164511295E-2</v>
      </c>
      <c r="G67" s="3"/>
      <c r="H67" s="8"/>
      <c r="I67" s="3"/>
      <c r="J67" s="7">
        <f t="shared" si="9"/>
        <v>0</v>
      </c>
      <c r="K67" s="3"/>
      <c r="L67" s="8">
        <f t="shared" si="10"/>
        <v>1844.52</v>
      </c>
      <c r="M67" s="3"/>
      <c r="N67" s="7">
        <f t="shared" si="11"/>
        <v>0</v>
      </c>
      <c r="O67" s="12"/>
      <c r="P67" s="8">
        <v>2800.91</v>
      </c>
      <c r="Q67" s="3"/>
      <c r="R67" s="7">
        <f t="shared" si="12"/>
        <v>1.4614048626952708E-2</v>
      </c>
      <c r="S67" s="3"/>
      <c r="T67" s="8"/>
      <c r="U67" s="3"/>
      <c r="V67" s="7">
        <f t="shared" si="13"/>
        <v>0</v>
      </c>
      <c r="W67" s="3"/>
      <c r="X67" s="8">
        <f t="shared" si="14"/>
        <v>2800.91</v>
      </c>
      <c r="Y67" s="3"/>
      <c r="Z67" s="7">
        <f t="shared" si="15"/>
        <v>0</v>
      </c>
    </row>
    <row r="68" spans="1:26" s="68" customFormat="1" ht="15" customHeight="1" outlineLevel="1" collapsed="1" x14ac:dyDescent="0.3">
      <c r="A68" s="26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SUM(OSRRefD22_13x_0)</f>
        <v>97</v>
      </c>
      <c r="E68" s="2"/>
      <c r="F68" s="6">
        <f t="shared" si="8"/>
        <v>1.491148037948949E-3</v>
      </c>
      <c r="G68" s="2"/>
      <c r="H68" s="2">
        <f>SUM(OSRRefH22_13x_0)</f>
        <v>22</v>
      </c>
      <c r="I68" s="2"/>
      <c r="J68" s="6">
        <f t="shared" si="9"/>
        <v>0</v>
      </c>
      <c r="K68" s="2"/>
      <c r="L68" s="2">
        <f t="shared" si="10"/>
        <v>75</v>
      </c>
      <c r="M68" s="2"/>
      <c r="N68" s="6">
        <f t="shared" si="11"/>
        <v>3.4090909090909092</v>
      </c>
      <c r="O68" s="14"/>
      <c r="P68" s="2">
        <f>SUM(OSRRefP22_13x_0)</f>
        <v>508</v>
      </c>
      <c r="Q68" s="2"/>
      <c r="R68" s="6">
        <f t="shared" si="12"/>
        <v>2.6505445382007903E-3</v>
      </c>
      <c r="S68" s="2"/>
      <c r="T68" s="2">
        <f>SUM(OSRRefT22_13x_0)</f>
        <v>953.87</v>
      </c>
      <c r="U68" s="2"/>
      <c r="V68" s="6">
        <f t="shared" si="13"/>
        <v>0</v>
      </c>
      <c r="W68" s="2"/>
      <c r="X68" s="2">
        <f t="shared" si="14"/>
        <v>-445.87</v>
      </c>
      <c r="Y68" s="2"/>
      <c r="Z68" s="6">
        <f t="shared" si="15"/>
        <v>-0.4674326690219841</v>
      </c>
    </row>
    <row r="69" spans="1:26" s="69" customFormat="1" ht="15" hidden="1" customHeight="1" outlineLevel="2" x14ac:dyDescent="0.3">
      <c r="A69" s="25"/>
      <c r="B69" s="12" t="str">
        <f>CONCATENATE("          ","6309"," - ","TELEPHONE")</f>
        <v xml:space="preserve">          6309 - TELEPHONE</v>
      </c>
      <c r="C69" s="12"/>
      <c r="D69" s="8">
        <v>97</v>
      </c>
      <c r="E69" s="3"/>
      <c r="F69" s="7">
        <f t="shared" si="8"/>
        <v>1.491148037948949E-3</v>
      </c>
      <c r="G69" s="3"/>
      <c r="H69" s="8">
        <v>22</v>
      </c>
      <c r="I69" s="3"/>
      <c r="J69" s="7">
        <f t="shared" si="9"/>
        <v>0</v>
      </c>
      <c r="K69" s="3"/>
      <c r="L69" s="8">
        <f t="shared" si="10"/>
        <v>75</v>
      </c>
      <c r="M69" s="3"/>
      <c r="N69" s="7">
        <f t="shared" si="11"/>
        <v>3.4090909090909092</v>
      </c>
      <c r="O69" s="12"/>
      <c r="P69" s="8">
        <v>508</v>
      </c>
      <c r="Q69" s="3"/>
      <c r="R69" s="7">
        <f t="shared" si="12"/>
        <v>2.6505445382007903E-3</v>
      </c>
      <c r="S69" s="3"/>
      <c r="T69" s="8">
        <v>953.87</v>
      </c>
      <c r="U69" s="3"/>
      <c r="V69" s="7">
        <f t="shared" si="13"/>
        <v>0</v>
      </c>
      <c r="W69" s="3"/>
      <c r="X69" s="8">
        <f t="shared" si="14"/>
        <v>-445.87</v>
      </c>
      <c r="Y69" s="3"/>
      <c r="Z69" s="7">
        <f t="shared" si="15"/>
        <v>-0.4674326690219841</v>
      </c>
    </row>
    <row r="70" spans="1:26" s="68" customFormat="1" ht="15" customHeight="1" outlineLevel="1" collapsed="1" x14ac:dyDescent="0.3">
      <c r="A70" s="26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SUM(OSRRefD22_14x_0)</f>
        <v>0</v>
      </c>
      <c r="E70" s="2"/>
      <c r="F70" s="6">
        <f t="shared" si="8"/>
        <v>0</v>
      </c>
      <c r="G70" s="2"/>
      <c r="H70" s="2">
        <f>SUM(OSRRefH22_14x_0)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SUM(OSRRefP22_14x_0)</f>
        <v>120</v>
      </c>
      <c r="Q70" s="2"/>
      <c r="R70" s="6">
        <f t="shared" si="12"/>
        <v>6.261128830395568E-4</v>
      </c>
      <c r="S70" s="2"/>
      <c r="T70" s="2">
        <f>SUM(OSRRefT22_14x_0)</f>
        <v>0</v>
      </c>
      <c r="U70" s="2"/>
      <c r="V70" s="6">
        <f t="shared" si="13"/>
        <v>0</v>
      </c>
      <c r="W70" s="2"/>
      <c r="X70" s="2">
        <f t="shared" si="14"/>
        <v>120</v>
      </c>
      <c r="Y70" s="2"/>
      <c r="Z70" s="6">
        <f t="shared" si="15"/>
        <v>0</v>
      </c>
    </row>
    <row r="71" spans="1:26" s="69" customFormat="1" ht="15" hidden="1" customHeight="1" outlineLevel="2" x14ac:dyDescent="0.3">
      <c r="A71" s="25"/>
      <c r="B71" s="12" t="str">
        <f>CONCATENATE("          ","6376"," - ","TRAINING")</f>
        <v xml:space="preserve">          6376 - TRAINING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120</v>
      </c>
      <c r="Q71" s="3"/>
      <c r="R71" s="7">
        <f t="shared" si="12"/>
        <v>6.261128830395568E-4</v>
      </c>
      <c r="S71" s="3"/>
      <c r="T71" s="8"/>
      <c r="U71" s="3"/>
      <c r="V71" s="7">
        <f t="shared" si="13"/>
        <v>0</v>
      </c>
      <c r="W71" s="3"/>
      <c r="X71" s="8">
        <f t="shared" si="14"/>
        <v>120</v>
      </c>
      <c r="Y71" s="3"/>
      <c r="Z71" s="7">
        <f t="shared" si="15"/>
        <v>0</v>
      </c>
    </row>
    <row r="72" spans="1:26" s="68" customFormat="1" ht="15" customHeight="1" outlineLevel="1" collapsed="1" x14ac:dyDescent="0.3">
      <c r="A72" s="26"/>
      <c r="B72" s="14" t="str">
        <f>CONCATENATE("     ","Utilities                                         ")</f>
        <v xml:space="preserve">     Utilities                                         </v>
      </c>
      <c r="C72" s="14"/>
      <c r="D72" s="2">
        <f>SUM(OSRRefD22_15x_0)</f>
        <v>100</v>
      </c>
      <c r="E72" s="2"/>
      <c r="F72" s="6">
        <f t="shared" si="8"/>
        <v>1.5372660185040711E-3</v>
      </c>
      <c r="G72" s="2"/>
      <c r="H72" s="2">
        <f>SUM(OSRRefH22_15x_0)</f>
        <v>-939</v>
      </c>
      <c r="I72" s="2"/>
      <c r="J72" s="6">
        <f t="shared" si="9"/>
        <v>0</v>
      </c>
      <c r="K72" s="2"/>
      <c r="L72" s="2">
        <f t="shared" si="10"/>
        <v>1039</v>
      </c>
      <c r="M72" s="2"/>
      <c r="N72" s="6">
        <f t="shared" si="11"/>
        <v>-1.1064962726304579</v>
      </c>
      <c r="O72" s="14"/>
      <c r="P72" s="2">
        <f>SUM(OSRRefP22_15x_0)</f>
        <v>900</v>
      </c>
      <c r="Q72" s="2"/>
      <c r="R72" s="6">
        <f t="shared" si="12"/>
        <v>4.6958466227966763E-3</v>
      </c>
      <c r="S72" s="2"/>
      <c r="T72" s="2">
        <f>SUM(OSRRefT22_15x_0)</f>
        <v>3451</v>
      </c>
      <c r="U72" s="2"/>
      <c r="V72" s="6">
        <f t="shared" si="13"/>
        <v>0</v>
      </c>
      <c r="W72" s="2"/>
      <c r="X72" s="2">
        <f t="shared" si="14"/>
        <v>-2551</v>
      </c>
      <c r="Y72" s="2"/>
      <c r="Z72" s="6">
        <f t="shared" si="15"/>
        <v>-0.73920602723848161</v>
      </c>
    </row>
    <row r="73" spans="1:26" s="69" customFormat="1" ht="15" hidden="1" customHeight="1" outlineLevel="2" x14ac:dyDescent="0.3">
      <c r="A73" s="25"/>
      <c r="B73" s="12" t="str">
        <f>CONCATENATE("          ","6274"," - ","UTILITIES")</f>
        <v xml:space="preserve">          6274 - UTILITIES</v>
      </c>
      <c r="C73" s="12"/>
      <c r="D73" s="8">
        <v>100</v>
      </c>
      <c r="E73" s="3"/>
      <c r="F73" s="7">
        <f t="shared" si="8"/>
        <v>1.5372660185040711E-3</v>
      </c>
      <c r="G73" s="3"/>
      <c r="H73" s="8">
        <v>-939</v>
      </c>
      <c r="I73" s="3"/>
      <c r="J73" s="7">
        <f t="shared" si="9"/>
        <v>0</v>
      </c>
      <c r="K73" s="3"/>
      <c r="L73" s="8">
        <f t="shared" si="10"/>
        <v>1039</v>
      </c>
      <c r="M73" s="3"/>
      <c r="N73" s="7">
        <f t="shared" si="11"/>
        <v>-1.1064962726304579</v>
      </c>
      <c r="O73" s="12"/>
      <c r="P73" s="8">
        <v>900</v>
      </c>
      <c r="Q73" s="3"/>
      <c r="R73" s="7">
        <f t="shared" si="12"/>
        <v>4.6958466227966763E-3</v>
      </c>
      <c r="S73" s="3"/>
      <c r="T73" s="8">
        <v>3451</v>
      </c>
      <c r="U73" s="3"/>
      <c r="V73" s="7">
        <f t="shared" si="13"/>
        <v>0</v>
      </c>
      <c r="W73" s="3"/>
      <c r="X73" s="8">
        <f t="shared" si="14"/>
        <v>-2551</v>
      </c>
      <c r="Y73" s="3"/>
      <c r="Z73" s="7">
        <f t="shared" si="15"/>
        <v>-0.73920602723848161</v>
      </c>
    </row>
    <row r="74" spans="1:26" s="64" customFormat="1" ht="15" customHeight="1" x14ac:dyDescent="0.3">
      <c r="A74" s="36"/>
      <c r="B74" s="36"/>
      <c r="C74" s="36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2" customFormat="1" ht="15" customHeight="1" x14ac:dyDescent="0.3">
      <c r="A75" s="11"/>
      <c r="B75" s="28" t="s">
        <v>290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3">
      <c r="A77" s="11"/>
      <c r="B77" s="27" t="s">
        <v>291</v>
      </c>
      <c r="C77" s="27"/>
      <c r="D77" s="22">
        <f>+D20-D22+D75</f>
        <v>16341.720000000008</v>
      </c>
      <c r="E77" s="15"/>
      <c r="F77" s="21">
        <f>IF(D$12=0,0,D77/D$12)</f>
        <v>0.25121570839908364</v>
      </c>
      <c r="G77" s="15"/>
      <c r="H77" s="22">
        <f>+H20-H22+H75</f>
        <v>-9128.02</v>
      </c>
      <c r="I77" s="15"/>
      <c r="J77" s="21">
        <f>IF(H$12=0,0,H77/H$12)</f>
        <v>0</v>
      </c>
      <c r="K77" s="17"/>
      <c r="L77" s="22">
        <f>+D77-H77</f>
        <v>25469.740000000009</v>
      </c>
      <c r="M77" s="17"/>
      <c r="N77" s="21">
        <f>IF(H77=0,0,L77/H77)</f>
        <v>-2.7902809152477763</v>
      </c>
      <c r="O77" s="28"/>
      <c r="P77" s="22">
        <f>+P20-P22+P75</f>
        <v>-73709.860000000044</v>
      </c>
      <c r="Q77" s="15"/>
      <c r="R77" s="21">
        <f>IF(P$12=0,0,P77/P$12)</f>
        <v>-0.38458910794201778</v>
      </c>
      <c r="S77" s="15"/>
      <c r="T77" s="22">
        <f>+T20-T22+T75</f>
        <v>-111284.98000000001</v>
      </c>
      <c r="U77" s="15"/>
      <c r="V77" s="21">
        <f>IF(T$12=0,0,T77/T$12)</f>
        <v>0</v>
      </c>
      <c r="W77" s="17"/>
      <c r="X77" s="22">
        <f>+P77-T77</f>
        <v>37575.119999999966</v>
      </c>
      <c r="Y77" s="17"/>
      <c r="Z77" s="21">
        <f>IF(T77=0,0,X77/T77)</f>
        <v>-0.33764772209151644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48"/>
      <c r="B79" s="11" t="s">
        <v>292</v>
      </c>
      <c r="C79" s="11"/>
      <c r="D79" s="5">
        <v>7070.42</v>
      </c>
      <c r="E79" s="5"/>
      <c r="F79" s="13">
        <f>IF(D$12=0,0,D79/D$12)</f>
        <v>0.10869116402551555</v>
      </c>
      <c r="G79" s="5"/>
      <c r="H79" s="5"/>
      <c r="I79" s="5"/>
      <c r="J79" s="13">
        <f>IF(H$12=0,0,H79/H$12)</f>
        <v>0</v>
      </c>
      <c r="K79" s="5"/>
      <c r="L79" s="5">
        <f>+D79-H79</f>
        <v>7070.42</v>
      </c>
      <c r="M79" s="5"/>
      <c r="N79" s="13">
        <f>IF(H79=0,0,L79/H79)</f>
        <v>0</v>
      </c>
      <c r="O79" s="11"/>
      <c r="P79" s="5">
        <v>22874</v>
      </c>
      <c r="Q79" s="5"/>
      <c r="R79" s="13">
        <f>IF(P$12=0,0,P79/P$12)</f>
        <v>0.11934755072205686</v>
      </c>
      <c r="S79" s="5"/>
      <c r="T79" s="5"/>
      <c r="U79" s="5"/>
      <c r="V79" s="13">
        <f>IF(T$12=0,0,T79/T$12)</f>
        <v>0</v>
      </c>
      <c r="W79" s="5"/>
      <c r="X79" s="5">
        <f>+P79-T79</f>
        <v>22874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7" t="s">
        <v>293</v>
      </c>
      <c r="C81" s="27"/>
      <c r="D81" s="34">
        <f>+D77-D79</f>
        <v>9271.3000000000084</v>
      </c>
      <c r="E81" s="15"/>
      <c r="F81" s="33">
        <f>IF(D$12=0,0,D81/D$12)</f>
        <v>0.14252454437356807</v>
      </c>
      <c r="G81" s="15"/>
      <c r="H81" s="34">
        <f>+H77-H79</f>
        <v>-9128.02</v>
      </c>
      <c r="I81" s="15"/>
      <c r="J81" s="33">
        <f>IF(H$12=0,0,H81/H$12)</f>
        <v>0</v>
      </c>
      <c r="K81" s="17"/>
      <c r="L81" s="34">
        <f>D81-H81</f>
        <v>18399.320000000007</v>
      </c>
      <c r="M81" s="17"/>
      <c r="N81" s="33">
        <f>IF(H81=0,0,L81/H81)</f>
        <v>-2.0156967228380314</v>
      </c>
      <c r="O81" s="28"/>
      <c r="P81" s="34">
        <f>+P77-P79</f>
        <v>-96583.860000000044</v>
      </c>
      <c r="Q81" s="15"/>
      <c r="R81" s="33">
        <f>IF(P$12=0,0,P81/P$12)</f>
        <v>-0.50393665866407467</v>
      </c>
      <c r="S81" s="15"/>
      <c r="T81" s="34">
        <f>+T77-T79</f>
        <v>-111284.98000000001</v>
      </c>
      <c r="U81" s="15"/>
      <c r="V81" s="33">
        <f>IF(T$12=0,0,T81/T$12)</f>
        <v>0</v>
      </c>
      <c r="W81" s="17"/>
      <c r="X81" s="34">
        <f>P81-T81</f>
        <v>14701.119999999966</v>
      </c>
      <c r="Y81" s="17"/>
      <c r="Z81" s="33">
        <f>IF(T81=0,0,X81/T81)</f>
        <v>-0.13210336201704817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296</v>
      </c>
      <c r="C84" s="27"/>
      <c r="D84" s="31">
        <f>SUM(D81:D83)</f>
        <v>9271.3000000000084</v>
      </c>
      <c r="E84" s="15"/>
      <c r="F84" s="32">
        <f>IF(D$12=0,0,D84/D$12)</f>
        <v>0.14252454437356807</v>
      </c>
      <c r="G84" s="15"/>
      <c r="H84" s="31">
        <f>SUM(H81:H83)</f>
        <v>-9128.02</v>
      </c>
      <c r="I84" s="15"/>
      <c r="J84" s="32">
        <f>IF(H$12=0,0,H84/H$12)</f>
        <v>0</v>
      </c>
      <c r="K84" s="17"/>
      <c r="L84" s="31">
        <f>+D84-H84</f>
        <v>18399.320000000007</v>
      </c>
      <c r="M84" s="17"/>
      <c r="N84" s="32">
        <f>IF(H84=0,0,L84/H84)</f>
        <v>-2.0156967228380314</v>
      </c>
      <c r="O84" s="28"/>
      <c r="P84" s="31">
        <f>SUM(P81:P83)</f>
        <v>-96583.860000000044</v>
      </c>
      <c r="Q84" s="15"/>
      <c r="R84" s="32">
        <f>IF(P$12=0,0,P84/P$12)</f>
        <v>-0.50393665866407467</v>
      </c>
      <c r="S84" s="15"/>
      <c r="T84" s="31">
        <f>SUM(T81:T83)</f>
        <v>-111284.98000000001</v>
      </c>
      <c r="U84" s="15"/>
      <c r="V84" s="32">
        <f>IF(T$12=0,0,T84/T$12)</f>
        <v>0</v>
      </c>
      <c r="W84" s="17"/>
      <c r="X84" s="31">
        <f>+P84-T84</f>
        <v>14701.119999999966</v>
      </c>
      <c r="Y84" s="17"/>
      <c r="Z84" s="32">
        <f>IF(T84=0,0,X84/T84)</f>
        <v>-0.13210336201704817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6">
        <v>44663.03859679398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7" t="s">
        <v>297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8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6C566-418C-F34E-6A42-E53409A146AB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","327"," - ","C-Store Vending Machine(s)")</f>
        <v>Department 327 - C-Store Vending Machine(s)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412.69</v>
      </c>
      <c r="E12" s="5"/>
      <c r="F12" s="13"/>
      <c r="G12" s="5"/>
      <c r="H12" s="5">
        <f>SUM(OSRRefH13x_0)</f>
        <v>100.55</v>
      </c>
      <c r="I12" s="5"/>
      <c r="J12" s="13"/>
      <c r="K12" s="5"/>
      <c r="L12" s="5">
        <f>+D12-H12</f>
        <v>312.14</v>
      </c>
      <c r="M12" s="5"/>
      <c r="N12" s="13">
        <f>IF(H12=0,0,L12/H12)</f>
        <v>3.1043262058677277</v>
      </c>
      <c r="O12" s="11"/>
      <c r="P12" s="5">
        <f>SUM(OSRRefP13x_0)</f>
        <v>1111.4100000000001</v>
      </c>
      <c r="Q12" s="5"/>
      <c r="R12" s="13"/>
      <c r="S12" s="5"/>
      <c r="T12" s="5">
        <f>SUM(OSRRefT13x_0)</f>
        <v>344.55</v>
      </c>
      <c r="U12" s="5"/>
      <c r="V12" s="13"/>
      <c r="W12" s="5"/>
      <c r="X12" s="5">
        <f>+P12-T12</f>
        <v>766.86000000000013</v>
      </c>
      <c r="Y12" s="5"/>
      <c r="Z12" s="13">
        <f>IF(T12=0,0,X12/T12)</f>
        <v>2.2256856769699613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--412.69</f>
        <v>412.69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412.69</v>
      </c>
      <c r="M13" s="3"/>
      <c r="N13" s="20">
        <f>IF(H13=0,0,L13/H13)</f>
        <v>0</v>
      </c>
      <c r="O13" s="12"/>
      <c r="P13" s="3">
        <f>--1111.41</f>
        <v>1111.4100000000001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1111.4100000000001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","4153"," - ","NON-TAXABLE SALES-FOOD")</f>
        <v xml:space="preserve">          4153 - NON-TAXABLE SALES-FOOD</v>
      </c>
      <c r="C14" s="12"/>
      <c r="D14" s="3">
        <f>0</f>
        <v>0</v>
      </c>
      <c r="E14" s="3"/>
      <c r="F14" s="20"/>
      <c r="G14" s="3"/>
      <c r="H14" s="3">
        <f>--100.55</f>
        <v>100.55</v>
      </c>
      <c r="I14" s="3"/>
      <c r="J14" s="20"/>
      <c r="K14" s="3"/>
      <c r="L14" s="3">
        <f>+D14-H14</f>
        <v>-100.55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--344.55</f>
        <v>344.55</v>
      </c>
      <c r="U14" s="3"/>
      <c r="V14" s="20"/>
      <c r="W14" s="3"/>
      <c r="X14" s="3">
        <f>+P14-T14</f>
        <v>-344.55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8" t="s">
        <v>287</v>
      </c>
      <c r="C16" s="11"/>
      <c r="D16" s="5">
        <f>SUM(OSRRefD16x_0)</f>
        <v>-52</v>
      </c>
      <c r="E16" s="5"/>
      <c r="F16" s="13">
        <f>IF(D$12=0,0,D16/D$12)</f>
        <v>-0.12600256851389663</v>
      </c>
      <c r="G16" s="5"/>
      <c r="H16" s="5">
        <f>SUM(OSRRefH16x_0)</f>
        <v>19</v>
      </c>
      <c r="I16" s="5"/>
      <c r="J16" s="13">
        <f>IF(H$12=0,0,H16/H$12)</f>
        <v>0.18896071606166087</v>
      </c>
      <c r="K16" s="5"/>
      <c r="L16" s="5">
        <f>+D16-H16</f>
        <v>-71</v>
      </c>
      <c r="M16" s="5"/>
      <c r="N16" s="13">
        <f>IF(H16=0,0,L16/H16)</f>
        <v>-3.736842105263158</v>
      </c>
      <c r="O16" s="11"/>
      <c r="P16" s="5">
        <f>SUM(OSRRefP16x_0)</f>
        <v>-60.8</v>
      </c>
      <c r="Q16" s="5"/>
      <c r="R16" s="13">
        <f>IF(P$12=0,0,P16/P$12)</f>
        <v>-5.4705284278529068E-2</v>
      </c>
      <c r="S16" s="5"/>
      <c r="T16" s="5">
        <f>SUM(OSRRefT16x_0)</f>
        <v>-342.09</v>
      </c>
      <c r="U16" s="5"/>
      <c r="V16" s="13">
        <f>IF(T$12=0,0,T16/T$12)</f>
        <v>-0.99286025250326504</v>
      </c>
      <c r="W16" s="5"/>
      <c r="X16" s="5">
        <f>+P16-T16</f>
        <v>281.28999999999996</v>
      </c>
      <c r="Y16" s="5"/>
      <c r="Z16" s="13">
        <f>IF(T16=0,0,X16/T16)</f>
        <v>-0.82226899353971172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/>
      <c r="I17" s="3"/>
      <c r="J17" s="20">
        <f>IF(H$12=0,0,H17/H$12)</f>
        <v>0</v>
      </c>
      <c r="K17" s="3"/>
      <c r="L17" s="3">
        <f>+D17-H17</f>
        <v>0</v>
      </c>
      <c r="M17" s="3"/>
      <c r="N17" s="20">
        <f>IF(H17=0,0,L17/H17)</f>
        <v>0</v>
      </c>
      <c r="O17" s="12"/>
      <c r="P17" s="3">
        <v>45</v>
      </c>
      <c r="Q17" s="3"/>
      <c r="R17" s="20">
        <f>IF(P$12=0,0,P17/P$12)</f>
        <v>4.0489108429832374E-2</v>
      </c>
      <c r="S17" s="3"/>
      <c r="T17" s="3"/>
      <c r="U17" s="3"/>
      <c r="V17" s="20">
        <f>IF(T$12=0,0,T17/T$12)</f>
        <v>0</v>
      </c>
      <c r="W17" s="3"/>
      <c r="X17" s="3">
        <f>+P17-T17</f>
        <v>45</v>
      </c>
      <c r="Y17" s="3"/>
      <c r="Z17" s="20">
        <f>IF(T17=0,0,X17/T17)</f>
        <v>0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-52</v>
      </c>
      <c r="E18" s="3"/>
      <c r="F18" s="20">
        <f>IF(D$12=0,0,D18/D$12)</f>
        <v>-0.12600256851389663</v>
      </c>
      <c r="G18" s="3"/>
      <c r="H18" s="3">
        <v>19</v>
      </c>
      <c r="I18" s="3"/>
      <c r="J18" s="20">
        <f>IF(H$12=0,0,H18/H$12)</f>
        <v>0.18896071606166087</v>
      </c>
      <c r="K18" s="3"/>
      <c r="L18" s="3">
        <f>+D18-H18</f>
        <v>-71</v>
      </c>
      <c r="M18" s="3"/>
      <c r="N18" s="20">
        <f>IF(H18=0,0,L18/H18)</f>
        <v>-3.736842105263158</v>
      </c>
      <c r="O18" s="12"/>
      <c r="P18" s="3">
        <v>-105.8</v>
      </c>
      <c r="Q18" s="3"/>
      <c r="R18" s="20">
        <f>IF(P$12=0,0,P18/P$12)</f>
        <v>-9.5194392708361442E-2</v>
      </c>
      <c r="S18" s="3"/>
      <c r="T18" s="3">
        <v>-342.09</v>
      </c>
      <c r="U18" s="3"/>
      <c r="V18" s="20">
        <f>IF(T$12=0,0,T18/T$12)</f>
        <v>-0.99286025250326504</v>
      </c>
      <c r="W18" s="3"/>
      <c r="X18" s="3">
        <f>+P18-T18</f>
        <v>236.28999999999996</v>
      </c>
      <c r="Y18" s="3"/>
      <c r="Z18" s="20">
        <f>IF(T18=0,0,X18/T18)</f>
        <v>-0.69072466310035363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7" t="s">
        <v>288</v>
      </c>
      <c r="C20" s="27"/>
      <c r="D20" s="22">
        <f>D12-D16</f>
        <v>464.69</v>
      </c>
      <c r="E20" s="15"/>
      <c r="F20" s="21">
        <f>IF(D$12=0,0,D20/D$12)</f>
        <v>1.1260025685138966</v>
      </c>
      <c r="G20" s="15"/>
      <c r="H20" s="22">
        <f>H12-H16</f>
        <v>81.55</v>
      </c>
      <c r="I20" s="15"/>
      <c r="J20" s="21">
        <f>IF(H$12=0,0,H20/H$12)</f>
        <v>0.81103928393833913</v>
      </c>
      <c r="K20" s="17"/>
      <c r="L20" s="22">
        <f>+D20-H20</f>
        <v>383.14</v>
      </c>
      <c r="M20" s="17"/>
      <c r="N20" s="21">
        <f>IF(H20=0,0,L20/H20)</f>
        <v>4.698221949724096</v>
      </c>
      <c r="O20" s="28"/>
      <c r="P20" s="22">
        <f>P12-P16</f>
        <v>1172.21</v>
      </c>
      <c r="Q20" s="15"/>
      <c r="R20" s="21">
        <f>IF(P$12=0,0,P20/P$12)</f>
        <v>1.0547052842785289</v>
      </c>
      <c r="S20" s="15"/>
      <c r="T20" s="22">
        <f>T12-T16</f>
        <v>686.64</v>
      </c>
      <c r="U20" s="15"/>
      <c r="V20" s="21">
        <f>IF(T$12=0,0,T20/T$12)</f>
        <v>1.992860252503265</v>
      </c>
      <c r="W20" s="17"/>
      <c r="X20" s="22">
        <f>+P20-T20</f>
        <v>485.57000000000005</v>
      </c>
      <c r="Y20" s="17"/>
      <c r="Z20" s="21">
        <f>IF(T20=0,0,X20/T20)</f>
        <v>0.70716823954328334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8" t="s">
        <v>289</v>
      </c>
      <c r="C22" s="11"/>
      <c r="D22" s="23" cm="1">
        <f t="array" ref="D22">SUM(OSRRefD22x_0)</f>
        <v>203.28</v>
      </c>
      <c r="E22" s="23"/>
      <c r="F22" s="35">
        <f>IF(D$12=0,0,D22/D$12)</f>
        <v>0.49257311783663282</v>
      </c>
      <c r="G22" s="23"/>
      <c r="H22" s="23" cm="1">
        <f t="array" ref="H22">SUM(OSRRefH22x_0)</f>
        <v>0</v>
      </c>
      <c r="I22" s="23"/>
      <c r="J22" s="35">
        <f>IF(H$12=0,0,H22/H$12)</f>
        <v>0</v>
      </c>
      <c r="K22" s="5"/>
      <c r="L22" s="23">
        <f>+D22-H22</f>
        <v>203.28</v>
      </c>
      <c r="M22" s="5"/>
      <c r="N22" s="35">
        <f>IF(H22=0,0,L22/H22)</f>
        <v>0</v>
      </c>
      <c r="O22" s="11"/>
      <c r="P22" s="23" cm="1">
        <f t="array" ref="P22">SUM(OSRRefP22x_0)</f>
        <v>1328.81</v>
      </c>
      <c r="Q22" s="23"/>
      <c r="R22" s="35">
        <f>IF(P$12=0,0,P22/P$12)</f>
        <v>1.1956073816143455</v>
      </c>
      <c r="S22" s="23"/>
      <c r="T22" s="23" cm="1">
        <f t="array" ref="T22">SUM(OSRRefT22x_0)</f>
        <v>0</v>
      </c>
      <c r="U22" s="23"/>
      <c r="V22" s="35">
        <f>IF(T$12=0,0,T22/T$12)</f>
        <v>0</v>
      </c>
      <c r="W22" s="5"/>
      <c r="X22" s="23">
        <f>+P22-T22</f>
        <v>1328.81</v>
      </c>
      <c r="Y22" s="5"/>
      <c r="Z22" s="35">
        <f>IF(T22=0,0,X22/T22)</f>
        <v>0</v>
      </c>
    </row>
    <row r="23" spans="1:26" s="68" customFormat="1" ht="15" customHeight="1" outlineLevel="1" collapsed="1" x14ac:dyDescent="0.3">
      <c r="A23" s="26"/>
      <c r="B23" s="14" t="str">
        <f>CONCATENATE("     ","Bank/card Fees                                    ")</f>
        <v xml:space="preserve">     Bank/card Fees                                    </v>
      </c>
      <c r="C23" s="14"/>
      <c r="D23" s="2">
        <f>SUM(OSRRefD22_0x_0)</f>
        <v>203.28</v>
      </c>
      <c r="E23" s="2"/>
      <c r="F23" s="6">
        <f>IF(D$12=0,0,D23/D$12)</f>
        <v>0.49257311783663282</v>
      </c>
      <c r="G23" s="2"/>
      <c r="H23" s="2">
        <f>SUM(OSRRefH22_0x_0)</f>
        <v>0</v>
      </c>
      <c r="I23" s="2"/>
      <c r="J23" s="6">
        <f>IF(H$12=0,0,H23/H$12)</f>
        <v>0</v>
      </c>
      <c r="K23" s="2"/>
      <c r="L23" s="2">
        <f>+D23-H23</f>
        <v>203.28</v>
      </c>
      <c r="M23" s="2"/>
      <c r="N23" s="6">
        <f>IF(H23=0,0,L23/H23)</f>
        <v>0</v>
      </c>
      <c r="O23" s="14"/>
      <c r="P23" s="2">
        <f>SUM(OSRRefP22_0x_0)</f>
        <v>569.92999999999995</v>
      </c>
      <c r="Q23" s="2"/>
      <c r="R23" s="6">
        <f>IF(P$12=0,0,P23/P$12)</f>
        <v>0.51279905705365247</v>
      </c>
      <c r="S23" s="2"/>
      <c r="T23" s="2">
        <f>SUM(OSRRefT22_0x_0)</f>
        <v>0</v>
      </c>
      <c r="U23" s="2"/>
      <c r="V23" s="6">
        <f>IF(T$12=0,0,T23/T$12)</f>
        <v>0</v>
      </c>
      <c r="W23" s="2"/>
      <c r="X23" s="2">
        <f>+P23-T23</f>
        <v>569.92999999999995</v>
      </c>
      <c r="Y23" s="2"/>
      <c r="Z23" s="6">
        <f>IF(T23=0,0,X23/T23)</f>
        <v>0</v>
      </c>
    </row>
    <row r="24" spans="1:26" s="69" customFormat="1" ht="15" hidden="1" customHeight="1" outlineLevel="2" x14ac:dyDescent="0.3">
      <c r="A24" s="25"/>
      <c r="B24" s="12" t="str">
        <f>CONCATENATE("          ","6381"," - ","BANK/CREDIT CARD FEES")</f>
        <v xml:space="preserve">          6381 - BANK/CREDIT CARD FEES</v>
      </c>
      <c r="C24" s="12"/>
      <c r="D24" s="8">
        <v>203.28</v>
      </c>
      <c r="E24" s="3"/>
      <c r="F24" s="7">
        <f>IF(D$12=0,0,D24/D$12)</f>
        <v>0.49257311783663282</v>
      </c>
      <c r="G24" s="3"/>
      <c r="H24" s="8"/>
      <c r="I24" s="3"/>
      <c r="J24" s="7">
        <f>IF(H$12=0,0,H24/H$12)</f>
        <v>0</v>
      </c>
      <c r="K24" s="3"/>
      <c r="L24" s="8">
        <f>+D24-H24</f>
        <v>203.28</v>
      </c>
      <c r="M24" s="3"/>
      <c r="N24" s="7">
        <f>IF(H24=0,0,L24/H24)</f>
        <v>0</v>
      </c>
      <c r="O24" s="12"/>
      <c r="P24" s="8">
        <v>569.92999999999995</v>
      </c>
      <c r="Q24" s="3"/>
      <c r="R24" s="7">
        <f>IF(P$12=0,0,P24/P$12)</f>
        <v>0.51279905705365247</v>
      </c>
      <c r="S24" s="3"/>
      <c r="T24" s="8"/>
      <c r="U24" s="3"/>
      <c r="V24" s="7">
        <f>IF(T$12=0,0,T24/T$12)</f>
        <v>0</v>
      </c>
      <c r="W24" s="3"/>
      <c r="X24" s="8">
        <f>+P24-T24</f>
        <v>569.92999999999995</v>
      </c>
      <c r="Y24" s="3"/>
      <c r="Z24" s="7">
        <f>IF(T24=0,0,X24/T24)</f>
        <v>0</v>
      </c>
    </row>
    <row r="25" spans="1:26" s="68" customFormat="1" ht="15" customHeight="1" outlineLevel="1" collapsed="1" x14ac:dyDescent="0.3">
      <c r="A25" s="26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SUM(OSRRefD22_1x_0)</f>
        <v>0</v>
      </c>
      <c r="E25" s="2"/>
      <c r="F25" s="6">
        <f>IF(D$12=0,0,D25/D$12)</f>
        <v>0</v>
      </c>
      <c r="G25" s="2"/>
      <c r="H25" s="2">
        <f>SUM(OSRRefH22_1x_0)</f>
        <v>0</v>
      </c>
      <c r="I25" s="2"/>
      <c r="J25" s="6">
        <f>IF(H$12=0,0,H25/H$12)</f>
        <v>0</v>
      </c>
      <c r="K25" s="2"/>
      <c r="L25" s="2">
        <f>+D25-H25</f>
        <v>0</v>
      </c>
      <c r="M25" s="2"/>
      <c r="N25" s="6">
        <f>IF(H25=0,0,L25/H25)</f>
        <v>0</v>
      </c>
      <c r="O25" s="14"/>
      <c r="P25" s="2">
        <f>SUM(OSRRefP22_1x_0)</f>
        <v>758.88</v>
      </c>
      <c r="Q25" s="2"/>
      <c r="R25" s="6">
        <f>IF(P$12=0,0,P25/P$12)</f>
        <v>0.68280832456069307</v>
      </c>
      <c r="S25" s="2"/>
      <c r="T25" s="2">
        <f>SUM(OSRRefT22_1x_0)</f>
        <v>0</v>
      </c>
      <c r="U25" s="2"/>
      <c r="V25" s="6">
        <f>IF(T$12=0,0,T25/T$12)</f>
        <v>0</v>
      </c>
      <c r="W25" s="2"/>
      <c r="X25" s="2">
        <f>+P25-T25</f>
        <v>758.88</v>
      </c>
      <c r="Y25" s="2"/>
      <c r="Z25" s="6">
        <f>IF(T25=0,0,X25/T25)</f>
        <v>0</v>
      </c>
    </row>
    <row r="26" spans="1:26" s="69" customFormat="1" ht="15" hidden="1" customHeight="1" outlineLevel="2" x14ac:dyDescent="0.3">
      <c r="A26" s="25"/>
      <c r="B26" s="12" t="str">
        <f>CONCATENATE("          ","6279"," - ","GENERAL EXPENSE")</f>
        <v xml:space="preserve">          6279 - GENERAL EXPENSE</v>
      </c>
      <c r="C26" s="12"/>
      <c r="D26" s="8"/>
      <c r="E26" s="3"/>
      <c r="F26" s="7">
        <f>IF(D$12=0,0,D26/D$12)</f>
        <v>0</v>
      </c>
      <c r="G26" s="3"/>
      <c r="H26" s="8"/>
      <c r="I26" s="3"/>
      <c r="J26" s="7">
        <f>IF(H$12=0,0,H26/H$12)</f>
        <v>0</v>
      </c>
      <c r="K26" s="3"/>
      <c r="L26" s="8">
        <f>+D26-H26</f>
        <v>0</v>
      </c>
      <c r="M26" s="3"/>
      <c r="N26" s="7">
        <f>IF(H26=0,0,L26/H26)</f>
        <v>0</v>
      </c>
      <c r="O26" s="12"/>
      <c r="P26" s="8">
        <v>758.88</v>
      </c>
      <c r="Q26" s="3"/>
      <c r="R26" s="7">
        <f>IF(P$12=0,0,P26/P$12)</f>
        <v>0.68280832456069307</v>
      </c>
      <c r="S26" s="3"/>
      <c r="T26" s="8"/>
      <c r="U26" s="3"/>
      <c r="V26" s="7">
        <f>IF(T$12=0,0,T26/T$12)</f>
        <v>0</v>
      </c>
      <c r="W26" s="3"/>
      <c r="X26" s="8">
        <f>+P26-T26</f>
        <v>758.88</v>
      </c>
      <c r="Y26" s="3"/>
      <c r="Z26" s="7">
        <f>IF(T26=0,0,X26/T26)</f>
        <v>0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7" t="s">
        <v>291</v>
      </c>
      <c r="C30" s="27"/>
      <c r="D30" s="22">
        <f>+D20-D22+D28</f>
        <v>261.40999999999997</v>
      </c>
      <c r="E30" s="15"/>
      <c r="F30" s="21">
        <f>IF(D$12=0,0,D30/D$12)</f>
        <v>0.63342945067726375</v>
      </c>
      <c r="G30" s="15"/>
      <c r="H30" s="22">
        <f>+H20-H22+H28</f>
        <v>81.55</v>
      </c>
      <c r="I30" s="15"/>
      <c r="J30" s="21">
        <f>IF(H$12=0,0,H30/H$12)</f>
        <v>0.81103928393833913</v>
      </c>
      <c r="K30" s="17"/>
      <c r="L30" s="22">
        <f>+D30-H30</f>
        <v>179.85999999999996</v>
      </c>
      <c r="M30" s="17"/>
      <c r="N30" s="21">
        <f>IF(H30=0,0,L30/H30)</f>
        <v>2.205518087063151</v>
      </c>
      <c r="O30" s="28"/>
      <c r="P30" s="22">
        <f>+P20-P22+P28</f>
        <v>-156.59999999999991</v>
      </c>
      <c r="Q30" s="15"/>
      <c r="R30" s="21">
        <f>IF(P$12=0,0,P30/P$12)</f>
        <v>-0.14090209733581657</v>
      </c>
      <c r="S30" s="15"/>
      <c r="T30" s="22">
        <f>+T20-T22+T28</f>
        <v>686.64</v>
      </c>
      <c r="U30" s="15"/>
      <c r="V30" s="21">
        <f>IF(T$12=0,0,T30/T$12)</f>
        <v>1.992860252503265</v>
      </c>
      <c r="W30" s="17"/>
      <c r="X30" s="22">
        <f>+P30-T30</f>
        <v>-843.2399999999999</v>
      </c>
      <c r="Y30" s="17"/>
      <c r="Z30" s="21">
        <f>IF(T30=0,0,X30/T30)</f>
        <v>-1.2280671094023068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>
        <v>45.42</v>
      </c>
      <c r="E32" s="5"/>
      <c r="F32" s="13">
        <f>IF(D$12=0,0,D32/D$12)</f>
        <v>0.11005839734425356</v>
      </c>
      <c r="G32" s="5"/>
      <c r="H32" s="5">
        <v>22.69</v>
      </c>
      <c r="I32" s="5"/>
      <c r="J32" s="13">
        <f>IF(H$12=0,0,H32/H$12)</f>
        <v>0.2256588761810045</v>
      </c>
      <c r="K32" s="5"/>
      <c r="L32" s="5">
        <f>+D32-H32</f>
        <v>22.73</v>
      </c>
      <c r="M32" s="5"/>
      <c r="N32" s="13">
        <f>IF(H32=0,0,L32/H32)</f>
        <v>1.001762891141472</v>
      </c>
      <c r="O32" s="11"/>
      <c r="P32" s="5">
        <v>132.63999999999999</v>
      </c>
      <c r="Q32" s="5"/>
      <c r="R32" s="13">
        <f>IF(P$12=0,0,P32/P$12)</f>
        <v>0.11934389649184367</v>
      </c>
      <c r="S32" s="5"/>
      <c r="T32" s="5">
        <v>71.010000000000005</v>
      </c>
      <c r="U32" s="5"/>
      <c r="V32" s="13">
        <f>IF(T$12=0,0,T32/T$12)</f>
        <v>0.20609490639965172</v>
      </c>
      <c r="W32" s="5"/>
      <c r="X32" s="5">
        <f>+P32-T32</f>
        <v>61.629999999999981</v>
      </c>
      <c r="Y32" s="5"/>
      <c r="Z32" s="13">
        <f>IF(T32=0,0,X32/T32)</f>
        <v>0.86790592874243033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7" t="s">
        <v>293</v>
      </c>
      <c r="C34" s="27"/>
      <c r="D34" s="34">
        <f>+D30-D32</f>
        <v>215.98999999999995</v>
      </c>
      <c r="E34" s="15"/>
      <c r="F34" s="33">
        <f>IF(D$12=0,0,D34/D$12)</f>
        <v>0.52337105333301015</v>
      </c>
      <c r="G34" s="15"/>
      <c r="H34" s="34">
        <f>+H30-H32</f>
        <v>58.86</v>
      </c>
      <c r="I34" s="15"/>
      <c r="J34" s="33">
        <f>IF(H$12=0,0,H34/H$12)</f>
        <v>0.58538040775733469</v>
      </c>
      <c r="K34" s="17"/>
      <c r="L34" s="34">
        <f>D34-H34</f>
        <v>157.12999999999994</v>
      </c>
      <c r="M34" s="17"/>
      <c r="N34" s="33">
        <f>IF(H34=0,0,L34/H34)</f>
        <v>2.6695548759768934</v>
      </c>
      <c r="O34" s="28"/>
      <c r="P34" s="34">
        <f>+P30-P32</f>
        <v>-289.2399999999999</v>
      </c>
      <c r="Q34" s="15"/>
      <c r="R34" s="33">
        <f>IF(P$12=0,0,P34/P$12)</f>
        <v>-0.26024599382766023</v>
      </c>
      <c r="S34" s="15"/>
      <c r="T34" s="34">
        <f>+T30-T32</f>
        <v>615.63</v>
      </c>
      <c r="U34" s="15"/>
      <c r="V34" s="33">
        <f>IF(T$12=0,0,T34/T$12)</f>
        <v>1.7867653461036133</v>
      </c>
      <c r="W34" s="17"/>
      <c r="X34" s="34">
        <f>P34-T34</f>
        <v>-904.86999999999989</v>
      </c>
      <c r="Y34" s="17"/>
      <c r="Z34" s="33">
        <f>IF(T34=0,0,X34/T34)</f>
        <v>-1.4698276562220813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7" t="s">
        <v>296</v>
      </c>
      <c r="C37" s="27"/>
      <c r="D37" s="31">
        <f>SUM(D34:D36)</f>
        <v>215.98999999999995</v>
      </c>
      <c r="E37" s="15"/>
      <c r="F37" s="32">
        <f>IF(D$12=0,0,D37/D$12)</f>
        <v>0.52337105333301015</v>
      </c>
      <c r="G37" s="15"/>
      <c r="H37" s="31">
        <f>SUM(H34:H36)</f>
        <v>58.86</v>
      </c>
      <c r="I37" s="15"/>
      <c r="J37" s="32">
        <f>IF(H$12=0,0,H37/H$12)</f>
        <v>0.58538040775733469</v>
      </c>
      <c r="K37" s="17"/>
      <c r="L37" s="31">
        <f>+D37-H37</f>
        <v>157.12999999999994</v>
      </c>
      <c r="M37" s="17"/>
      <c r="N37" s="32">
        <f>IF(H37=0,0,L37/H37)</f>
        <v>2.6695548759768934</v>
      </c>
      <c r="O37" s="28"/>
      <c r="P37" s="31">
        <f>SUM(P34:P36)</f>
        <v>-289.2399999999999</v>
      </c>
      <c r="Q37" s="15"/>
      <c r="R37" s="32">
        <f>IF(P$12=0,0,P37/P$12)</f>
        <v>-0.26024599382766023</v>
      </c>
      <c r="S37" s="15"/>
      <c r="T37" s="31">
        <f>SUM(T34:T36)</f>
        <v>615.63</v>
      </c>
      <c r="U37" s="15"/>
      <c r="V37" s="32">
        <f>IF(T$12=0,0,T37/T$12)</f>
        <v>1.7867653461036133</v>
      </c>
      <c r="W37" s="17"/>
      <c r="X37" s="31">
        <f>+P37-T37</f>
        <v>-904.86999999999989</v>
      </c>
      <c r="Y37" s="17"/>
      <c r="Z37" s="32">
        <f>IF(T37=0,0,X37/T37)</f>
        <v>-1.4698276562220813</v>
      </c>
    </row>
    <row r="38" spans="1:26" ht="15" customHeight="1" x14ac:dyDescent="0.3">
      <c r="A38" s="10"/>
      <c r="C38" s="10"/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6">
        <v>44663.03859679398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7" t="s">
        <v>297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8"/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74CEE-CDEB-3EA5-050C-2D36133CA58F}">
  <sheetPr>
    <tabColor rgb="FFFFC000"/>
    <outlinePr summaryBelow="0" summaryRight="0"/>
  </sheetPr>
  <dimension ref="A2:Z12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309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1657738.8299999998</v>
      </c>
      <c r="E12" s="5"/>
      <c r="F12" s="13"/>
      <c r="G12" s="5"/>
      <c r="H12" s="5">
        <f>SUM(OSRRefH13x_0)</f>
        <v>149061.23000000001</v>
      </c>
      <c r="I12" s="5"/>
      <c r="J12" s="13"/>
      <c r="K12" s="5"/>
      <c r="L12" s="5">
        <f t="shared" ref="L12:L20" si="0">+D12-H12</f>
        <v>1508677.5999999999</v>
      </c>
      <c r="M12" s="5"/>
      <c r="N12" s="13">
        <f t="shared" ref="N12:N20" si="1">IF(H12=0,0,L12/H12)</f>
        <v>10.121193820821146</v>
      </c>
      <c r="O12" s="11"/>
      <c r="P12" s="5">
        <f>SUM(OSRRefP13x_0)</f>
        <v>10293492.370000003</v>
      </c>
      <c r="Q12" s="5"/>
      <c r="R12" s="13"/>
      <c r="S12" s="5"/>
      <c r="T12" s="5">
        <f>SUM(OSRRefT13x_0)</f>
        <v>1234723.01</v>
      </c>
      <c r="U12" s="5"/>
      <c r="V12" s="13"/>
      <c r="W12" s="5"/>
      <c r="X12" s="5">
        <f t="shared" ref="X12:X20" si="2">+P12-T12</f>
        <v>9058769.3600000031</v>
      </c>
      <c r="Y12" s="5"/>
      <c r="Z12" s="13">
        <f t="shared" ref="Z12:Z20" si="3">IF(T12=0,0,X12/T12)</f>
        <v>7.3366814148867308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--58129.76</f>
        <v>58129.760000000002</v>
      </c>
      <c r="E13" s="3"/>
      <c r="F13" s="20"/>
      <c r="G13" s="3"/>
      <c r="H13" s="3">
        <f>--2604.58</f>
        <v>2604.58</v>
      </c>
      <c r="I13" s="3"/>
      <c r="J13" s="20"/>
      <c r="K13" s="3"/>
      <c r="L13" s="3">
        <f t="shared" si="0"/>
        <v>55525.18</v>
      </c>
      <c r="M13" s="3"/>
      <c r="N13" s="20">
        <f t="shared" si="1"/>
        <v>21.318285481728342</v>
      </c>
      <c r="O13" s="12"/>
      <c r="P13" s="3">
        <f>--263794.88</f>
        <v>263794.88</v>
      </c>
      <c r="Q13" s="3"/>
      <c r="R13" s="20"/>
      <c r="S13" s="3"/>
      <c r="T13" s="3">
        <f>--25569.06</f>
        <v>25569.06</v>
      </c>
      <c r="U13" s="3"/>
      <c r="V13" s="20"/>
      <c r="W13" s="3"/>
      <c r="X13" s="3">
        <f t="shared" si="2"/>
        <v>238225.82</v>
      </c>
      <c r="Y13" s="3"/>
      <c r="Z13" s="20">
        <f t="shared" si="3"/>
        <v>9.3169565091559878</v>
      </c>
    </row>
    <row r="14" spans="1:26" s="69" customFormat="1" ht="15" hidden="1" customHeight="1" outlineLevel="1" x14ac:dyDescent="0.3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--51782.31</f>
        <v>51782.31</v>
      </c>
      <c r="I14" s="3"/>
      <c r="J14" s="20"/>
      <c r="K14" s="3"/>
      <c r="L14" s="3">
        <f t="shared" si="0"/>
        <v>-51782.31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--331940.11</f>
        <v>331940.11</v>
      </c>
      <c r="U14" s="3"/>
      <c r="V14" s="20"/>
      <c r="W14" s="3"/>
      <c r="X14" s="3">
        <f t="shared" si="2"/>
        <v>-331940.11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--2840.91</f>
        <v>2840.91</v>
      </c>
      <c r="E15" s="3"/>
      <c r="F15" s="20"/>
      <c r="G15" s="3"/>
      <c r="H15" s="3">
        <f>--163.51</f>
        <v>163.51</v>
      </c>
      <c r="I15" s="3"/>
      <c r="J15" s="20"/>
      <c r="K15" s="3"/>
      <c r="L15" s="3">
        <f t="shared" si="0"/>
        <v>2677.3999999999996</v>
      </c>
      <c r="M15" s="3"/>
      <c r="N15" s="20">
        <f t="shared" si="1"/>
        <v>16.374533667665585</v>
      </c>
      <c r="O15" s="12"/>
      <c r="P15" s="3">
        <f>--20488.89</f>
        <v>20488.89</v>
      </c>
      <c r="Q15" s="3"/>
      <c r="R15" s="20"/>
      <c r="S15" s="3"/>
      <c r="T15" s="3">
        <f>--923.72</f>
        <v>923.72</v>
      </c>
      <c r="U15" s="3"/>
      <c r="V15" s="20"/>
      <c r="W15" s="3"/>
      <c r="X15" s="3">
        <f t="shared" si="2"/>
        <v>19565.169999999998</v>
      </c>
      <c r="Y15" s="3"/>
      <c r="Z15" s="20">
        <f t="shared" si="3"/>
        <v>21.180844844758148</v>
      </c>
    </row>
    <row r="16" spans="1:26" s="69" customFormat="1" ht="15" hidden="1" customHeight="1" outlineLevel="1" x14ac:dyDescent="0.3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--541.27</f>
        <v>541.27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541.27</v>
      </c>
      <c r="M16" s="3"/>
      <c r="N16" s="20">
        <f t="shared" si="1"/>
        <v>0</v>
      </c>
      <c r="O16" s="12"/>
      <c r="P16" s="3">
        <f>--541.27</f>
        <v>541.27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541.27</v>
      </c>
      <c r="Y16" s="3"/>
      <c r="Z16" s="20">
        <f t="shared" si="3"/>
        <v>0</v>
      </c>
    </row>
    <row r="17" spans="1:26" s="69" customFormat="1" ht="15" hidden="1" customHeight="1" outlineLevel="1" x14ac:dyDescent="0.3">
      <c r="A17" s="42"/>
      <c r="B17" s="12" t="str">
        <f>CONCATENATE("          ","4058"," - ","TAXABLE SALES-FOOD")</f>
        <v xml:space="preserve">          4058 -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--974.91</f>
        <v>974.91</v>
      </c>
      <c r="U17" s="3"/>
      <c r="V17" s="20"/>
      <c r="W17" s="3"/>
      <c r="X17" s="3">
        <f t="shared" si="2"/>
        <v>-974.91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","4151"," - ","NON-TAXABLE SALES-FOOD")</f>
        <v xml:space="preserve">          4151 - NON-TAXABLE SALES-FOOD</v>
      </c>
      <c r="C18" s="12"/>
      <c r="D18" s="3">
        <f>--1578769.24</f>
        <v>1578769.24</v>
      </c>
      <c r="E18" s="3"/>
      <c r="F18" s="20"/>
      <c r="G18" s="3"/>
      <c r="H18" s="3">
        <f>--89340.04</f>
        <v>89340.04</v>
      </c>
      <c r="I18" s="3"/>
      <c r="J18" s="20"/>
      <c r="K18" s="3"/>
      <c r="L18" s="3">
        <f t="shared" si="0"/>
        <v>1489429.2</v>
      </c>
      <c r="M18" s="3"/>
      <c r="N18" s="20">
        <f t="shared" si="1"/>
        <v>16.671463321484971</v>
      </c>
      <c r="O18" s="12"/>
      <c r="P18" s="3">
        <f>--9910422.4</f>
        <v>9910422.4000000004</v>
      </c>
      <c r="Q18" s="3"/>
      <c r="R18" s="20"/>
      <c r="S18" s="3"/>
      <c r="T18" s="3">
        <f>--832309.85</f>
        <v>832309.85</v>
      </c>
      <c r="U18" s="3"/>
      <c r="V18" s="20"/>
      <c r="W18" s="3"/>
      <c r="X18" s="3">
        <f t="shared" si="2"/>
        <v>9078112.5500000007</v>
      </c>
      <c r="Y18" s="3"/>
      <c r="Z18" s="20">
        <f t="shared" si="3"/>
        <v>10.907130980127175</v>
      </c>
    </row>
    <row r="19" spans="1:26" s="69" customFormat="1" ht="15" hidden="1" customHeight="1" outlineLevel="1" x14ac:dyDescent="0.3">
      <c r="A19" s="42"/>
      <c r="B19" s="12" t="str">
        <f>CONCATENATE("          ","4153"," - ","NON-TAXABLE SALES-FOOD")</f>
        <v xml:space="preserve">          4153 - NON-TAXABLE SALES-FOOD</v>
      </c>
      <c r="C19" s="12"/>
      <c r="D19" s="3">
        <f>--15712.94</f>
        <v>15712.94</v>
      </c>
      <c r="E19" s="3"/>
      <c r="F19" s="20"/>
      <c r="G19" s="3"/>
      <c r="H19" s="3">
        <f>--5170.79</f>
        <v>5170.79</v>
      </c>
      <c r="I19" s="3"/>
      <c r="J19" s="20"/>
      <c r="K19" s="3"/>
      <c r="L19" s="3">
        <f t="shared" si="0"/>
        <v>10542.150000000001</v>
      </c>
      <c r="M19" s="3"/>
      <c r="N19" s="20">
        <f t="shared" si="1"/>
        <v>2.0387890438404965</v>
      </c>
      <c r="O19" s="12"/>
      <c r="P19" s="3">
        <f>--96500.22</f>
        <v>96500.22</v>
      </c>
      <c r="Q19" s="3"/>
      <c r="R19" s="20"/>
      <c r="S19" s="3"/>
      <c r="T19" s="3">
        <f>--43005.36</f>
        <v>43005.36</v>
      </c>
      <c r="U19" s="3"/>
      <c r="V19" s="20"/>
      <c r="W19" s="3"/>
      <c r="X19" s="3">
        <f t="shared" si="2"/>
        <v>53494.86</v>
      </c>
      <c r="Y19" s="3"/>
      <c r="Z19" s="20">
        <f t="shared" si="3"/>
        <v>1.2439114566184308</v>
      </c>
    </row>
    <row r="20" spans="1:26" s="69" customFormat="1" ht="15" hidden="1" customHeight="1" outlineLevel="1" x14ac:dyDescent="0.3">
      <c r="A20" s="42"/>
      <c r="B20" s="12" t="str">
        <f>CONCATENATE("          ","4155"," - ","NON-TAXABLE SALES-FOOD")</f>
        <v xml:space="preserve">          4155 - NON-TAXABLE SALES-FOOD</v>
      </c>
      <c r="C20" s="12"/>
      <c r="D20" s="3">
        <f>--1744.71</f>
        <v>1744.71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1744.71</v>
      </c>
      <c r="M20" s="3"/>
      <c r="N20" s="20">
        <f t="shared" si="1"/>
        <v>0</v>
      </c>
      <c r="O20" s="12"/>
      <c r="P20" s="3">
        <f>--1744.71</f>
        <v>1744.71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1744.71</v>
      </c>
      <c r="Y20" s="3"/>
      <c r="Z20" s="20">
        <f t="shared" si="3"/>
        <v>0</v>
      </c>
    </row>
    <row r="21" spans="1:26" ht="15" customHeight="1" x14ac:dyDescent="0.3">
      <c r="A21" s="10"/>
      <c r="B21" s="11"/>
      <c r="C21" s="10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collapsed="1" x14ac:dyDescent="0.3">
      <c r="A22" s="11"/>
      <c r="B22" s="28" t="s">
        <v>287</v>
      </c>
      <c r="C22" s="11"/>
      <c r="D22" s="5">
        <f>SUM(OSRRefD16x_0)</f>
        <v>428711.98</v>
      </c>
      <c r="E22" s="5"/>
      <c r="F22" s="13">
        <f>IF(D$12=0,0,D22/D$12)</f>
        <v>0.25861249808572079</v>
      </c>
      <c r="G22" s="5"/>
      <c r="H22" s="5">
        <f>SUM(OSRRefH16x_0)</f>
        <v>37683.75</v>
      </c>
      <c r="I22" s="5"/>
      <c r="J22" s="13">
        <f>IF(H$12=0,0,H22/H$12)</f>
        <v>0.25280718534256019</v>
      </c>
      <c r="K22" s="5"/>
      <c r="L22" s="5">
        <f>+D22-H22</f>
        <v>391028.23</v>
      </c>
      <c r="M22" s="5"/>
      <c r="N22" s="13">
        <f>IF(H22=0,0,L22/H22)</f>
        <v>10.37657425282781</v>
      </c>
      <c r="O22" s="11"/>
      <c r="P22" s="5">
        <f>SUM(OSRRefP16x_0)</f>
        <v>2660935.5300000003</v>
      </c>
      <c r="Q22" s="5"/>
      <c r="R22" s="13">
        <f>IF(P$12=0,0,P22/P$12)</f>
        <v>0.25850658205714488</v>
      </c>
      <c r="S22" s="5"/>
      <c r="T22" s="5">
        <f>SUM(OSRRefT16x_0)</f>
        <v>378627.32</v>
      </c>
      <c r="U22" s="5"/>
      <c r="V22" s="13">
        <f>IF(T$12=0,0,T22/T$12)</f>
        <v>0.30664960232659794</v>
      </c>
      <c r="W22" s="5"/>
      <c r="X22" s="5">
        <f>+P22-T22</f>
        <v>2282308.2100000004</v>
      </c>
      <c r="Y22" s="5"/>
      <c r="Z22" s="13">
        <f>IF(T22=0,0,X22/T22)</f>
        <v>6.027848729985994</v>
      </c>
    </row>
    <row r="23" spans="1:26" s="69" customFormat="1" ht="15" hidden="1" customHeight="1" outlineLevel="1" x14ac:dyDescent="0.3">
      <c r="A23" s="42"/>
      <c r="B23" s="12" t="str">
        <f>CONCATENATE("          ","5053"," - ","PURCHASES @ COST-FOOD")</f>
        <v xml:space="preserve">          5053 - PURCHASES @ COST-FOOD</v>
      </c>
      <c r="C23" s="12"/>
      <c r="D23" s="3">
        <v>393383.23</v>
      </c>
      <c r="E23" s="3"/>
      <c r="F23" s="20">
        <f>IF(D$12=0,0,D23/D$12)</f>
        <v>0.2373010892192228</v>
      </c>
      <c r="G23" s="3"/>
      <c r="H23" s="3">
        <v>32547.75</v>
      </c>
      <c r="I23" s="3"/>
      <c r="J23" s="20">
        <f>IF(H$12=0,0,H23/H$12)</f>
        <v>0.21835154587145161</v>
      </c>
      <c r="K23" s="3"/>
      <c r="L23" s="3">
        <f>+D23-H23</f>
        <v>360835.48</v>
      </c>
      <c r="M23" s="3"/>
      <c r="N23" s="20">
        <f>IF(H23=0,0,L23/H23)</f>
        <v>11.086341759415014</v>
      </c>
      <c r="O23" s="12"/>
      <c r="P23" s="3">
        <v>2655642.35</v>
      </c>
      <c r="Q23" s="3"/>
      <c r="R23" s="20">
        <f>IF(P$12=0,0,P23/P$12)</f>
        <v>0.25799235619387739</v>
      </c>
      <c r="S23" s="3"/>
      <c r="T23" s="3">
        <v>377651.94</v>
      </c>
      <c r="U23" s="3"/>
      <c r="V23" s="20">
        <f>IF(T$12=0,0,T23/T$12)</f>
        <v>0.30585964377548935</v>
      </c>
      <c r="W23" s="3"/>
      <c r="X23" s="3">
        <f>+P23-T23</f>
        <v>2277990.41</v>
      </c>
      <c r="Y23" s="3"/>
      <c r="Z23" s="20">
        <f>IF(T23=0,0,X23/T23)</f>
        <v>6.0319838685324907</v>
      </c>
    </row>
    <row r="24" spans="1:26" s="69" customFormat="1" ht="15" hidden="1" customHeight="1" outlineLevel="1" x14ac:dyDescent="0.3">
      <c r="A24" s="42"/>
      <c r="B24" s="12" t="str">
        <f>CONCATENATE("          ","5059"," - ","PURCHASES @ COST-FOOD")</f>
        <v xml:space="preserve">          5059 - PURCHASES @ COST-FOOD</v>
      </c>
      <c r="C24" s="12"/>
      <c r="D24" s="3">
        <v>35328.75</v>
      </c>
      <c r="E24" s="3"/>
      <c r="F24" s="20">
        <f>IF(D$12=0,0,D24/D$12)</f>
        <v>2.1311408866497988E-2</v>
      </c>
      <c r="G24" s="3"/>
      <c r="H24" s="3">
        <v>5136</v>
      </c>
      <c r="I24" s="3"/>
      <c r="J24" s="20">
        <f>IF(H$12=0,0,H24/H$12)</f>
        <v>3.4455639471108614E-2</v>
      </c>
      <c r="K24" s="3"/>
      <c r="L24" s="3">
        <f>+D24-H24</f>
        <v>30192.75</v>
      </c>
      <c r="M24" s="3"/>
      <c r="N24" s="20">
        <f>IF(H24=0,0,L24/H24)</f>
        <v>5.8786507009345792</v>
      </c>
      <c r="O24" s="12"/>
      <c r="P24" s="3">
        <v>5293.18</v>
      </c>
      <c r="Q24" s="3"/>
      <c r="R24" s="20">
        <f>IF(P$12=0,0,P24/P$12)</f>
        <v>5.1422586326743431E-4</v>
      </c>
      <c r="S24" s="3"/>
      <c r="T24" s="3">
        <v>975.38</v>
      </c>
      <c r="U24" s="3"/>
      <c r="V24" s="20">
        <f>IF(T$12=0,0,T24/T$12)</f>
        <v>7.8995855110855994E-4</v>
      </c>
      <c r="W24" s="3"/>
      <c r="X24" s="3">
        <f>+P24-T24</f>
        <v>4317.8</v>
      </c>
      <c r="Y24" s="3"/>
      <c r="Z24" s="20">
        <f>IF(T24=0,0,X24/T24)</f>
        <v>4.4267875084582418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7" t="s">
        <v>288</v>
      </c>
      <c r="C26" s="27"/>
      <c r="D26" s="22">
        <f>D12-D22</f>
        <v>1229026.8499999999</v>
      </c>
      <c r="E26" s="15"/>
      <c r="F26" s="21">
        <f>IF(D$12=0,0,D26/D$12)</f>
        <v>0.74138750191427916</v>
      </c>
      <c r="G26" s="15"/>
      <c r="H26" s="22">
        <f>H12-H22</f>
        <v>111377.48000000001</v>
      </c>
      <c r="I26" s="15"/>
      <c r="J26" s="21">
        <f>IF(H$12=0,0,H26/H$12)</f>
        <v>0.74719281465743981</v>
      </c>
      <c r="K26" s="17"/>
      <c r="L26" s="22">
        <f>+D26-H26</f>
        <v>1117649.3699999999</v>
      </c>
      <c r="M26" s="17"/>
      <c r="N26" s="21">
        <f>IF(H26=0,0,L26/H26)</f>
        <v>10.034787732672706</v>
      </c>
      <c r="O26" s="28"/>
      <c r="P26" s="22">
        <f>P12-P22</f>
        <v>7632556.8400000026</v>
      </c>
      <c r="Q26" s="15"/>
      <c r="R26" s="21">
        <f>IF(P$12=0,0,P26/P$12)</f>
        <v>0.74149341794285517</v>
      </c>
      <c r="S26" s="15"/>
      <c r="T26" s="22">
        <f>T12-T22</f>
        <v>856095.69</v>
      </c>
      <c r="U26" s="15"/>
      <c r="V26" s="21">
        <f>IF(T$12=0,0,T26/T$12)</f>
        <v>0.69335039767340201</v>
      </c>
      <c r="W26" s="17"/>
      <c r="X26" s="22">
        <f>+P26-T26</f>
        <v>6776461.1500000022</v>
      </c>
      <c r="Y26" s="17"/>
      <c r="Z26" s="21">
        <f>IF(T26=0,0,X26/T26)</f>
        <v>7.9155417194075612</v>
      </c>
    </row>
    <row r="27" spans="1:26" ht="15" customHeight="1" x14ac:dyDescent="0.3">
      <c r="A27" s="10"/>
      <c r="B27" s="11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8" t="s">
        <v>289</v>
      </c>
      <c r="C28" s="11"/>
      <c r="D28" s="23" cm="1">
        <f t="array" ref="D28">SUM(OSRRefD22x_0)</f>
        <v>763908.55</v>
      </c>
      <c r="E28" s="23"/>
      <c r="F28" s="35">
        <f t="shared" ref="F28:F59" si="4">IF(D$12=0,0,D28/D$12)</f>
        <v>0.46081357097728121</v>
      </c>
      <c r="G28" s="23"/>
      <c r="H28" s="23" cm="1">
        <f t="array" ref="H28">SUM(OSRRefH22x_0)</f>
        <v>322124.89999999991</v>
      </c>
      <c r="I28" s="23"/>
      <c r="J28" s="35">
        <f t="shared" ref="J28:J59" si="5">IF(H$12=0,0,H28/H$12)</f>
        <v>2.1610240301921557</v>
      </c>
      <c r="K28" s="5"/>
      <c r="L28" s="23">
        <f t="shared" ref="L28:L59" si="6">+D28-H28</f>
        <v>441783.65000000014</v>
      </c>
      <c r="M28" s="5"/>
      <c r="N28" s="35">
        <f t="shared" ref="N28:N59" si="7">IF(H28=0,0,L28/H28)</f>
        <v>1.3714669372035513</v>
      </c>
      <c r="O28" s="11"/>
      <c r="P28" s="23" cm="1">
        <f t="array" ref="P28">SUM(OSRRefP22x_0)</f>
        <v>5789980.9099999992</v>
      </c>
      <c r="Q28" s="23"/>
      <c r="R28" s="35">
        <f t="shared" ref="R28:R59" si="8">IF(P$12=0,0,P28/P$12)</f>
        <v>0.56248945468446465</v>
      </c>
      <c r="S28" s="23"/>
      <c r="T28" s="23" cm="1">
        <f t="array" ref="T28">SUM(OSRRefT22x_0)</f>
        <v>3013750.7399999998</v>
      </c>
      <c r="U28" s="23"/>
      <c r="V28" s="35">
        <f t="shared" ref="V28:V59" si="9">IF(T$12=0,0,T28/T$12)</f>
        <v>2.4408314379757123</v>
      </c>
      <c r="W28" s="5"/>
      <c r="X28" s="23">
        <f t="shared" ref="X28:X59" si="10">+P28-T28</f>
        <v>2776230.1699999995</v>
      </c>
      <c r="Y28" s="5"/>
      <c r="Z28" s="35">
        <f t="shared" ref="Z28:Z59" si="11">IF(T28=0,0,X28/T28)</f>
        <v>0.92118771906133146</v>
      </c>
    </row>
    <row r="29" spans="1:26" s="68" customFormat="1" ht="15" customHeight="1" outlineLevel="1" collapsed="1" x14ac:dyDescent="0.3">
      <c r="A29" s="26"/>
      <c r="B29" s="14" t="str">
        <f>CONCATENATE("     ","*Benefits                                         ")</f>
        <v xml:space="preserve">     *Benefits                                         </v>
      </c>
      <c r="C29" s="14"/>
      <c r="D29" s="2">
        <f>SUM(OSRRefD22_0x_0)</f>
        <v>117341.59000000003</v>
      </c>
      <c r="E29" s="2"/>
      <c r="F29" s="6">
        <f t="shared" si="4"/>
        <v>7.0784123455683329E-2</v>
      </c>
      <c r="G29" s="2"/>
      <c r="H29" s="2">
        <f>SUM(OSRRefH22_0x_0)</f>
        <v>93868.53</v>
      </c>
      <c r="I29" s="2"/>
      <c r="J29" s="6">
        <f t="shared" si="5"/>
        <v>0.62973135267970082</v>
      </c>
      <c r="K29" s="2"/>
      <c r="L29" s="2">
        <f t="shared" si="6"/>
        <v>23473.060000000027</v>
      </c>
      <c r="M29" s="2"/>
      <c r="N29" s="6">
        <f t="shared" si="7"/>
        <v>0.25006314682886827</v>
      </c>
      <c r="O29" s="14"/>
      <c r="P29" s="2">
        <f>SUM(OSRRefP22_0x_0)</f>
        <v>1049538.96</v>
      </c>
      <c r="Q29" s="2"/>
      <c r="R29" s="6">
        <f t="shared" si="8"/>
        <v>0.10196140651532826</v>
      </c>
      <c r="S29" s="2"/>
      <c r="T29" s="2">
        <f>SUM(OSRRefT22_0x_0)</f>
        <v>877216.54999999993</v>
      </c>
      <c r="U29" s="2"/>
      <c r="V29" s="6">
        <f t="shared" si="9"/>
        <v>0.71045614513979127</v>
      </c>
      <c r="W29" s="2"/>
      <c r="X29" s="2">
        <f t="shared" si="10"/>
        <v>172322.41000000003</v>
      </c>
      <c r="Y29" s="2"/>
      <c r="Z29" s="6">
        <f t="shared" si="11"/>
        <v>0.19644226958554309</v>
      </c>
    </row>
    <row r="30" spans="1:26" s="69" customFormat="1" ht="15" hidden="1" customHeight="1" outlineLevel="2" x14ac:dyDescent="0.3">
      <c r="A30" s="25"/>
      <c r="B30" s="12" t="str">
        <f>CONCATENATE("          ","6111"," - ","F.I.C.A.")</f>
        <v xml:space="preserve">          6111 - F.I.C.A.</v>
      </c>
      <c r="C30" s="12"/>
      <c r="D30" s="8">
        <v>17729.97</v>
      </c>
      <c r="E30" s="3"/>
      <c r="F30" s="7">
        <f t="shared" si="4"/>
        <v>1.0695273392371465E-2</v>
      </c>
      <c r="G30" s="3"/>
      <c r="H30" s="8">
        <v>9770.2999999999993</v>
      </c>
      <c r="I30" s="3"/>
      <c r="J30" s="7">
        <f t="shared" si="5"/>
        <v>6.5545547960391831E-2</v>
      </c>
      <c r="K30" s="3"/>
      <c r="L30" s="8">
        <f t="shared" si="6"/>
        <v>7959.6700000000019</v>
      </c>
      <c r="M30" s="3"/>
      <c r="N30" s="7">
        <f t="shared" si="7"/>
        <v>0.81468020429260135</v>
      </c>
      <c r="O30" s="12"/>
      <c r="P30" s="8">
        <v>146597.35</v>
      </c>
      <c r="Q30" s="3"/>
      <c r="R30" s="7">
        <f t="shared" si="8"/>
        <v>1.4241750489586263E-2</v>
      </c>
      <c r="S30" s="3"/>
      <c r="T30" s="8">
        <v>93231.7</v>
      </c>
      <c r="U30" s="3"/>
      <c r="V30" s="7">
        <f t="shared" si="9"/>
        <v>7.5508190294436964E-2</v>
      </c>
      <c r="W30" s="3"/>
      <c r="X30" s="8">
        <f t="shared" si="10"/>
        <v>53365.650000000009</v>
      </c>
      <c r="Y30" s="3"/>
      <c r="Z30" s="7">
        <f t="shared" si="11"/>
        <v>0.57239812209795604</v>
      </c>
    </row>
    <row r="31" spans="1:26" s="69" customFormat="1" ht="15" hidden="1" customHeight="1" outlineLevel="2" x14ac:dyDescent="0.3">
      <c r="A31" s="25"/>
      <c r="B31" s="12" t="str">
        <f>CONCATENATE("          ","6112"," - ","COMPENSATION INSURANCE")</f>
        <v xml:space="preserve">          6112 - COMPENSATION INSURANCE</v>
      </c>
      <c r="C31" s="12"/>
      <c r="D31" s="8">
        <v>13540.5</v>
      </c>
      <c r="E31" s="3"/>
      <c r="F31" s="7">
        <f t="shared" si="4"/>
        <v>8.1680538302888166E-3</v>
      </c>
      <c r="G31" s="3"/>
      <c r="H31" s="8">
        <v>5262.93</v>
      </c>
      <c r="I31" s="3"/>
      <c r="J31" s="7">
        <f t="shared" si="5"/>
        <v>3.5307168738645187E-2</v>
      </c>
      <c r="K31" s="3"/>
      <c r="L31" s="8">
        <f t="shared" si="6"/>
        <v>8277.57</v>
      </c>
      <c r="M31" s="3"/>
      <c r="N31" s="7">
        <f t="shared" si="7"/>
        <v>1.5728064025172288</v>
      </c>
      <c r="O31" s="12"/>
      <c r="P31" s="8">
        <v>88159.66</v>
      </c>
      <c r="Q31" s="3"/>
      <c r="R31" s="7">
        <f t="shared" si="8"/>
        <v>8.564601481314351E-3</v>
      </c>
      <c r="S31" s="3"/>
      <c r="T31" s="8">
        <v>50750.03</v>
      </c>
      <c r="U31" s="3"/>
      <c r="V31" s="7">
        <f t="shared" si="9"/>
        <v>4.110236027754921E-2</v>
      </c>
      <c r="W31" s="3"/>
      <c r="X31" s="8">
        <f t="shared" si="10"/>
        <v>37409.630000000005</v>
      </c>
      <c r="Y31" s="3"/>
      <c r="Z31" s="7">
        <f t="shared" si="11"/>
        <v>0.73713513075755832</v>
      </c>
    </row>
    <row r="32" spans="1:26" s="69" customFormat="1" ht="15" hidden="1" customHeight="1" outlineLevel="2" x14ac:dyDescent="0.3">
      <c r="A32" s="25"/>
      <c r="B32" s="12" t="str">
        <f>CONCATENATE("          ","6113"," - ","GROUP INSURANCE")</f>
        <v xml:space="preserve">          6113 - GROUP INSURANCE</v>
      </c>
      <c r="C32" s="12"/>
      <c r="D32" s="8">
        <v>52740.55</v>
      </c>
      <c r="E32" s="3"/>
      <c r="F32" s="7">
        <f t="shared" si="4"/>
        <v>3.1814752146452407E-2</v>
      </c>
      <c r="G32" s="3"/>
      <c r="H32" s="8">
        <v>53968.59</v>
      </c>
      <c r="I32" s="3"/>
      <c r="J32" s="7">
        <f t="shared" si="5"/>
        <v>0.36205651865344191</v>
      </c>
      <c r="K32" s="3"/>
      <c r="L32" s="8">
        <f t="shared" si="6"/>
        <v>-1228.0399999999936</v>
      </c>
      <c r="M32" s="3"/>
      <c r="N32" s="7">
        <f t="shared" si="7"/>
        <v>-2.2754717141952267E-2</v>
      </c>
      <c r="O32" s="12"/>
      <c r="P32" s="8">
        <v>495559.01</v>
      </c>
      <c r="Q32" s="3"/>
      <c r="R32" s="7">
        <f t="shared" si="8"/>
        <v>4.8142942374377051E-2</v>
      </c>
      <c r="S32" s="3"/>
      <c r="T32" s="8">
        <v>490429.53</v>
      </c>
      <c r="U32" s="3"/>
      <c r="V32" s="7">
        <f t="shared" si="9"/>
        <v>0.39719801609593397</v>
      </c>
      <c r="W32" s="3"/>
      <c r="X32" s="8">
        <f t="shared" si="10"/>
        <v>5129.4799999999814</v>
      </c>
      <c r="Y32" s="3"/>
      <c r="Z32" s="7">
        <f t="shared" si="11"/>
        <v>1.0459158117986861E-2</v>
      </c>
    </row>
    <row r="33" spans="1:26" s="69" customFormat="1" ht="15" hidden="1" customHeight="1" outlineLevel="2" x14ac:dyDescent="0.3">
      <c r="A33" s="25"/>
      <c r="B33" s="12" t="str">
        <f>CONCATENATE("          ","6114"," - ","STATE UNEMPLOYMENT INSURANCE")</f>
        <v xml:space="preserve">          6114 - STATE UNEMPLOYMENT INSURANCE</v>
      </c>
      <c r="C33" s="12"/>
      <c r="D33" s="8">
        <v>1008.02</v>
      </c>
      <c r="E33" s="3"/>
      <c r="F33" s="7">
        <f t="shared" si="4"/>
        <v>6.0806924574481982E-4</v>
      </c>
      <c r="G33" s="3"/>
      <c r="H33" s="8">
        <v>364.7</v>
      </c>
      <c r="I33" s="3"/>
      <c r="J33" s="7">
        <f t="shared" si="5"/>
        <v>2.4466455831606915E-3</v>
      </c>
      <c r="K33" s="3"/>
      <c r="L33" s="8">
        <f t="shared" si="6"/>
        <v>643.31999999999994</v>
      </c>
      <c r="M33" s="3"/>
      <c r="N33" s="7">
        <f t="shared" si="7"/>
        <v>1.763970386619139</v>
      </c>
      <c r="O33" s="12"/>
      <c r="P33" s="8">
        <v>6649.05</v>
      </c>
      <c r="Q33" s="3"/>
      <c r="R33" s="7">
        <f t="shared" si="8"/>
        <v>6.4594694987858605E-4</v>
      </c>
      <c r="S33" s="3"/>
      <c r="T33" s="8">
        <v>3608.82</v>
      </c>
      <c r="U33" s="3"/>
      <c r="V33" s="7">
        <f t="shared" si="9"/>
        <v>2.9227769878525226E-3</v>
      </c>
      <c r="W33" s="3"/>
      <c r="X33" s="8">
        <f t="shared" si="10"/>
        <v>3040.23</v>
      </c>
      <c r="Y33" s="3"/>
      <c r="Z33" s="7">
        <f t="shared" si="11"/>
        <v>0.84244434468884566</v>
      </c>
    </row>
    <row r="34" spans="1:26" s="69" customFormat="1" ht="15" hidden="1" customHeight="1" outlineLevel="2" x14ac:dyDescent="0.3">
      <c r="A34" s="25"/>
      <c r="B34" s="12" t="str">
        <f>CONCATENATE("          ","6115"," - ","P.E.R.S.")</f>
        <v xml:space="preserve">          6115 - P.E.R.S.</v>
      </c>
      <c r="C34" s="12"/>
      <c r="D34" s="8">
        <v>7151.07</v>
      </c>
      <c r="E34" s="3"/>
      <c r="F34" s="7">
        <f t="shared" si="4"/>
        <v>4.3137494704156747E-3</v>
      </c>
      <c r="G34" s="3"/>
      <c r="H34" s="8">
        <v>6377.95</v>
      </c>
      <c r="I34" s="3"/>
      <c r="J34" s="7">
        <f t="shared" si="5"/>
        <v>4.2787450499368614E-2</v>
      </c>
      <c r="K34" s="3"/>
      <c r="L34" s="8">
        <f t="shared" si="6"/>
        <v>773.11999999999989</v>
      </c>
      <c r="M34" s="3"/>
      <c r="N34" s="7">
        <f t="shared" si="7"/>
        <v>0.12121763262490297</v>
      </c>
      <c r="O34" s="12"/>
      <c r="P34" s="8">
        <v>67935.53</v>
      </c>
      <c r="Q34" s="3"/>
      <c r="R34" s="7">
        <f t="shared" si="8"/>
        <v>6.5998523686669796E-3</v>
      </c>
      <c r="S34" s="3"/>
      <c r="T34" s="8">
        <v>65854.48</v>
      </c>
      <c r="U34" s="3"/>
      <c r="V34" s="7">
        <f t="shared" si="9"/>
        <v>5.3335427838183722E-2</v>
      </c>
      <c r="W34" s="3"/>
      <c r="X34" s="8">
        <f t="shared" si="10"/>
        <v>2081.0500000000029</v>
      </c>
      <c r="Y34" s="3"/>
      <c r="Z34" s="7">
        <f t="shared" si="11"/>
        <v>3.1600735439715005E-2</v>
      </c>
    </row>
    <row r="35" spans="1:26" s="69" customFormat="1" ht="15" hidden="1" customHeight="1" outlineLevel="2" x14ac:dyDescent="0.3">
      <c r="A35" s="25"/>
      <c r="B35" s="12" t="str">
        <f>CONCATENATE("          ","6117"," - ","RETIREMENT STAFF HOURLY")</f>
        <v xml:space="preserve">          6117 - RETIREMENT STAFF HOURLY</v>
      </c>
      <c r="C35" s="12"/>
      <c r="D35" s="8">
        <v>1704.21</v>
      </c>
      <c r="E35" s="3"/>
      <c r="F35" s="7">
        <f t="shared" si="4"/>
        <v>1.0280328657078029E-3</v>
      </c>
      <c r="G35" s="3"/>
      <c r="H35" s="8">
        <v>2091.52</v>
      </c>
      <c r="I35" s="3"/>
      <c r="J35" s="7">
        <f t="shared" si="5"/>
        <v>1.4031280970913764E-2</v>
      </c>
      <c r="K35" s="3"/>
      <c r="L35" s="8">
        <f t="shared" si="6"/>
        <v>-387.30999999999995</v>
      </c>
      <c r="M35" s="3"/>
      <c r="N35" s="7">
        <f t="shared" si="7"/>
        <v>-0.18518111230110157</v>
      </c>
      <c r="O35" s="12"/>
      <c r="P35" s="8">
        <v>15559.71</v>
      </c>
      <c r="Q35" s="3"/>
      <c r="R35" s="7">
        <f t="shared" si="8"/>
        <v>1.5116065025071754E-3</v>
      </c>
      <c r="S35" s="3"/>
      <c r="T35" s="8">
        <v>13993.92</v>
      </c>
      <c r="U35" s="3"/>
      <c r="V35" s="7">
        <f t="shared" si="9"/>
        <v>1.1333651261589431E-2</v>
      </c>
      <c r="W35" s="3"/>
      <c r="X35" s="8">
        <f t="shared" si="10"/>
        <v>1565.7899999999991</v>
      </c>
      <c r="Y35" s="3"/>
      <c r="Z35" s="7">
        <f t="shared" si="11"/>
        <v>0.11189073540509015</v>
      </c>
    </row>
    <row r="36" spans="1:26" s="69" customFormat="1" ht="15" hidden="1" customHeight="1" outlineLevel="2" x14ac:dyDescent="0.3">
      <c r="A36" s="25"/>
      <c r="B36" s="12" t="str">
        <f>CONCATENATE("          ","6118"," - ","VACATION")</f>
        <v xml:space="preserve">          6118 - VACATION</v>
      </c>
      <c r="C36" s="12"/>
      <c r="D36" s="8">
        <v>9883.7999999999993</v>
      </c>
      <c r="E36" s="3"/>
      <c r="F36" s="7">
        <f t="shared" si="4"/>
        <v>5.9622178241430226E-3</v>
      </c>
      <c r="G36" s="3"/>
      <c r="H36" s="8">
        <v>7946.2</v>
      </c>
      <c r="I36" s="3"/>
      <c r="J36" s="7">
        <f t="shared" si="5"/>
        <v>5.3308294853061385E-2</v>
      </c>
      <c r="K36" s="3"/>
      <c r="L36" s="8">
        <f t="shared" si="6"/>
        <v>1937.5999999999995</v>
      </c>
      <c r="M36" s="3"/>
      <c r="N36" s="7">
        <f t="shared" si="7"/>
        <v>0.24383982280838634</v>
      </c>
      <c r="O36" s="12"/>
      <c r="P36" s="8">
        <v>102482.29</v>
      </c>
      <c r="Q36" s="3"/>
      <c r="R36" s="7">
        <f t="shared" si="8"/>
        <v>9.9560271981821036E-3</v>
      </c>
      <c r="S36" s="3"/>
      <c r="T36" s="8">
        <v>81372.81</v>
      </c>
      <c r="U36" s="3"/>
      <c r="V36" s="7">
        <f t="shared" si="9"/>
        <v>6.5903696084840924E-2</v>
      </c>
      <c r="W36" s="3"/>
      <c r="X36" s="8">
        <f t="shared" si="10"/>
        <v>21109.479999999996</v>
      </c>
      <c r="Y36" s="3"/>
      <c r="Z36" s="7">
        <f t="shared" si="11"/>
        <v>0.25941687401479679</v>
      </c>
    </row>
    <row r="37" spans="1:26" s="69" customFormat="1" ht="15" hidden="1" customHeight="1" outlineLevel="2" x14ac:dyDescent="0.3">
      <c r="A37" s="25"/>
      <c r="B37" s="12" t="str">
        <f>CONCATENATE("          ","6119"," - ","SICK LEAVE")</f>
        <v xml:space="preserve">          6119 - SICK LEAVE</v>
      </c>
      <c r="C37" s="12"/>
      <c r="D37" s="8">
        <v>7534.31</v>
      </c>
      <c r="E37" s="3"/>
      <c r="F37" s="7">
        <f t="shared" si="4"/>
        <v>4.5449318455066902E-3</v>
      </c>
      <c r="G37" s="3"/>
      <c r="H37" s="8">
        <v>5594.46</v>
      </c>
      <c r="I37" s="3"/>
      <c r="J37" s="7">
        <f t="shared" si="5"/>
        <v>3.7531288316888296E-2</v>
      </c>
      <c r="K37" s="3"/>
      <c r="L37" s="8">
        <f t="shared" si="6"/>
        <v>1939.8500000000004</v>
      </c>
      <c r="M37" s="3"/>
      <c r="N37" s="7">
        <f t="shared" si="7"/>
        <v>0.34674481540667024</v>
      </c>
      <c r="O37" s="12"/>
      <c r="P37" s="8">
        <v>82481.429999999993</v>
      </c>
      <c r="Q37" s="3"/>
      <c r="R37" s="7">
        <f t="shared" si="8"/>
        <v>8.0129684887501381E-3</v>
      </c>
      <c r="S37" s="3"/>
      <c r="T37" s="8">
        <v>52744.44</v>
      </c>
      <c r="U37" s="3"/>
      <c r="V37" s="7">
        <f t="shared" si="9"/>
        <v>4.2717629438200885E-2</v>
      </c>
      <c r="W37" s="3"/>
      <c r="X37" s="8">
        <f t="shared" si="10"/>
        <v>29736.989999999991</v>
      </c>
      <c r="Y37" s="3"/>
      <c r="Z37" s="7">
        <f t="shared" si="11"/>
        <v>0.5637938330561475</v>
      </c>
    </row>
    <row r="38" spans="1:26" s="69" customFormat="1" ht="15" hidden="1" customHeight="1" outlineLevel="2" x14ac:dyDescent="0.3">
      <c r="A38" s="25"/>
      <c r="B38" s="12" t="str">
        <f>CONCATENATE("          ","6156"," - ","EMPLOYEE MEALS")</f>
        <v xml:space="preserve">          6156 - EMPLOYEE MEALS</v>
      </c>
      <c r="C38" s="12"/>
      <c r="D38" s="8">
        <v>6049.16</v>
      </c>
      <c r="E38" s="3"/>
      <c r="F38" s="7">
        <f t="shared" si="4"/>
        <v>3.6490428350526125E-3</v>
      </c>
      <c r="G38" s="3"/>
      <c r="H38" s="8">
        <v>2491.88</v>
      </c>
      <c r="I38" s="3"/>
      <c r="J38" s="7">
        <f t="shared" si="5"/>
        <v>1.6717157103829077E-2</v>
      </c>
      <c r="K38" s="3"/>
      <c r="L38" s="8">
        <f t="shared" si="6"/>
        <v>3557.2799999999997</v>
      </c>
      <c r="M38" s="3"/>
      <c r="N38" s="7">
        <f t="shared" si="7"/>
        <v>1.4275486781064897</v>
      </c>
      <c r="O38" s="12"/>
      <c r="P38" s="8">
        <v>44114.93</v>
      </c>
      <c r="Q38" s="3"/>
      <c r="R38" s="7">
        <f t="shared" si="8"/>
        <v>4.2857106620656079E-3</v>
      </c>
      <c r="S38" s="3"/>
      <c r="T38" s="8">
        <v>25230.82</v>
      </c>
      <c r="U38" s="3"/>
      <c r="V38" s="7">
        <f t="shared" si="9"/>
        <v>2.0434396861203713E-2</v>
      </c>
      <c r="W38" s="3"/>
      <c r="X38" s="8">
        <f t="shared" si="10"/>
        <v>18884.11</v>
      </c>
      <c r="Y38" s="3"/>
      <c r="Z38" s="7">
        <f t="shared" si="11"/>
        <v>0.74845407323265756</v>
      </c>
    </row>
    <row r="39" spans="1:26" s="68" customFormat="1" ht="15" customHeight="1" outlineLevel="1" collapsed="1" x14ac:dyDescent="0.3">
      <c r="A39" s="26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385919.92</v>
      </c>
      <c r="E39" s="2"/>
      <c r="F39" s="6">
        <f t="shared" si="4"/>
        <v>0.23279898679817979</v>
      </c>
      <c r="G39" s="2"/>
      <c r="H39" s="2">
        <f>SUM(OSRRefH22_1x_0)</f>
        <v>133404.63</v>
      </c>
      <c r="I39" s="2"/>
      <c r="J39" s="6">
        <f t="shared" si="5"/>
        <v>0.89496531056398765</v>
      </c>
      <c r="K39" s="2"/>
      <c r="L39" s="2">
        <f t="shared" si="6"/>
        <v>252515.28999999998</v>
      </c>
      <c r="M39" s="2"/>
      <c r="N39" s="6">
        <f t="shared" si="7"/>
        <v>1.892852519436544</v>
      </c>
      <c r="O39" s="14"/>
      <c r="P39" s="2">
        <f>SUM(OSRRefP22_1x_0)</f>
        <v>2698755.5100000002</v>
      </c>
      <c r="Q39" s="2"/>
      <c r="R39" s="6">
        <f t="shared" si="8"/>
        <v>0.26218074614456621</v>
      </c>
      <c r="S39" s="2"/>
      <c r="T39" s="2">
        <f>SUM(OSRRefT22_1x_0)</f>
        <v>1212226.17</v>
      </c>
      <c r="U39" s="2"/>
      <c r="V39" s="6">
        <f t="shared" si="9"/>
        <v>0.98177984874518531</v>
      </c>
      <c r="W39" s="2"/>
      <c r="X39" s="2">
        <f t="shared" si="10"/>
        <v>1486529.3400000003</v>
      </c>
      <c r="Y39" s="2"/>
      <c r="Z39" s="6">
        <f t="shared" si="11"/>
        <v>1.2262805215630681</v>
      </c>
    </row>
    <row r="40" spans="1:26" s="69" customFormat="1" ht="15" hidden="1" customHeight="1" outlineLevel="2" x14ac:dyDescent="0.3">
      <c r="A40" s="25"/>
      <c r="B40" s="12" t="str">
        <f>CONCATENATE("          ","6001"," - ","ADMINISTRATIVE SALARIES")</f>
        <v xml:space="preserve">          6001 - ADMINISTRATIVE SALARIES</v>
      </c>
      <c r="C40" s="12"/>
      <c r="D40" s="8">
        <v>20829.98</v>
      </c>
      <c r="E40" s="3"/>
      <c r="F40" s="7">
        <f t="shared" si="4"/>
        <v>1.2565296549155456E-2</v>
      </c>
      <c r="G40" s="3"/>
      <c r="H40" s="8">
        <v>19071.89</v>
      </c>
      <c r="I40" s="3"/>
      <c r="J40" s="7">
        <f t="shared" si="5"/>
        <v>0.12794668338641776</v>
      </c>
      <c r="K40" s="3"/>
      <c r="L40" s="8">
        <f t="shared" si="6"/>
        <v>1758.0900000000001</v>
      </c>
      <c r="M40" s="3"/>
      <c r="N40" s="7">
        <f t="shared" si="7"/>
        <v>9.2182264054585059E-2</v>
      </c>
      <c r="O40" s="12"/>
      <c r="P40" s="8">
        <v>184873.72</v>
      </c>
      <c r="Q40" s="3"/>
      <c r="R40" s="7">
        <f t="shared" si="8"/>
        <v>1.7960252298705494E-2</v>
      </c>
      <c r="S40" s="3"/>
      <c r="T40" s="8">
        <v>179424.15</v>
      </c>
      <c r="U40" s="3"/>
      <c r="V40" s="7">
        <f t="shared" si="9"/>
        <v>0.14531530436125911</v>
      </c>
      <c r="W40" s="3"/>
      <c r="X40" s="8">
        <f t="shared" si="10"/>
        <v>5449.570000000007</v>
      </c>
      <c r="Y40" s="3"/>
      <c r="Z40" s="7">
        <f t="shared" si="11"/>
        <v>3.0372555756847712E-2</v>
      </c>
    </row>
    <row r="41" spans="1:26" s="69" customFormat="1" ht="15" hidden="1" customHeight="1" outlineLevel="2" x14ac:dyDescent="0.3">
      <c r="A41" s="25"/>
      <c r="B41" s="12" t="str">
        <f>CONCATENATE("          ","6002"," - ","STAFF SALARIES")</f>
        <v xml:space="preserve">          6002 - STAFF SALARIES</v>
      </c>
      <c r="C41" s="12"/>
      <c r="D41" s="8">
        <v>61719.6</v>
      </c>
      <c r="E41" s="3"/>
      <c r="F41" s="7">
        <f t="shared" si="4"/>
        <v>3.7231196424348703E-2</v>
      </c>
      <c r="G41" s="3"/>
      <c r="H41" s="8">
        <v>42304.59</v>
      </c>
      <c r="I41" s="3"/>
      <c r="J41" s="7">
        <f t="shared" si="5"/>
        <v>0.28380679536858777</v>
      </c>
      <c r="K41" s="3"/>
      <c r="L41" s="8">
        <f t="shared" si="6"/>
        <v>19415.010000000002</v>
      </c>
      <c r="M41" s="3"/>
      <c r="N41" s="7">
        <f t="shared" si="7"/>
        <v>0.45893388873405944</v>
      </c>
      <c r="O41" s="12"/>
      <c r="P41" s="8">
        <v>539653.57999999996</v>
      </c>
      <c r="Q41" s="3"/>
      <c r="R41" s="7">
        <f t="shared" si="8"/>
        <v>5.2426675087728247E-2</v>
      </c>
      <c r="S41" s="3"/>
      <c r="T41" s="8">
        <v>394581.86</v>
      </c>
      <c r="U41" s="3"/>
      <c r="V41" s="7">
        <f t="shared" si="9"/>
        <v>0.31957115628710925</v>
      </c>
      <c r="W41" s="3"/>
      <c r="X41" s="8">
        <f t="shared" si="10"/>
        <v>145071.71999999997</v>
      </c>
      <c r="Y41" s="3"/>
      <c r="Z41" s="7">
        <f t="shared" si="11"/>
        <v>0.3676593749139912</v>
      </c>
    </row>
    <row r="42" spans="1:26" s="69" customFormat="1" ht="15" hidden="1" customHeight="1" outlineLevel="2" x14ac:dyDescent="0.3">
      <c r="A42" s="25"/>
      <c r="B42" s="12" t="str">
        <f>CONCATENATE("          ","6004"," - ","STAFF HOURLY")</f>
        <v xml:space="preserve">          6004 - STAFF HOURLY</v>
      </c>
      <c r="C42" s="12"/>
      <c r="D42" s="8">
        <v>71880.73</v>
      </c>
      <c r="E42" s="3"/>
      <c r="F42" s="7">
        <f t="shared" si="4"/>
        <v>4.3360708393372194E-2</v>
      </c>
      <c r="G42" s="3"/>
      <c r="H42" s="8">
        <v>47102.82</v>
      </c>
      <c r="I42" s="3"/>
      <c r="J42" s="7">
        <f t="shared" si="5"/>
        <v>0.31599645326957249</v>
      </c>
      <c r="K42" s="3"/>
      <c r="L42" s="8">
        <f t="shared" si="6"/>
        <v>24777.909999999996</v>
      </c>
      <c r="M42" s="3"/>
      <c r="N42" s="7">
        <f t="shared" si="7"/>
        <v>0.52603878069296051</v>
      </c>
      <c r="O42" s="12"/>
      <c r="P42" s="8">
        <v>764615.91</v>
      </c>
      <c r="Q42" s="3"/>
      <c r="R42" s="7">
        <f t="shared" si="8"/>
        <v>7.4281486060886817E-2</v>
      </c>
      <c r="S42" s="3"/>
      <c r="T42" s="8">
        <v>420931.29</v>
      </c>
      <c r="U42" s="3"/>
      <c r="V42" s="7">
        <f t="shared" si="9"/>
        <v>0.34091151342518511</v>
      </c>
      <c r="W42" s="3"/>
      <c r="X42" s="8">
        <f t="shared" si="10"/>
        <v>343684.62000000005</v>
      </c>
      <c r="Y42" s="3"/>
      <c r="Z42" s="7">
        <f t="shared" si="11"/>
        <v>0.81648627261708218</v>
      </c>
    </row>
    <row r="43" spans="1:26" s="69" customFormat="1" ht="15" hidden="1" customHeight="1" outlineLevel="2" x14ac:dyDescent="0.3">
      <c r="A43" s="25"/>
      <c r="B43" s="12" t="str">
        <f>CONCATENATE("          ","6005"," - ","TEMPORARY WAGES-HOURLY")</f>
        <v xml:space="preserve">          6005 - TEMPORARY WAGES-HOURLY</v>
      </c>
      <c r="C43" s="12"/>
      <c r="D43" s="8">
        <v>40053.61</v>
      </c>
      <c r="E43" s="3"/>
      <c r="F43" s="7">
        <f t="shared" si="4"/>
        <v>2.4161592450603335E-2</v>
      </c>
      <c r="G43" s="3"/>
      <c r="H43" s="8">
        <v>9125.48</v>
      </c>
      <c r="I43" s="3"/>
      <c r="J43" s="7">
        <f t="shared" si="5"/>
        <v>6.1219674626326367E-2</v>
      </c>
      <c r="K43" s="3"/>
      <c r="L43" s="8">
        <f t="shared" si="6"/>
        <v>30928.13</v>
      </c>
      <c r="M43" s="3"/>
      <c r="N43" s="7">
        <f t="shared" si="7"/>
        <v>3.3892058280769892</v>
      </c>
      <c r="O43" s="12"/>
      <c r="P43" s="8">
        <v>426766.32</v>
      </c>
      <c r="Q43" s="3"/>
      <c r="R43" s="7">
        <f t="shared" si="8"/>
        <v>4.1459817976238503E-2</v>
      </c>
      <c r="S43" s="3"/>
      <c r="T43" s="8">
        <v>92268.23</v>
      </c>
      <c r="U43" s="3"/>
      <c r="V43" s="7">
        <f t="shared" si="9"/>
        <v>7.4727877631437345E-2</v>
      </c>
      <c r="W43" s="3"/>
      <c r="X43" s="8">
        <f t="shared" si="10"/>
        <v>334498.09000000003</v>
      </c>
      <c r="Y43" s="3"/>
      <c r="Z43" s="7">
        <f t="shared" si="11"/>
        <v>3.6252791453786428</v>
      </c>
    </row>
    <row r="44" spans="1:26" s="69" customFormat="1" ht="15" hidden="1" customHeight="1" outlineLevel="2" x14ac:dyDescent="0.3">
      <c r="A44" s="25"/>
      <c r="B44" s="12" t="str">
        <f>CONCATENATE("          ","6006"," - ","TEMPORARY PART TIME")</f>
        <v xml:space="preserve">          6006 - TEMPORARY PART TIME</v>
      </c>
      <c r="C44" s="12"/>
      <c r="D44" s="8">
        <v>2919.2</v>
      </c>
      <c r="E44" s="3"/>
      <c r="F44" s="7">
        <f t="shared" si="4"/>
        <v>1.7609528999209122E-3</v>
      </c>
      <c r="G44" s="3"/>
      <c r="H44" s="8">
        <v>717.96</v>
      </c>
      <c r="I44" s="3"/>
      <c r="J44" s="7">
        <f t="shared" si="5"/>
        <v>4.8165441812066086E-3</v>
      </c>
      <c r="K44" s="3"/>
      <c r="L44" s="8">
        <f t="shared" si="6"/>
        <v>2201.2399999999998</v>
      </c>
      <c r="M44" s="3"/>
      <c r="N44" s="7">
        <f t="shared" si="7"/>
        <v>3.0659646776979215</v>
      </c>
      <c r="O44" s="12"/>
      <c r="P44" s="8">
        <v>3563.8</v>
      </c>
      <c r="Q44" s="3"/>
      <c r="R44" s="7">
        <f t="shared" si="8"/>
        <v>3.4621874402768893E-4</v>
      </c>
      <c r="S44" s="3"/>
      <c r="T44" s="8">
        <v>1326.96</v>
      </c>
      <c r="U44" s="3"/>
      <c r="V44" s="7">
        <f t="shared" si="9"/>
        <v>1.0747025764102347E-3</v>
      </c>
      <c r="W44" s="3"/>
      <c r="X44" s="8">
        <f t="shared" si="10"/>
        <v>2236.84</v>
      </c>
      <c r="Y44" s="3"/>
      <c r="Z44" s="7">
        <f t="shared" si="11"/>
        <v>1.6856875866642551</v>
      </c>
    </row>
    <row r="45" spans="1:26" s="69" customFormat="1" ht="15" hidden="1" customHeight="1" outlineLevel="2" x14ac:dyDescent="0.3">
      <c r="A45" s="25"/>
      <c r="B45" s="12" t="str">
        <f>CONCATENATE("          ","6007"," - ","STUDENT HOURLY")</f>
        <v xml:space="preserve">          6007 - STUDENT HOURLY</v>
      </c>
      <c r="C45" s="12"/>
      <c r="D45" s="8">
        <v>153343</v>
      </c>
      <c r="E45" s="3"/>
      <c r="F45" s="7">
        <f t="shared" si="4"/>
        <v>9.2501301908938224E-2</v>
      </c>
      <c r="G45" s="3"/>
      <c r="H45" s="8">
        <v>15081.89</v>
      </c>
      <c r="I45" s="3"/>
      <c r="J45" s="7">
        <f t="shared" si="5"/>
        <v>0.10117915973187662</v>
      </c>
      <c r="K45" s="3"/>
      <c r="L45" s="8">
        <f t="shared" si="6"/>
        <v>138261.10999999999</v>
      </c>
      <c r="M45" s="3"/>
      <c r="N45" s="7">
        <f t="shared" si="7"/>
        <v>9.1673596611565262</v>
      </c>
      <c r="O45" s="12"/>
      <c r="P45" s="8">
        <v>608887.53</v>
      </c>
      <c r="Q45" s="3"/>
      <c r="R45" s="7">
        <f t="shared" si="8"/>
        <v>5.9152667346854974E-2</v>
      </c>
      <c r="S45" s="3"/>
      <c r="T45" s="8">
        <v>113062.8</v>
      </c>
      <c r="U45" s="3"/>
      <c r="V45" s="7">
        <f t="shared" si="9"/>
        <v>9.1569363399164327E-2</v>
      </c>
      <c r="W45" s="3"/>
      <c r="X45" s="8">
        <f t="shared" si="10"/>
        <v>495824.73000000004</v>
      </c>
      <c r="Y45" s="3"/>
      <c r="Z45" s="7">
        <f t="shared" si="11"/>
        <v>4.3853922775660958</v>
      </c>
    </row>
    <row r="46" spans="1:26" s="69" customFormat="1" ht="15" hidden="1" customHeight="1" outlineLevel="2" x14ac:dyDescent="0.3">
      <c r="A46" s="25"/>
      <c r="B46" s="12" t="str">
        <f>CONCATENATE("          ","6008"," - ","STUDENT HOURLY-FICA EXEMPT")</f>
        <v xml:space="preserve">          6008 - STUDENT HOURLY-FICA EXEMPT</v>
      </c>
      <c r="C46" s="12"/>
      <c r="D46" s="8">
        <v>35173.800000000003</v>
      </c>
      <c r="E46" s="3"/>
      <c r="F46" s="7">
        <f t="shared" si="4"/>
        <v>2.1217938171840981E-2</v>
      </c>
      <c r="G46" s="3"/>
      <c r="H46" s="8"/>
      <c r="I46" s="3"/>
      <c r="J46" s="7">
        <f t="shared" si="5"/>
        <v>0</v>
      </c>
      <c r="K46" s="3"/>
      <c r="L46" s="8">
        <f t="shared" si="6"/>
        <v>35173.800000000003</v>
      </c>
      <c r="M46" s="3"/>
      <c r="N46" s="7">
        <f t="shared" si="7"/>
        <v>0</v>
      </c>
      <c r="O46" s="12"/>
      <c r="P46" s="8">
        <v>170394.65</v>
      </c>
      <c r="Q46" s="3"/>
      <c r="R46" s="7">
        <f t="shared" si="8"/>
        <v>1.6553628630124485E-2</v>
      </c>
      <c r="S46" s="3"/>
      <c r="T46" s="8">
        <v>10630.88</v>
      </c>
      <c r="U46" s="3"/>
      <c r="V46" s="7">
        <f t="shared" si="9"/>
        <v>8.6099310646199096E-3</v>
      </c>
      <c r="W46" s="3"/>
      <c r="X46" s="8">
        <f t="shared" si="10"/>
        <v>159763.76999999999</v>
      </c>
      <c r="Y46" s="3"/>
      <c r="Z46" s="7">
        <f t="shared" si="11"/>
        <v>15.028273294402721</v>
      </c>
    </row>
    <row r="47" spans="1:26" s="68" customFormat="1" ht="15" customHeight="1" outlineLevel="1" collapsed="1" x14ac:dyDescent="0.3">
      <c r="A47" s="26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418.36</v>
      </c>
      <c r="E47" s="2"/>
      <c r="F47" s="6">
        <f t="shared" si="4"/>
        <v>2.5236785941727625E-4</v>
      </c>
      <c r="G47" s="2"/>
      <c r="H47" s="2">
        <f>SUM(OSRRefH22_2x_0)</f>
        <v>155.19</v>
      </c>
      <c r="I47" s="2"/>
      <c r="J47" s="6">
        <f t="shared" si="5"/>
        <v>1.0411157884582061E-3</v>
      </c>
      <c r="K47" s="2"/>
      <c r="L47" s="2">
        <f t="shared" si="6"/>
        <v>263.17</v>
      </c>
      <c r="M47" s="2"/>
      <c r="N47" s="6">
        <f t="shared" si="7"/>
        <v>1.6957922546555837</v>
      </c>
      <c r="O47" s="14"/>
      <c r="P47" s="2">
        <f>SUM(OSRRefP22_2x_0)</f>
        <v>5168.2700000000004</v>
      </c>
      <c r="Q47" s="2"/>
      <c r="R47" s="6">
        <f t="shared" si="8"/>
        <v>5.0209101189628601E-4</v>
      </c>
      <c r="S47" s="2"/>
      <c r="T47" s="2">
        <f>SUM(OSRRefT22_2x_0)</f>
        <v>1818.19</v>
      </c>
      <c r="U47" s="2"/>
      <c r="V47" s="6">
        <f t="shared" si="9"/>
        <v>1.4725488917550829E-3</v>
      </c>
      <c r="W47" s="2"/>
      <c r="X47" s="2">
        <f t="shared" si="10"/>
        <v>3350.0800000000004</v>
      </c>
      <c r="Y47" s="2"/>
      <c r="Z47" s="6">
        <f t="shared" si="11"/>
        <v>1.8425357085893115</v>
      </c>
    </row>
    <row r="48" spans="1:26" s="69" customFormat="1" ht="15" hidden="1" customHeight="1" outlineLevel="2" x14ac:dyDescent="0.3">
      <c r="A48" s="25"/>
      <c r="B48" s="12" t="str">
        <f>CONCATENATE("          ","6362"," - ","ADVERTISING EXPENSE")</f>
        <v xml:space="preserve">          6362 - ADVERTISING EXPENSE</v>
      </c>
      <c r="C48" s="12"/>
      <c r="D48" s="8">
        <v>418.36</v>
      </c>
      <c r="E48" s="3"/>
      <c r="F48" s="7">
        <f t="shared" si="4"/>
        <v>2.5236785941727625E-4</v>
      </c>
      <c r="G48" s="3"/>
      <c r="H48" s="8">
        <v>155.19</v>
      </c>
      <c r="I48" s="3"/>
      <c r="J48" s="7">
        <f t="shared" si="5"/>
        <v>1.0411157884582061E-3</v>
      </c>
      <c r="K48" s="3"/>
      <c r="L48" s="8">
        <f t="shared" si="6"/>
        <v>263.17</v>
      </c>
      <c r="M48" s="3"/>
      <c r="N48" s="7">
        <f t="shared" si="7"/>
        <v>1.6957922546555837</v>
      </c>
      <c r="O48" s="12"/>
      <c r="P48" s="8">
        <v>5168.2700000000004</v>
      </c>
      <c r="Q48" s="3"/>
      <c r="R48" s="7">
        <f t="shared" si="8"/>
        <v>5.0209101189628601E-4</v>
      </c>
      <c r="S48" s="3"/>
      <c r="T48" s="8">
        <v>1818.19</v>
      </c>
      <c r="U48" s="3"/>
      <c r="V48" s="7">
        <f t="shared" si="9"/>
        <v>1.4725488917550829E-3</v>
      </c>
      <c r="W48" s="3"/>
      <c r="X48" s="8">
        <f t="shared" si="10"/>
        <v>3350.0800000000004</v>
      </c>
      <c r="Y48" s="3"/>
      <c r="Z48" s="7">
        <f t="shared" si="11"/>
        <v>1.8425357085893115</v>
      </c>
    </row>
    <row r="49" spans="1:26" s="68" customFormat="1" ht="15" customHeight="1" outlineLevel="1" collapsed="1" x14ac:dyDescent="0.3">
      <c r="A49" s="26"/>
      <c r="B49" s="14" t="str">
        <f>CONCATENATE("     ","Bad Debts/Over/Short                              ")</f>
        <v xml:space="preserve">     Bad Debts/Over/Short                              </v>
      </c>
      <c r="C49" s="14"/>
      <c r="D49" s="2">
        <f>SUM(OSRRefD22_3x_0)</f>
        <v>52.57</v>
      </c>
      <c r="E49" s="2"/>
      <c r="F49" s="6">
        <f t="shared" si="4"/>
        <v>3.1711871043039998E-5</v>
      </c>
      <c r="G49" s="2"/>
      <c r="H49" s="2">
        <f>SUM(OSRRefH22_3x_0)</f>
        <v>-0.39</v>
      </c>
      <c r="I49" s="2"/>
      <c r="J49" s="6">
        <f t="shared" si="5"/>
        <v>-2.6163744925491355E-6</v>
      </c>
      <c r="K49" s="2"/>
      <c r="L49" s="2">
        <f t="shared" si="6"/>
        <v>52.96</v>
      </c>
      <c r="M49" s="2"/>
      <c r="N49" s="6">
        <f t="shared" si="7"/>
        <v>-135.7948717948718</v>
      </c>
      <c r="O49" s="14"/>
      <c r="P49" s="2">
        <f>SUM(OSRRefP22_3x_0)</f>
        <v>-44.72</v>
      </c>
      <c r="Q49" s="2"/>
      <c r="R49" s="6">
        <f t="shared" si="8"/>
        <v>-4.3444924611140489E-6</v>
      </c>
      <c r="S49" s="2"/>
      <c r="T49" s="2">
        <f>SUM(OSRRefT22_3x_0)</f>
        <v>61.94</v>
      </c>
      <c r="U49" s="2"/>
      <c r="V49" s="6">
        <f t="shared" si="9"/>
        <v>5.0165097352482316E-5</v>
      </c>
      <c r="W49" s="2"/>
      <c r="X49" s="2">
        <f t="shared" si="10"/>
        <v>-106.66</v>
      </c>
      <c r="Y49" s="2"/>
      <c r="Z49" s="6">
        <f t="shared" si="11"/>
        <v>-1.7219890216338392</v>
      </c>
    </row>
    <row r="50" spans="1:26" s="69" customFormat="1" ht="15" hidden="1" customHeight="1" outlineLevel="2" x14ac:dyDescent="0.3">
      <c r="A50" s="25"/>
      <c r="B50" s="12" t="str">
        <f>CONCATENATE("          ","6272"," - ","CASH (OVER/SHORT)")</f>
        <v xml:space="preserve">          6272 - CASH (OVER/SHORT)</v>
      </c>
      <c r="C50" s="12"/>
      <c r="D50" s="8">
        <v>52.57</v>
      </c>
      <c r="E50" s="3"/>
      <c r="F50" s="7">
        <f t="shared" si="4"/>
        <v>3.1711871043039998E-5</v>
      </c>
      <c r="G50" s="3"/>
      <c r="H50" s="8">
        <v>-0.39</v>
      </c>
      <c r="I50" s="3"/>
      <c r="J50" s="7">
        <f t="shared" si="5"/>
        <v>-2.6163744925491355E-6</v>
      </c>
      <c r="K50" s="3"/>
      <c r="L50" s="8">
        <f t="shared" si="6"/>
        <v>52.96</v>
      </c>
      <c r="M50" s="3"/>
      <c r="N50" s="7">
        <f t="shared" si="7"/>
        <v>-135.7948717948718</v>
      </c>
      <c r="O50" s="12"/>
      <c r="P50" s="8">
        <v>-44.72</v>
      </c>
      <c r="Q50" s="3"/>
      <c r="R50" s="7">
        <f t="shared" si="8"/>
        <v>-4.3444924611140489E-6</v>
      </c>
      <c r="S50" s="3"/>
      <c r="T50" s="8">
        <v>61.94</v>
      </c>
      <c r="U50" s="3"/>
      <c r="V50" s="7">
        <f t="shared" si="9"/>
        <v>5.0165097352482316E-5</v>
      </c>
      <c r="W50" s="3"/>
      <c r="X50" s="8">
        <f t="shared" si="10"/>
        <v>-106.66</v>
      </c>
      <c r="Y50" s="3"/>
      <c r="Z50" s="7">
        <f t="shared" si="11"/>
        <v>-1.7219890216338392</v>
      </c>
    </row>
    <row r="51" spans="1:26" s="68" customFormat="1" ht="15" customHeight="1" outlineLevel="1" collapsed="1" x14ac:dyDescent="0.3">
      <c r="A51" s="26"/>
      <c r="B51" s="14" t="str">
        <f>CONCATENATE("     ","Bank/card Fees                                    ")</f>
        <v xml:space="preserve">     Bank/card Fees                                    </v>
      </c>
      <c r="C51" s="14"/>
      <c r="D51" s="2">
        <f>SUM(OSRRefD22_4x_0)</f>
        <v>9713.94</v>
      </c>
      <c r="E51" s="2"/>
      <c r="F51" s="6">
        <f t="shared" si="4"/>
        <v>5.8597529503486394E-3</v>
      </c>
      <c r="G51" s="2"/>
      <c r="H51" s="2">
        <f>SUM(OSRRefH22_4x_0)</f>
        <v>727.54</v>
      </c>
      <c r="I51" s="2"/>
      <c r="J51" s="6">
        <f t="shared" si="5"/>
        <v>4.8808130725876871E-3</v>
      </c>
      <c r="K51" s="2"/>
      <c r="L51" s="2">
        <f t="shared" si="6"/>
        <v>8986.4000000000015</v>
      </c>
      <c r="M51" s="2"/>
      <c r="N51" s="6">
        <f t="shared" si="7"/>
        <v>12.351760727932488</v>
      </c>
      <c r="O51" s="14"/>
      <c r="P51" s="2">
        <f>SUM(OSRRefP22_4x_0)</f>
        <v>40168.79</v>
      </c>
      <c r="Q51" s="2"/>
      <c r="R51" s="6">
        <f t="shared" si="8"/>
        <v>3.9023480618755237E-3</v>
      </c>
      <c r="S51" s="2"/>
      <c r="T51" s="2">
        <f>SUM(OSRRefT22_4x_0)</f>
        <v>5624.85</v>
      </c>
      <c r="U51" s="2"/>
      <c r="V51" s="6">
        <f t="shared" si="9"/>
        <v>4.555556148581049E-3</v>
      </c>
      <c r="W51" s="2"/>
      <c r="X51" s="2">
        <f t="shared" si="10"/>
        <v>34543.94</v>
      </c>
      <c r="Y51" s="2"/>
      <c r="Z51" s="6">
        <f t="shared" si="11"/>
        <v>6.1413086571197457</v>
      </c>
    </row>
    <row r="52" spans="1:26" s="69" customFormat="1" ht="15" hidden="1" customHeight="1" outlineLevel="2" x14ac:dyDescent="0.3">
      <c r="A52" s="25"/>
      <c r="B52" s="12" t="str">
        <f>CONCATENATE("          ","6381"," - ","BANK/CREDIT CARD FEES")</f>
        <v xml:space="preserve">          6381 - BANK/CREDIT CARD FEES</v>
      </c>
      <c r="C52" s="12"/>
      <c r="D52" s="8">
        <v>9713.94</v>
      </c>
      <c r="E52" s="3"/>
      <c r="F52" s="7">
        <f t="shared" si="4"/>
        <v>5.8597529503486394E-3</v>
      </c>
      <c r="G52" s="3"/>
      <c r="H52" s="8">
        <v>727.54</v>
      </c>
      <c r="I52" s="3"/>
      <c r="J52" s="7">
        <f t="shared" si="5"/>
        <v>4.8808130725876871E-3</v>
      </c>
      <c r="K52" s="3"/>
      <c r="L52" s="8">
        <f t="shared" si="6"/>
        <v>8986.4000000000015</v>
      </c>
      <c r="M52" s="3"/>
      <c r="N52" s="7">
        <f t="shared" si="7"/>
        <v>12.351760727932488</v>
      </c>
      <c r="O52" s="12"/>
      <c r="P52" s="8">
        <v>40168.79</v>
      </c>
      <c r="Q52" s="3"/>
      <c r="R52" s="7">
        <f t="shared" si="8"/>
        <v>3.9023480618755237E-3</v>
      </c>
      <c r="S52" s="3"/>
      <c r="T52" s="8">
        <v>5624.85</v>
      </c>
      <c r="U52" s="3"/>
      <c r="V52" s="7">
        <f t="shared" si="9"/>
        <v>4.555556148581049E-3</v>
      </c>
      <c r="W52" s="3"/>
      <c r="X52" s="8">
        <f t="shared" si="10"/>
        <v>34543.94</v>
      </c>
      <c r="Y52" s="3"/>
      <c r="Z52" s="7">
        <f t="shared" si="11"/>
        <v>6.1413086571197457</v>
      </c>
    </row>
    <row r="53" spans="1:26" s="68" customFormat="1" ht="15" customHeight="1" outlineLevel="1" collapsed="1" x14ac:dyDescent="0.3">
      <c r="A53" s="26"/>
      <c r="B53" s="14" t="str">
        <f>CONCATENATE("     ","Depreciation                                      ")</f>
        <v xml:space="preserve">     Depreciation                                      </v>
      </c>
      <c r="C53" s="14"/>
      <c r="D53" s="2">
        <f>SUM(OSRRefD22_5x_0)</f>
        <v>32967.279999999999</v>
      </c>
      <c r="E53" s="2"/>
      <c r="F53" s="6">
        <f t="shared" si="4"/>
        <v>1.9886896176522572E-2</v>
      </c>
      <c r="G53" s="2"/>
      <c r="H53" s="2">
        <f>SUM(OSRRefH22_5x_0)</f>
        <v>37479.26</v>
      </c>
      <c r="I53" s="2"/>
      <c r="J53" s="6">
        <f t="shared" si="5"/>
        <v>0.25143533298363363</v>
      </c>
      <c r="K53" s="2"/>
      <c r="L53" s="2">
        <f t="shared" si="6"/>
        <v>-4511.9800000000032</v>
      </c>
      <c r="M53" s="2"/>
      <c r="N53" s="6">
        <f t="shared" si="7"/>
        <v>-0.12038604817704519</v>
      </c>
      <c r="O53" s="14"/>
      <c r="P53" s="2">
        <f>SUM(OSRRefP22_5x_0)</f>
        <v>301392.06</v>
      </c>
      <c r="Q53" s="2"/>
      <c r="R53" s="6">
        <f t="shared" si="8"/>
        <v>2.9279864322666216E-2</v>
      </c>
      <c r="S53" s="2"/>
      <c r="T53" s="2">
        <f>SUM(OSRRefT22_5x_0)</f>
        <v>339608.42000000004</v>
      </c>
      <c r="U53" s="2"/>
      <c r="V53" s="6">
        <f t="shared" si="9"/>
        <v>0.27504826365874563</v>
      </c>
      <c r="W53" s="2"/>
      <c r="X53" s="2">
        <f t="shared" si="10"/>
        <v>-38216.360000000044</v>
      </c>
      <c r="Y53" s="2"/>
      <c r="Z53" s="6">
        <f t="shared" si="11"/>
        <v>-0.11253066104780335</v>
      </c>
    </row>
    <row r="54" spans="1:26" s="69" customFormat="1" ht="15" hidden="1" customHeight="1" outlineLevel="2" x14ac:dyDescent="0.3">
      <c r="A54" s="25"/>
      <c r="B54" s="12" t="str">
        <f>CONCATENATE("          ","6321"," - ","BUILDING DEPRECIATION")</f>
        <v xml:space="preserve">          6321 - BUILDING DEPRECIATION</v>
      </c>
      <c r="C54" s="12"/>
      <c r="D54" s="8">
        <v>23539.4</v>
      </c>
      <c r="E54" s="3"/>
      <c r="F54" s="7">
        <f t="shared" si="4"/>
        <v>1.4199703580569446E-2</v>
      </c>
      <c r="G54" s="3"/>
      <c r="H54" s="8">
        <v>23583.49</v>
      </c>
      <c r="I54" s="3"/>
      <c r="J54" s="7">
        <f t="shared" si="5"/>
        <v>0.15821344020842978</v>
      </c>
      <c r="K54" s="3"/>
      <c r="L54" s="8">
        <f t="shared" si="6"/>
        <v>-44.090000000000146</v>
      </c>
      <c r="M54" s="3"/>
      <c r="N54" s="7">
        <f t="shared" si="7"/>
        <v>-1.8695282165616769E-3</v>
      </c>
      <c r="O54" s="12"/>
      <c r="P54" s="8">
        <v>211942.74</v>
      </c>
      <c r="Q54" s="3"/>
      <c r="R54" s="7">
        <f t="shared" si="8"/>
        <v>2.0589973974012857E-2</v>
      </c>
      <c r="S54" s="3"/>
      <c r="T54" s="8">
        <v>213035.6</v>
      </c>
      <c r="U54" s="3"/>
      <c r="V54" s="7">
        <f t="shared" si="9"/>
        <v>0.17253715875919409</v>
      </c>
      <c r="W54" s="3"/>
      <c r="X54" s="8">
        <f t="shared" si="10"/>
        <v>-1092.8600000000151</v>
      </c>
      <c r="Y54" s="3"/>
      <c r="Z54" s="7">
        <f t="shared" si="11"/>
        <v>-5.129940723522337E-3</v>
      </c>
    </row>
    <row r="55" spans="1:26" s="69" customFormat="1" ht="15" hidden="1" customHeight="1" outlineLevel="2" x14ac:dyDescent="0.3">
      <c r="A55" s="25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9427.8799999999992</v>
      </c>
      <c r="E55" s="3"/>
      <c r="F55" s="7">
        <f t="shared" si="4"/>
        <v>5.6871925959531278E-3</v>
      </c>
      <c r="G55" s="3"/>
      <c r="H55" s="8">
        <v>13895.77</v>
      </c>
      <c r="I55" s="3"/>
      <c r="J55" s="7">
        <f t="shared" si="5"/>
        <v>9.3221892775203846E-2</v>
      </c>
      <c r="K55" s="3"/>
      <c r="L55" s="8">
        <f t="shared" si="6"/>
        <v>-4467.8900000000012</v>
      </c>
      <c r="M55" s="3"/>
      <c r="N55" s="7">
        <f t="shared" si="7"/>
        <v>-0.32152878178035482</v>
      </c>
      <c r="O55" s="12"/>
      <c r="P55" s="8">
        <v>89449.32</v>
      </c>
      <c r="Q55" s="3"/>
      <c r="R55" s="7">
        <f t="shared" si="8"/>
        <v>8.6898903486533584E-3</v>
      </c>
      <c r="S55" s="3"/>
      <c r="T55" s="8">
        <v>126572.82</v>
      </c>
      <c r="U55" s="3"/>
      <c r="V55" s="7">
        <f t="shared" si="9"/>
        <v>0.10251110489955152</v>
      </c>
      <c r="W55" s="3"/>
      <c r="X55" s="8">
        <f t="shared" si="10"/>
        <v>-37123.5</v>
      </c>
      <c r="Y55" s="3"/>
      <c r="Z55" s="7">
        <f t="shared" si="11"/>
        <v>-0.29329756578071026</v>
      </c>
    </row>
    <row r="56" spans="1:26" s="68" customFormat="1" ht="15" customHeight="1" outlineLevel="1" collapsed="1" x14ac:dyDescent="0.3">
      <c r="A56" s="26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7724.92</v>
      </c>
      <c r="E56" s="2"/>
      <c r="F56" s="6">
        <f t="shared" si="4"/>
        <v>4.659913769408418E-3</v>
      </c>
      <c r="G56" s="2"/>
      <c r="H56" s="2">
        <f>SUM(OSRRefH22_6x_0)</f>
        <v>7337.33</v>
      </c>
      <c r="I56" s="2"/>
      <c r="J56" s="6">
        <f t="shared" si="5"/>
        <v>4.9223597577988588E-2</v>
      </c>
      <c r="K56" s="2"/>
      <c r="L56" s="2">
        <f t="shared" si="6"/>
        <v>387.59000000000015</v>
      </c>
      <c r="M56" s="2"/>
      <c r="N56" s="6">
        <f t="shared" si="7"/>
        <v>5.2824392524256122E-2</v>
      </c>
      <c r="O56" s="14"/>
      <c r="P56" s="2">
        <f>SUM(OSRRefP22_6x_0)</f>
        <v>57035.13</v>
      </c>
      <c r="Q56" s="2"/>
      <c r="R56" s="6">
        <f t="shared" si="8"/>
        <v>5.5408920461462374E-3</v>
      </c>
      <c r="S56" s="2"/>
      <c r="T56" s="2">
        <f>SUM(OSRRefT22_6x_0)</f>
        <v>50979.76</v>
      </c>
      <c r="U56" s="2"/>
      <c r="V56" s="6">
        <f t="shared" si="9"/>
        <v>4.1288418201585152E-2</v>
      </c>
      <c r="W56" s="2"/>
      <c r="X56" s="2">
        <f t="shared" si="10"/>
        <v>6055.3699999999953</v>
      </c>
      <c r="Y56" s="2"/>
      <c r="Z56" s="6">
        <f t="shared" si="11"/>
        <v>0.11877988440902812</v>
      </c>
    </row>
    <row r="57" spans="1:26" s="69" customFormat="1" ht="15" hidden="1" customHeight="1" outlineLevel="2" x14ac:dyDescent="0.3">
      <c r="A57" s="25"/>
      <c r="B57" s="12" t="str">
        <f>CONCATENATE("          ","6399"," - ","DONATION-ON CAMPUS")</f>
        <v xml:space="preserve">          6399 - DONATION-ON CAMPUS</v>
      </c>
      <c r="C57" s="12"/>
      <c r="D57" s="8">
        <v>7724.92</v>
      </c>
      <c r="E57" s="3"/>
      <c r="F57" s="7">
        <f t="shared" si="4"/>
        <v>4.659913769408418E-3</v>
      </c>
      <c r="G57" s="3"/>
      <c r="H57" s="8">
        <v>7337.33</v>
      </c>
      <c r="I57" s="3"/>
      <c r="J57" s="7">
        <f t="shared" si="5"/>
        <v>4.9223597577988588E-2</v>
      </c>
      <c r="K57" s="3"/>
      <c r="L57" s="8">
        <f t="shared" si="6"/>
        <v>387.59000000000015</v>
      </c>
      <c r="M57" s="3"/>
      <c r="N57" s="7">
        <f t="shared" si="7"/>
        <v>5.2824392524256122E-2</v>
      </c>
      <c r="O57" s="12"/>
      <c r="P57" s="8">
        <v>57035.13</v>
      </c>
      <c r="Q57" s="3"/>
      <c r="R57" s="7">
        <f t="shared" si="8"/>
        <v>5.5408920461462374E-3</v>
      </c>
      <c r="S57" s="3"/>
      <c r="T57" s="8">
        <v>50979.76</v>
      </c>
      <c r="U57" s="3"/>
      <c r="V57" s="7">
        <f t="shared" si="9"/>
        <v>4.1288418201585152E-2</v>
      </c>
      <c r="W57" s="3"/>
      <c r="X57" s="8">
        <f t="shared" si="10"/>
        <v>6055.3699999999953</v>
      </c>
      <c r="Y57" s="3"/>
      <c r="Z57" s="7">
        <f t="shared" si="11"/>
        <v>0.11877988440902812</v>
      </c>
    </row>
    <row r="58" spans="1:26" s="68" customFormat="1" ht="15" customHeight="1" outlineLevel="1" collapsed="1" x14ac:dyDescent="0.3">
      <c r="A58" s="26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4"/>
        <v>0</v>
      </c>
      <c r="G58" s="2"/>
      <c r="H58" s="2">
        <f>SUM(OSRRefH22_7x_0)</f>
        <v>0</v>
      </c>
      <c r="I58" s="2"/>
      <c r="J58" s="6">
        <f t="shared" si="5"/>
        <v>0</v>
      </c>
      <c r="K58" s="2"/>
      <c r="L58" s="2">
        <f t="shared" si="6"/>
        <v>0</v>
      </c>
      <c r="M58" s="2"/>
      <c r="N58" s="6">
        <f t="shared" si="7"/>
        <v>0</v>
      </c>
      <c r="O58" s="14"/>
      <c r="P58" s="2">
        <f>SUM(OSRRefP22_7x_0)</f>
        <v>640.58000000000004</v>
      </c>
      <c r="Q58" s="2"/>
      <c r="R58" s="6">
        <f t="shared" si="8"/>
        <v>6.2231551447684209E-5</v>
      </c>
      <c r="S58" s="2"/>
      <c r="T58" s="2">
        <f>SUM(OSRRefT22_7x_0)</f>
        <v>10</v>
      </c>
      <c r="U58" s="2"/>
      <c r="V58" s="6">
        <f t="shared" si="9"/>
        <v>8.0989824592318895E-6</v>
      </c>
      <c r="W58" s="2"/>
      <c r="X58" s="2">
        <f t="shared" si="10"/>
        <v>630.58000000000004</v>
      </c>
      <c r="Y58" s="2"/>
      <c r="Z58" s="6">
        <f t="shared" si="11"/>
        <v>63.058000000000007</v>
      </c>
    </row>
    <row r="59" spans="1:26" s="69" customFormat="1" ht="15" hidden="1" customHeight="1" outlineLevel="2" x14ac:dyDescent="0.3">
      <c r="A59" s="25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4"/>
        <v>0</v>
      </c>
      <c r="G59" s="3"/>
      <c r="H59" s="8"/>
      <c r="I59" s="3"/>
      <c r="J59" s="7">
        <f t="shared" si="5"/>
        <v>0</v>
      </c>
      <c r="K59" s="3"/>
      <c r="L59" s="8">
        <f t="shared" si="6"/>
        <v>0</v>
      </c>
      <c r="M59" s="3"/>
      <c r="N59" s="7">
        <f t="shared" si="7"/>
        <v>0</v>
      </c>
      <c r="O59" s="12"/>
      <c r="P59" s="8">
        <v>640.58000000000004</v>
      </c>
      <c r="Q59" s="3"/>
      <c r="R59" s="7">
        <f t="shared" si="8"/>
        <v>6.2231551447684209E-5</v>
      </c>
      <c r="S59" s="3"/>
      <c r="T59" s="8">
        <v>10</v>
      </c>
      <c r="U59" s="3"/>
      <c r="V59" s="7">
        <f t="shared" si="9"/>
        <v>8.0989824592318895E-6</v>
      </c>
      <c r="W59" s="3"/>
      <c r="X59" s="8">
        <f t="shared" si="10"/>
        <v>630.58000000000004</v>
      </c>
      <c r="Y59" s="3"/>
      <c r="Z59" s="7">
        <f t="shared" si="11"/>
        <v>63.058000000000007</v>
      </c>
    </row>
    <row r="60" spans="1:26" s="68" customFormat="1" ht="15" customHeight="1" outlineLevel="1" collapsed="1" x14ac:dyDescent="0.3">
      <c r="A60" s="26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1122.8</v>
      </c>
      <c r="E60" s="2"/>
      <c r="F60" s="6">
        <f t="shared" ref="F60:F91" si="12">IF(D$12=0,0,D60/D$12)</f>
        <v>6.7730813785667318E-4</v>
      </c>
      <c r="G60" s="2"/>
      <c r="H60" s="2">
        <f>SUM(OSRRefH22_8x_0)</f>
        <v>880.16</v>
      </c>
      <c r="I60" s="2"/>
      <c r="J60" s="6">
        <f t="shared" ref="J60:J91" si="13">IF(H$12=0,0,H60/H$12)</f>
        <v>5.904687624005249E-3</v>
      </c>
      <c r="K60" s="2"/>
      <c r="L60" s="2">
        <f t="shared" ref="L60:L91" si="14">+D60-H60</f>
        <v>242.64</v>
      </c>
      <c r="M60" s="2"/>
      <c r="N60" s="6">
        <f t="shared" ref="N60:N91" si="15">IF(H60=0,0,L60/H60)</f>
        <v>0.27567714960916195</v>
      </c>
      <c r="O60" s="14"/>
      <c r="P60" s="2">
        <f>SUM(OSRRefP22_8x_0)</f>
        <v>17642.71</v>
      </c>
      <c r="Q60" s="2"/>
      <c r="R60" s="6">
        <f t="shared" ref="R60:R91" si="16">IF(P$12=0,0,P60/P$12)</f>
        <v>1.7139673655774026E-3</v>
      </c>
      <c r="S60" s="2"/>
      <c r="T60" s="2">
        <f>SUM(OSRRefT22_8x_0)</f>
        <v>9438.15</v>
      </c>
      <c r="U60" s="2"/>
      <c r="V60" s="6">
        <f t="shared" ref="V60:V91" si="17">IF(T$12=0,0,T60/T$12)</f>
        <v>7.6439411297599446E-3</v>
      </c>
      <c r="W60" s="2"/>
      <c r="X60" s="2">
        <f t="shared" ref="X60:X91" si="18">+P60-T60</f>
        <v>8204.56</v>
      </c>
      <c r="Y60" s="2"/>
      <c r="Z60" s="6">
        <f t="shared" ref="Z60:Z91" si="19">IF(T60=0,0,X60/T60)</f>
        <v>0.86929747884913888</v>
      </c>
    </row>
    <row r="61" spans="1:26" s="69" customFormat="1" ht="15" hidden="1" customHeight="1" outlineLevel="2" x14ac:dyDescent="0.3">
      <c r="A61" s="25"/>
      <c r="B61" s="12" t="str">
        <f>CONCATENATE("          ","6351"," - ","EQUIPMENT RENTAL")</f>
        <v xml:space="preserve">          6351 - EQUIPMENT RENTAL</v>
      </c>
      <c r="C61" s="12"/>
      <c r="D61" s="8">
        <v>1122.8</v>
      </c>
      <c r="E61" s="3"/>
      <c r="F61" s="7">
        <f t="shared" si="12"/>
        <v>6.7730813785667318E-4</v>
      </c>
      <c r="G61" s="3"/>
      <c r="H61" s="8">
        <v>880.16</v>
      </c>
      <c r="I61" s="3"/>
      <c r="J61" s="7">
        <f t="shared" si="13"/>
        <v>5.904687624005249E-3</v>
      </c>
      <c r="K61" s="3"/>
      <c r="L61" s="8">
        <f t="shared" si="14"/>
        <v>242.64</v>
      </c>
      <c r="M61" s="3"/>
      <c r="N61" s="7">
        <f t="shared" si="15"/>
        <v>0.27567714960916195</v>
      </c>
      <c r="O61" s="12"/>
      <c r="P61" s="8">
        <v>17642.71</v>
      </c>
      <c r="Q61" s="3"/>
      <c r="R61" s="7">
        <f t="shared" si="16"/>
        <v>1.7139673655774026E-3</v>
      </c>
      <c r="S61" s="3"/>
      <c r="T61" s="8">
        <v>9438.15</v>
      </c>
      <c r="U61" s="3"/>
      <c r="V61" s="7">
        <f t="shared" si="17"/>
        <v>7.6439411297599446E-3</v>
      </c>
      <c r="W61" s="3"/>
      <c r="X61" s="8">
        <f t="shared" si="18"/>
        <v>8204.56</v>
      </c>
      <c r="Y61" s="3"/>
      <c r="Z61" s="7">
        <f t="shared" si="19"/>
        <v>0.86929747884913888</v>
      </c>
    </row>
    <row r="62" spans="1:26" s="68" customFormat="1" ht="15" customHeight="1" outlineLevel="1" collapsed="1" x14ac:dyDescent="0.3">
      <c r="A62" s="26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SUM(OSRRefD22_9x_0)</f>
        <v>0</v>
      </c>
      <c r="E62" s="2"/>
      <c r="F62" s="6">
        <f t="shared" si="12"/>
        <v>0</v>
      </c>
      <c r="G62" s="2"/>
      <c r="H62" s="2">
        <f>SUM(OSRRefH22_9x_0)</f>
        <v>0</v>
      </c>
      <c r="I62" s="2"/>
      <c r="J62" s="6">
        <f t="shared" si="13"/>
        <v>0</v>
      </c>
      <c r="K62" s="2"/>
      <c r="L62" s="2">
        <f t="shared" si="14"/>
        <v>0</v>
      </c>
      <c r="M62" s="2"/>
      <c r="N62" s="6">
        <f t="shared" si="15"/>
        <v>0</v>
      </c>
      <c r="O62" s="14"/>
      <c r="P62" s="2">
        <f>SUM(OSRRefP22_9x_0)</f>
        <v>0</v>
      </c>
      <c r="Q62" s="2"/>
      <c r="R62" s="6">
        <f t="shared" si="16"/>
        <v>0</v>
      </c>
      <c r="S62" s="2"/>
      <c r="T62" s="2">
        <f>SUM(OSRRefT22_9x_0)</f>
        <v>-5.41</v>
      </c>
      <c r="U62" s="2"/>
      <c r="V62" s="6">
        <f t="shared" si="17"/>
        <v>-4.3815495104444523E-6</v>
      </c>
      <c r="W62" s="2"/>
      <c r="X62" s="2">
        <f t="shared" si="18"/>
        <v>5.41</v>
      </c>
      <c r="Y62" s="2"/>
      <c r="Z62" s="6">
        <f t="shared" si="19"/>
        <v>-1</v>
      </c>
    </row>
    <row r="63" spans="1:26" s="69" customFormat="1" ht="15" hidden="1" customHeight="1" outlineLevel="2" x14ac:dyDescent="0.3">
      <c r="A63" s="25"/>
      <c r="B63" s="12" t="str">
        <f>CONCATENATE("          ","6307"," - ","POSTAGE")</f>
        <v xml:space="preserve">          6307 - POSTAGE</v>
      </c>
      <c r="C63" s="12"/>
      <c r="D63" s="8"/>
      <c r="E63" s="3"/>
      <c r="F63" s="7">
        <f t="shared" si="12"/>
        <v>0</v>
      </c>
      <c r="G63" s="3"/>
      <c r="H63" s="8"/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2"/>
      <c r="P63" s="8"/>
      <c r="Q63" s="3"/>
      <c r="R63" s="7">
        <f t="shared" si="16"/>
        <v>0</v>
      </c>
      <c r="S63" s="3"/>
      <c r="T63" s="8">
        <v>-5.41</v>
      </c>
      <c r="U63" s="3"/>
      <c r="V63" s="7">
        <f t="shared" si="17"/>
        <v>-4.3815495104444523E-6</v>
      </c>
      <c r="W63" s="3"/>
      <c r="X63" s="8">
        <f t="shared" si="18"/>
        <v>5.41</v>
      </c>
      <c r="Y63" s="3"/>
      <c r="Z63" s="7">
        <f t="shared" si="19"/>
        <v>-1</v>
      </c>
    </row>
    <row r="64" spans="1:26" s="68" customFormat="1" ht="15" customHeight="1" outlineLevel="1" collapsed="1" x14ac:dyDescent="0.3">
      <c r="A64" s="26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SUM(OSRRefD22_10x_0)</f>
        <v>3611.24</v>
      </c>
      <c r="E64" s="2"/>
      <c r="F64" s="6">
        <f t="shared" si="12"/>
        <v>2.1784131098624262E-3</v>
      </c>
      <c r="G64" s="2"/>
      <c r="H64" s="2">
        <f>SUM(OSRRefH22_10x_0)</f>
        <v>891.32</v>
      </c>
      <c r="I64" s="2"/>
      <c r="J64" s="6">
        <f t="shared" si="13"/>
        <v>5.9795561864074247E-3</v>
      </c>
      <c r="K64" s="2"/>
      <c r="L64" s="2">
        <f t="shared" si="14"/>
        <v>2719.9199999999996</v>
      </c>
      <c r="M64" s="2"/>
      <c r="N64" s="6">
        <f t="shared" si="15"/>
        <v>3.0515639725351158</v>
      </c>
      <c r="O64" s="14"/>
      <c r="P64" s="2">
        <f>SUM(OSRRefP22_10x_0)</f>
        <v>34438.519999999997</v>
      </c>
      <c r="Q64" s="2"/>
      <c r="R64" s="6">
        <f t="shared" si="16"/>
        <v>3.3456594479410865E-3</v>
      </c>
      <c r="S64" s="2"/>
      <c r="T64" s="2">
        <f>SUM(OSRRefT22_10x_0)</f>
        <v>15020.23</v>
      </c>
      <c r="U64" s="2"/>
      <c r="V64" s="6">
        <f t="shared" si="17"/>
        <v>1.2164857930362859E-2</v>
      </c>
      <c r="W64" s="2"/>
      <c r="X64" s="2">
        <f t="shared" si="18"/>
        <v>19418.289999999997</v>
      </c>
      <c r="Y64" s="2"/>
      <c r="Z64" s="6">
        <f t="shared" si="19"/>
        <v>1.2928090981296556</v>
      </c>
    </row>
    <row r="65" spans="1:26" s="69" customFormat="1" ht="15" hidden="1" customHeight="1" outlineLevel="2" x14ac:dyDescent="0.3">
      <c r="A65" s="25"/>
      <c r="B65" s="12" t="str">
        <f>CONCATENATE("          ","6279"," - ","GENERAL EXPENSE")</f>
        <v xml:space="preserve">          6279 - GENERAL EXPENSE</v>
      </c>
      <c r="C65" s="12"/>
      <c r="D65" s="8">
        <v>3611.24</v>
      </c>
      <c r="E65" s="3"/>
      <c r="F65" s="7">
        <f t="shared" si="12"/>
        <v>2.1784131098624262E-3</v>
      </c>
      <c r="G65" s="3"/>
      <c r="H65" s="8">
        <v>891.32</v>
      </c>
      <c r="I65" s="3"/>
      <c r="J65" s="7">
        <f t="shared" si="13"/>
        <v>5.9795561864074247E-3</v>
      </c>
      <c r="K65" s="3"/>
      <c r="L65" s="8">
        <f t="shared" si="14"/>
        <v>2719.9199999999996</v>
      </c>
      <c r="M65" s="3"/>
      <c r="N65" s="7">
        <f t="shared" si="15"/>
        <v>3.0515639725351158</v>
      </c>
      <c r="O65" s="12"/>
      <c r="P65" s="8">
        <v>34438.519999999997</v>
      </c>
      <c r="Q65" s="3"/>
      <c r="R65" s="7">
        <f t="shared" si="16"/>
        <v>3.3456594479410865E-3</v>
      </c>
      <c r="S65" s="3"/>
      <c r="T65" s="8">
        <v>15020.23</v>
      </c>
      <c r="U65" s="3"/>
      <c r="V65" s="7">
        <f t="shared" si="17"/>
        <v>1.2164857930362859E-2</v>
      </c>
      <c r="W65" s="3"/>
      <c r="X65" s="8">
        <f t="shared" si="18"/>
        <v>19418.289999999997</v>
      </c>
      <c r="Y65" s="3"/>
      <c r="Z65" s="7">
        <f t="shared" si="19"/>
        <v>1.2928090981296556</v>
      </c>
    </row>
    <row r="66" spans="1:26" s="68" customFormat="1" ht="15" customHeight="1" outlineLevel="1" collapsed="1" x14ac:dyDescent="0.3">
      <c r="A66" s="26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SUM(OSRRefD22_11x_0)</f>
        <v>5761.42</v>
      </c>
      <c r="E66" s="2"/>
      <c r="F66" s="6">
        <f t="shared" si="12"/>
        <v>3.4754690520219043E-3</v>
      </c>
      <c r="G66" s="2"/>
      <c r="H66" s="2">
        <f>SUM(OSRRefH22_11x_0)</f>
        <v>4246.03</v>
      </c>
      <c r="I66" s="2"/>
      <c r="J66" s="6">
        <f t="shared" si="13"/>
        <v>2.8485139965636935E-2</v>
      </c>
      <c r="K66" s="2"/>
      <c r="L66" s="2">
        <f t="shared" si="14"/>
        <v>1515.3900000000003</v>
      </c>
      <c r="M66" s="2"/>
      <c r="N66" s="6">
        <f t="shared" si="15"/>
        <v>0.35689573554591003</v>
      </c>
      <c r="O66" s="14"/>
      <c r="P66" s="2">
        <f>SUM(OSRRefP22_11x_0)</f>
        <v>58735.79</v>
      </c>
      <c r="Q66" s="2"/>
      <c r="R66" s="6">
        <f t="shared" si="16"/>
        <v>5.706109053054069E-3</v>
      </c>
      <c r="S66" s="2"/>
      <c r="T66" s="2">
        <f>SUM(OSRRefT22_11x_0)</f>
        <v>44326.27</v>
      </c>
      <c r="U66" s="2"/>
      <c r="V66" s="6">
        <f t="shared" si="17"/>
        <v>3.5899768321317665E-2</v>
      </c>
      <c r="W66" s="2"/>
      <c r="X66" s="2">
        <f t="shared" si="18"/>
        <v>14409.520000000004</v>
      </c>
      <c r="Y66" s="2"/>
      <c r="Z66" s="6">
        <f t="shared" si="19"/>
        <v>0.32507855950884218</v>
      </c>
    </row>
    <row r="67" spans="1:26" s="69" customFormat="1" ht="15" hidden="1" customHeight="1" outlineLevel="2" x14ac:dyDescent="0.3">
      <c r="A67" s="25"/>
      <c r="B67" s="12" t="str">
        <f>CONCATENATE("          ","6314"," - ","LIABILITY INSURANCE")</f>
        <v xml:space="preserve">          6314 - LIABILITY INSURANCE</v>
      </c>
      <c r="C67" s="12"/>
      <c r="D67" s="8">
        <v>5761.42</v>
      </c>
      <c r="E67" s="3"/>
      <c r="F67" s="7">
        <f t="shared" si="12"/>
        <v>3.4754690520219043E-3</v>
      </c>
      <c r="G67" s="3"/>
      <c r="H67" s="8">
        <v>4246.03</v>
      </c>
      <c r="I67" s="3"/>
      <c r="J67" s="7">
        <f t="shared" si="13"/>
        <v>2.8485139965636935E-2</v>
      </c>
      <c r="K67" s="3"/>
      <c r="L67" s="8">
        <f t="shared" si="14"/>
        <v>1515.3900000000003</v>
      </c>
      <c r="M67" s="3"/>
      <c r="N67" s="7">
        <f t="shared" si="15"/>
        <v>0.35689573554591003</v>
      </c>
      <c r="O67" s="12"/>
      <c r="P67" s="8">
        <v>58735.79</v>
      </c>
      <c r="Q67" s="3"/>
      <c r="R67" s="7">
        <f t="shared" si="16"/>
        <v>5.706109053054069E-3</v>
      </c>
      <c r="S67" s="3"/>
      <c r="T67" s="8">
        <v>44326.27</v>
      </c>
      <c r="U67" s="3"/>
      <c r="V67" s="7">
        <f t="shared" si="17"/>
        <v>3.5899768321317665E-2</v>
      </c>
      <c r="W67" s="3"/>
      <c r="X67" s="8">
        <f t="shared" si="18"/>
        <v>14409.520000000004</v>
      </c>
      <c r="Y67" s="3"/>
      <c r="Z67" s="7">
        <f t="shared" si="19"/>
        <v>0.32507855950884218</v>
      </c>
    </row>
    <row r="68" spans="1:26" s="68" customFormat="1" ht="15" customHeight="1" outlineLevel="1" collapsed="1" x14ac:dyDescent="0.3">
      <c r="A68" s="26"/>
      <c r="B68" s="14" t="str">
        <f>CONCATENATE("     ","Interest                                          ")</f>
        <v xml:space="preserve">     Interest                                          </v>
      </c>
      <c r="C68" s="14"/>
      <c r="D68" s="2">
        <f>SUM(OSRRefD22_12x_0)</f>
        <v>7253</v>
      </c>
      <c r="E68" s="2"/>
      <c r="F68" s="6">
        <f t="shared" si="12"/>
        <v>4.3752368399309323E-3</v>
      </c>
      <c r="G68" s="2"/>
      <c r="H68" s="2">
        <f>SUM(OSRRefH22_12x_0)</f>
        <v>7510</v>
      </c>
      <c r="I68" s="2"/>
      <c r="J68" s="6">
        <f t="shared" si="13"/>
        <v>5.038198061293335E-2</v>
      </c>
      <c r="K68" s="2"/>
      <c r="L68" s="2">
        <f t="shared" si="14"/>
        <v>-257</v>
      </c>
      <c r="M68" s="2"/>
      <c r="N68" s="6">
        <f t="shared" si="15"/>
        <v>-3.4221038615179764E-2</v>
      </c>
      <c r="O68" s="14"/>
      <c r="P68" s="2">
        <f>SUM(OSRRefP22_12x_0)</f>
        <v>64763</v>
      </c>
      <c r="Q68" s="2"/>
      <c r="R68" s="6">
        <f t="shared" si="16"/>
        <v>6.291645019211296E-3</v>
      </c>
      <c r="S68" s="2"/>
      <c r="T68" s="2">
        <f>SUM(OSRRefT22_12x_0)</f>
        <v>67103.149999999994</v>
      </c>
      <c r="U68" s="2"/>
      <c r="V68" s="6">
        <f t="shared" si="17"/>
        <v>5.4346723480920629E-2</v>
      </c>
      <c r="W68" s="2"/>
      <c r="X68" s="2">
        <f t="shared" si="18"/>
        <v>-2340.1499999999942</v>
      </c>
      <c r="Y68" s="2"/>
      <c r="Z68" s="6">
        <f t="shared" si="19"/>
        <v>-3.4873921716044545E-2</v>
      </c>
    </row>
    <row r="69" spans="1:26" s="69" customFormat="1" ht="15" hidden="1" customHeight="1" outlineLevel="2" x14ac:dyDescent="0.3">
      <c r="A69" s="25"/>
      <c r="B69" s="12" t="str">
        <f>CONCATENATE("          ","6401"," - ","INTEREST EXPENSE")</f>
        <v xml:space="preserve">          6401 - INTEREST EXPENSE</v>
      </c>
      <c r="C69" s="12"/>
      <c r="D69" s="8">
        <v>7253</v>
      </c>
      <c r="E69" s="3"/>
      <c r="F69" s="7">
        <f t="shared" si="12"/>
        <v>4.3752368399309323E-3</v>
      </c>
      <c r="G69" s="3"/>
      <c r="H69" s="8">
        <v>7510</v>
      </c>
      <c r="I69" s="3"/>
      <c r="J69" s="7">
        <f t="shared" si="13"/>
        <v>5.038198061293335E-2</v>
      </c>
      <c r="K69" s="3"/>
      <c r="L69" s="8">
        <f t="shared" si="14"/>
        <v>-257</v>
      </c>
      <c r="M69" s="3"/>
      <c r="N69" s="7">
        <f t="shared" si="15"/>
        <v>-3.4221038615179764E-2</v>
      </c>
      <c r="O69" s="12"/>
      <c r="P69" s="8">
        <v>64763</v>
      </c>
      <c r="Q69" s="3"/>
      <c r="R69" s="7">
        <f t="shared" si="16"/>
        <v>6.291645019211296E-3</v>
      </c>
      <c r="S69" s="3"/>
      <c r="T69" s="8">
        <v>67103.149999999994</v>
      </c>
      <c r="U69" s="3"/>
      <c r="V69" s="7">
        <f t="shared" si="17"/>
        <v>5.4346723480920629E-2</v>
      </c>
      <c r="W69" s="3"/>
      <c r="X69" s="8">
        <f t="shared" si="18"/>
        <v>-2340.1499999999942</v>
      </c>
      <c r="Y69" s="3"/>
      <c r="Z69" s="7">
        <f t="shared" si="19"/>
        <v>-3.4873921716044545E-2</v>
      </c>
    </row>
    <row r="70" spans="1:26" s="68" customFormat="1" ht="15" customHeight="1" outlineLevel="1" collapsed="1" x14ac:dyDescent="0.3">
      <c r="A70" s="26"/>
      <c r="B70" s="14" t="str">
        <f>CONCATENATE("     ","R/H Commissions                                   ")</f>
        <v xml:space="preserve">     R/H Commissions                                   </v>
      </c>
      <c r="C70" s="14"/>
      <c r="D70" s="2">
        <f>SUM(OSRRefD22_13x_0)</f>
        <v>111663.48</v>
      </c>
      <c r="E70" s="2"/>
      <c r="F70" s="6">
        <f t="shared" si="12"/>
        <v>6.7358909605803235E-2</v>
      </c>
      <c r="G70" s="2"/>
      <c r="H70" s="2">
        <f>SUM(OSRRefH22_13x_0)</f>
        <v>6756.75</v>
      </c>
      <c r="I70" s="2"/>
      <c r="J70" s="6">
        <f t="shared" si="13"/>
        <v>4.5328688083413775E-2</v>
      </c>
      <c r="K70" s="2"/>
      <c r="L70" s="2">
        <f t="shared" si="14"/>
        <v>104906.73</v>
      </c>
      <c r="M70" s="2"/>
      <c r="N70" s="6">
        <f t="shared" si="15"/>
        <v>15.526211566211565</v>
      </c>
      <c r="O70" s="14"/>
      <c r="P70" s="2">
        <f>SUM(OSRRefP22_13x_0)</f>
        <v>720692.17</v>
      </c>
      <c r="Q70" s="2"/>
      <c r="R70" s="6">
        <f t="shared" si="16"/>
        <v>7.0014349269877568E-2</v>
      </c>
      <c r="S70" s="2"/>
      <c r="T70" s="2">
        <f>SUM(OSRRefT22_13x_0)</f>
        <v>59012.6</v>
      </c>
      <c r="U70" s="2"/>
      <c r="V70" s="6">
        <f t="shared" si="17"/>
        <v>4.7794201227366773E-2</v>
      </c>
      <c r="W70" s="2"/>
      <c r="X70" s="2">
        <f t="shared" si="18"/>
        <v>661679.57000000007</v>
      </c>
      <c r="Y70" s="2"/>
      <c r="Z70" s="6">
        <f t="shared" si="19"/>
        <v>11.212513429335431</v>
      </c>
    </row>
    <row r="71" spans="1:26" s="69" customFormat="1" ht="15" hidden="1" customHeight="1" outlineLevel="2" x14ac:dyDescent="0.3">
      <c r="A71" s="25"/>
      <c r="B71" s="12" t="str">
        <f>CONCATENATE("          ","6387"," - ","COMMISSION DUE HOUSING")</f>
        <v xml:space="preserve">          6387 - COMMISSION DUE HOUSING</v>
      </c>
      <c r="C71" s="12"/>
      <c r="D71" s="8">
        <v>111663.48</v>
      </c>
      <c r="E71" s="3"/>
      <c r="F71" s="7">
        <f t="shared" si="12"/>
        <v>6.7358909605803235E-2</v>
      </c>
      <c r="G71" s="3"/>
      <c r="H71" s="8">
        <v>6756.75</v>
      </c>
      <c r="I71" s="3"/>
      <c r="J71" s="7">
        <f t="shared" si="13"/>
        <v>4.5328688083413775E-2</v>
      </c>
      <c r="K71" s="3"/>
      <c r="L71" s="8">
        <f t="shared" si="14"/>
        <v>104906.73</v>
      </c>
      <c r="M71" s="3"/>
      <c r="N71" s="7">
        <f t="shared" si="15"/>
        <v>15.526211566211565</v>
      </c>
      <c r="O71" s="12"/>
      <c r="P71" s="8">
        <v>720692.17</v>
      </c>
      <c r="Q71" s="3"/>
      <c r="R71" s="7">
        <f t="shared" si="16"/>
        <v>7.0014349269877568E-2</v>
      </c>
      <c r="S71" s="3"/>
      <c r="T71" s="8">
        <v>59012.6</v>
      </c>
      <c r="U71" s="3"/>
      <c r="V71" s="7">
        <f t="shared" si="17"/>
        <v>4.7794201227366773E-2</v>
      </c>
      <c r="W71" s="3"/>
      <c r="X71" s="8">
        <f t="shared" si="18"/>
        <v>661679.57000000007</v>
      </c>
      <c r="Y71" s="3"/>
      <c r="Z71" s="7">
        <f t="shared" si="19"/>
        <v>11.212513429335431</v>
      </c>
    </row>
    <row r="72" spans="1:26" s="68" customFormat="1" ht="15" customHeight="1" outlineLevel="1" collapsed="1" x14ac:dyDescent="0.3">
      <c r="A72" s="26"/>
      <c r="B72" s="14" t="str">
        <f>CONCATENATE("     ","Rent                                              ")</f>
        <v xml:space="preserve">     Rent                                              </v>
      </c>
      <c r="C72" s="14"/>
      <c r="D72" s="2">
        <f>SUM(OSRRefD22_14x_0)</f>
        <v>1850</v>
      </c>
      <c r="E72" s="2"/>
      <c r="F72" s="6">
        <f t="shared" si="12"/>
        <v>1.1159779613776678E-3</v>
      </c>
      <c r="G72" s="2"/>
      <c r="H72" s="2">
        <f>SUM(OSRRefH22_14x_0)</f>
        <v>0</v>
      </c>
      <c r="I72" s="2"/>
      <c r="J72" s="6">
        <f t="shared" si="13"/>
        <v>0</v>
      </c>
      <c r="K72" s="2"/>
      <c r="L72" s="2">
        <f t="shared" si="14"/>
        <v>1850</v>
      </c>
      <c r="M72" s="2"/>
      <c r="N72" s="6">
        <f t="shared" si="15"/>
        <v>0</v>
      </c>
      <c r="O72" s="14"/>
      <c r="P72" s="2">
        <f>SUM(OSRRefP22_14x_0)</f>
        <v>16650</v>
      </c>
      <c r="Q72" s="2"/>
      <c r="R72" s="6">
        <f t="shared" si="16"/>
        <v>1.6175268219487684E-3</v>
      </c>
      <c r="S72" s="2"/>
      <c r="T72" s="2">
        <f>SUM(OSRRefT22_14x_0)</f>
        <v>11100</v>
      </c>
      <c r="U72" s="2"/>
      <c r="V72" s="6">
        <f t="shared" si="17"/>
        <v>8.9898705297473958E-3</v>
      </c>
      <c r="W72" s="2"/>
      <c r="X72" s="2">
        <f t="shared" si="18"/>
        <v>5550</v>
      </c>
      <c r="Y72" s="2"/>
      <c r="Z72" s="6">
        <f t="shared" si="19"/>
        <v>0.5</v>
      </c>
    </row>
    <row r="73" spans="1:26" s="69" customFormat="1" ht="15" hidden="1" customHeight="1" outlineLevel="2" x14ac:dyDescent="0.3">
      <c r="A73" s="25"/>
      <c r="B73" s="12" t="str">
        <f>CONCATENATE("          ","6273"," - ","RENT")</f>
        <v xml:space="preserve">          6273 - RENT</v>
      </c>
      <c r="C73" s="12"/>
      <c r="D73" s="8">
        <v>1850</v>
      </c>
      <c r="E73" s="3"/>
      <c r="F73" s="7">
        <f t="shared" si="12"/>
        <v>1.1159779613776678E-3</v>
      </c>
      <c r="G73" s="3"/>
      <c r="H73" s="8"/>
      <c r="I73" s="3"/>
      <c r="J73" s="7">
        <f t="shared" si="13"/>
        <v>0</v>
      </c>
      <c r="K73" s="3"/>
      <c r="L73" s="8">
        <f t="shared" si="14"/>
        <v>1850</v>
      </c>
      <c r="M73" s="3"/>
      <c r="N73" s="7">
        <f t="shared" si="15"/>
        <v>0</v>
      </c>
      <c r="O73" s="12"/>
      <c r="P73" s="8">
        <v>16650</v>
      </c>
      <c r="Q73" s="3"/>
      <c r="R73" s="7">
        <f t="shared" si="16"/>
        <v>1.6175268219487684E-3</v>
      </c>
      <c r="S73" s="3"/>
      <c r="T73" s="8">
        <v>11100</v>
      </c>
      <c r="U73" s="3"/>
      <c r="V73" s="7">
        <f t="shared" si="17"/>
        <v>8.9898705297473958E-3</v>
      </c>
      <c r="W73" s="3"/>
      <c r="X73" s="8">
        <f t="shared" si="18"/>
        <v>5550</v>
      </c>
      <c r="Y73" s="3"/>
      <c r="Z73" s="7">
        <f t="shared" si="19"/>
        <v>0.5</v>
      </c>
    </row>
    <row r="74" spans="1:26" s="68" customFormat="1" ht="15" customHeight="1" outlineLevel="1" collapsed="1" x14ac:dyDescent="0.3">
      <c r="A74" s="26"/>
      <c r="B74" s="14" t="str">
        <f>CONCATENATE("     ","Repair and Maintenance                            ")</f>
        <v xml:space="preserve">     Repair and Maintenance                            </v>
      </c>
      <c r="C74" s="14"/>
      <c r="D74" s="2">
        <f>SUM(OSRRefD22_15x_0)</f>
        <v>12895.38</v>
      </c>
      <c r="E74" s="2"/>
      <c r="F74" s="6">
        <f t="shared" si="12"/>
        <v>7.7788972343731614E-3</v>
      </c>
      <c r="G74" s="2"/>
      <c r="H74" s="2">
        <f>SUM(OSRRefH22_15x_0)</f>
        <v>20791.330000000002</v>
      </c>
      <c r="I74" s="2"/>
      <c r="J74" s="6">
        <f t="shared" si="13"/>
        <v>0.13948180891838877</v>
      </c>
      <c r="K74" s="2"/>
      <c r="L74" s="2">
        <f t="shared" si="14"/>
        <v>-7895.9500000000025</v>
      </c>
      <c r="M74" s="2"/>
      <c r="N74" s="6">
        <f t="shared" si="15"/>
        <v>-0.37977127966320584</v>
      </c>
      <c r="O74" s="14"/>
      <c r="P74" s="2">
        <f>SUM(OSRRefP22_15x_0)</f>
        <v>108717.34</v>
      </c>
      <c r="Q74" s="2"/>
      <c r="R74" s="6">
        <f t="shared" si="16"/>
        <v>1.056175456221764E-2</v>
      </c>
      <c r="S74" s="2"/>
      <c r="T74" s="2">
        <f>SUM(OSRRefT22_15x_0)</f>
        <v>60855.119999999995</v>
      </c>
      <c r="U74" s="2"/>
      <c r="V74" s="6">
        <f t="shared" si="17"/>
        <v>4.9286454943445163E-2</v>
      </c>
      <c r="W74" s="2"/>
      <c r="X74" s="2">
        <f t="shared" si="18"/>
        <v>47862.22</v>
      </c>
      <c r="Y74" s="2"/>
      <c r="Z74" s="6">
        <f t="shared" si="19"/>
        <v>0.78649454639149519</v>
      </c>
    </row>
    <row r="75" spans="1:26" s="69" customFormat="1" ht="15" hidden="1" customHeight="1" outlineLevel="2" x14ac:dyDescent="0.3">
      <c r="A75" s="25"/>
      <c r="B75" s="12" t="str">
        <f>CONCATENATE("          ","6371"," - ","COMPUTER SOFTWARE MAINTENANCE")</f>
        <v xml:space="preserve">          6371 - COMPUTER SOFTWARE MAINTENANCE</v>
      </c>
      <c r="C75" s="12"/>
      <c r="D75" s="8">
        <v>4283.7</v>
      </c>
      <c r="E75" s="3"/>
      <c r="F75" s="7">
        <f t="shared" si="12"/>
        <v>2.5840620503532513E-3</v>
      </c>
      <c r="G75" s="3"/>
      <c r="H75" s="8">
        <v>3500</v>
      </c>
      <c r="I75" s="3"/>
      <c r="J75" s="7">
        <f t="shared" si="13"/>
        <v>2.3480283907492242E-2</v>
      </c>
      <c r="K75" s="3"/>
      <c r="L75" s="8">
        <f t="shared" si="14"/>
        <v>783.69999999999982</v>
      </c>
      <c r="M75" s="3"/>
      <c r="N75" s="7">
        <f t="shared" si="15"/>
        <v>0.22391428571428565</v>
      </c>
      <c r="O75" s="12"/>
      <c r="P75" s="8">
        <v>39100.870000000003</v>
      </c>
      <c r="Q75" s="3"/>
      <c r="R75" s="7">
        <f t="shared" si="16"/>
        <v>3.7986009601520686E-3</v>
      </c>
      <c r="S75" s="3"/>
      <c r="T75" s="8">
        <v>14702.27</v>
      </c>
      <c r="U75" s="3"/>
      <c r="V75" s="7">
        <f t="shared" si="17"/>
        <v>1.1907342684089122E-2</v>
      </c>
      <c r="W75" s="3"/>
      <c r="X75" s="8">
        <f t="shared" si="18"/>
        <v>24398.600000000002</v>
      </c>
      <c r="Y75" s="3"/>
      <c r="Z75" s="7">
        <f t="shared" si="19"/>
        <v>1.6595124426364094</v>
      </c>
    </row>
    <row r="76" spans="1:26" s="69" customFormat="1" ht="15" hidden="1" customHeight="1" outlineLevel="2" x14ac:dyDescent="0.3">
      <c r="A76" s="25"/>
      <c r="B76" s="12" t="str">
        <f>CONCATENATE("          ","6372"," - ","COMPUTER HARDWARE MAINTENANCE")</f>
        <v xml:space="preserve">          6372 - COMPUTER HARDWARE MAINTENANCE</v>
      </c>
      <c r="C76" s="12"/>
      <c r="D76" s="8"/>
      <c r="E76" s="3"/>
      <c r="F76" s="7">
        <f t="shared" si="12"/>
        <v>0</v>
      </c>
      <c r="G76" s="3"/>
      <c r="H76" s="8">
        <v>100</v>
      </c>
      <c r="I76" s="3"/>
      <c r="J76" s="7">
        <f t="shared" si="13"/>
        <v>6.7086525449977833E-4</v>
      </c>
      <c r="K76" s="3"/>
      <c r="L76" s="8">
        <f t="shared" si="14"/>
        <v>-100</v>
      </c>
      <c r="M76" s="3"/>
      <c r="N76" s="7">
        <f t="shared" si="15"/>
        <v>-1</v>
      </c>
      <c r="O76" s="12"/>
      <c r="P76" s="8"/>
      <c r="Q76" s="3"/>
      <c r="R76" s="7">
        <f t="shared" si="16"/>
        <v>0</v>
      </c>
      <c r="S76" s="3"/>
      <c r="T76" s="8">
        <v>100</v>
      </c>
      <c r="U76" s="3"/>
      <c r="V76" s="7">
        <f t="shared" si="17"/>
        <v>8.0989824592318885E-5</v>
      </c>
      <c r="W76" s="3"/>
      <c r="X76" s="8">
        <f t="shared" si="18"/>
        <v>-100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5"/>
      <c r="B77" s="12" t="str">
        <f>CONCATENATE("          ","6373"," - ","MAINTENANCE CONTRACTS")</f>
        <v xml:space="preserve">          6373 - MAINTENANCE CONTRACTS</v>
      </c>
      <c r="C77" s="12"/>
      <c r="D77" s="8">
        <v>5749.79</v>
      </c>
      <c r="E77" s="3"/>
      <c r="F77" s="7">
        <f t="shared" si="12"/>
        <v>3.4684534716484866E-3</v>
      </c>
      <c r="G77" s="3"/>
      <c r="H77" s="8">
        <v>7443.98</v>
      </c>
      <c r="I77" s="3"/>
      <c r="J77" s="7">
        <f t="shared" si="13"/>
        <v>4.9939075371912597E-2</v>
      </c>
      <c r="K77" s="3"/>
      <c r="L77" s="8">
        <f t="shared" si="14"/>
        <v>-1694.1899999999996</v>
      </c>
      <c r="M77" s="3"/>
      <c r="N77" s="7">
        <f t="shared" si="15"/>
        <v>-0.22759196021483127</v>
      </c>
      <c r="O77" s="12"/>
      <c r="P77" s="8">
        <v>21015.35</v>
      </c>
      <c r="Q77" s="3"/>
      <c r="R77" s="7">
        <f t="shared" si="16"/>
        <v>2.0416151530114742E-3</v>
      </c>
      <c r="S77" s="3"/>
      <c r="T77" s="8">
        <v>21450.87</v>
      </c>
      <c r="U77" s="3"/>
      <c r="V77" s="7">
        <f t="shared" si="17"/>
        <v>1.7373021986526353E-2</v>
      </c>
      <c r="W77" s="3"/>
      <c r="X77" s="8">
        <f t="shared" si="18"/>
        <v>-435.52000000000044</v>
      </c>
      <c r="Y77" s="3"/>
      <c r="Z77" s="7">
        <f t="shared" si="19"/>
        <v>-2.0303139219994361E-2</v>
      </c>
    </row>
    <row r="78" spans="1:26" s="69" customFormat="1" ht="15" hidden="1" customHeight="1" outlineLevel="2" x14ac:dyDescent="0.3">
      <c r="A78" s="25"/>
      <c r="B78" s="12" t="str">
        <f>CONCATENATE("          ","6375"," - ","OUTSIDE REPAIRS &amp; MAINTENANCE")</f>
        <v xml:space="preserve">          6375 - OUTSIDE REPAIRS &amp; MAINTENANCE</v>
      </c>
      <c r="C78" s="12"/>
      <c r="D78" s="8">
        <v>2861.89</v>
      </c>
      <c r="E78" s="3"/>
      <c r="F78" s="7">
        <f t="shared" si="12"/>
        <v>1.7263817123714235E-3</v>
      </c>
      <c r="G78" s="3"/>
      <c r="H78" s="8">
        <v>9747.35</v>
      </c>
      <c r="I78" s="3"/>
      <c r="J78" s="7">
        <f t="shared" si="13"/>
        <v>6.5391584384484142E-2</v>
      </c>
      <c r="K78" s="3"/>
      <c r="L78" s="8">
        <f t="shared" si="14"/>
        <v>-6885.4600000000009</v>
      </c>
      <c r="M78" s="3"/>
      <c r="N78" s="7">
        <f t="shared" si="15"/>
        <v>-0.70639301964123591</v>
      </c>
      <c r="O78" s="12"/>
      <c r="P78" s="8">
        <v>48601.120000000003</v>
      </c>
      <c r="Q78" s="3"/>
      <c r="R78" s="7">
        <f t="shared" si="16"/>
        <v>4.7215384490540977E-3</v>
      </c>
      <c r="S78" s="3"/>
      <c r="T78" s="8">
        <v>24601.98</v>
      </c>
      <c r="U78" s="3"/>
      <c r="V78" s="7">
        <f t="shared" si="17"/>
        <v>1.9925100448237375E-2</v>
      </c>
      <c r="W78" s="3"/>
      <c r="X78" s="8">
        <f t="shared" si="18"/>
        <v>23999.140000000003</v>
      </c>
      <c r="Y78" s="3"/>
      <c r="Z78" s="7">
        <f t="shared" si="19"/>
        <v>0.97549628119362763</v>
      </c>
    </row>
    <row r="79" spans="1:26" s="68" customFormat="1" ht="15" customHeight="1" outlineLevel="1" collapsed="1" x14ac:dyDescent="0.3">
      <c r="A79" s="26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2">
        <f>SUM(OSRRefD22_16x_0)</f>
        <v>583.67999999999995</v>
      </c>
      <c r="E79" s="2"/>
      <c r="F79" s="6">
        <f t="shared" si="12"/>
        <v>3.5209406297130651E-4</v>
      </c>
      <c r="G79" s="2"/>
      <c r="H79" s="2">
        <f>SUM(OSRRefH22_16x_0)</f>
        <v>0</v>
      </c>
      <c r="I79" s="2"/>
      <c r="J79" s="6">
        <f t="shared" si="13"/>
        <v>0</v>
      </c>
      <c r="K79" s="2"/>
      <c r="L79" s="2">
        <f t="shared" si="14"/>
        <v>583.67999999999995</v>
      </c>
      <c r="M79" s="2"/>
      <c r="N79" s="6">
        <f t="shared" si="15"/>
        <v>0</v>
      </c>
      <c r="O79" s="14"/>
      <c r="P79" s="2">
        <f>SUM(OSRRefP22_16x_0)</f>
        <v>4217.71</v>
      </c>
      <c r="Q79" s="2"/>
      <c r="R79" s="6">
        <f t="shared" si="16"/>
        <v>4.0974528842051288E-4</v>
      </c>
      <c r="S79" s="2"/>
      <c r="T79" s="2">
        <f>SUM(OSRRefT22_16x_0)</f>
        <v>0</v>
      </c>
      <c r="U79" s="2"/>
      <c r="V79" s="6">
        <f t="shared" si="17"/>
        <v>0</v>
      </c>
      <c r="W79" s="2"/>
      <c r="X79" s="2">
        <f t="shared" si="18"/>
        <v>4217.71</v>
      </c>
      <c r="Y79" s="2"/>
      <c r="Z79" s="6">
        <f t="shared" si="19"/>
        <v>0</v>
      </c>
    </row>
    <row r="80" spans="1:26" s="69" customFormat="1" ht="15" hidden="1" customHeight="1" outlineLevel="2" x14ac:dyDescent="0.3">
      <c r="A80" s="25"/>
      <c r="B80" s="12" t="str">
        <f>CONCATENATE("          ","6254"," - ","ROYALTY &amp; COMMISSIONS")</f>
        <v xml:space="preserve">          6254 - ROYALTY &amp; COMMISSIONS</v>
      </c>
      <c r="C80" s="12"/>
      <c r="D80" s="8">
        <v>583.67999999999995</v>
      </c>
      <c r="E80" s="3"/>
      <c r="F80" s="7">
        <f t="shared" si="12"/>
        <v>3.5209406297130651E-4</v>
      </c>
      <c r="G80" s="3"/>
      <c r="H80" s="8"/>
      <c r="I80" s="3"/>
      <c r="J80" s="7">
        <f t="shared" si="13"/>
        <v>0</v>
      </c>
      <c r="K80" s="3"/>
      <c r="L80" s="8">
        <f t="shared" si="14"/>
        <v>583.67999999999995</v>
      </c>
      <c r="M80" s="3"/>
      <c r="N80" s="7">
        <f t="shared" si="15"/>
        <v>0</v>
      </c>
      <c r="O80" s="12"/>
      <c r="P80" s="8">
        <v>4217.71</v>
      </c>
      <c r="Q80" s="3"/>
      <c r="R80" s="7">
        <f t="shared" si="16"/>
        <v>4.0974528842051288E-4</v>
      </c>
      <c r="S80" s="3"/>
      <c r="T80" s="8"/>
      <c r="U80" s="3"/>
      <c r="V80" s="7">
        <f t="shared" si="17"/>
        <v>0</v>
      </c>
      <c r="W80" s="3"/>
      <c r="X80" s="8">
        <f t="shared" si="18"/>
        <v>4217.71</v>
      </c>
      <c r="Y80" s="3"/>
      <c r="Z80" s="7">
        <f t="shared" si="19"/>
        <v>0</v>
      </c>
    </row>
    <row r="81" spans="1:26" s="68" customFormat="1" ht="15" customHeight="1" outlineLevel="1" collapsed="1" x14ac:dyDescent="0.3">
      <c r="A81" s="26"/>
      <c r="B81" s="14" t="str">
        <f>CONCATENATE("     ","Services                                          ")</f>
        <v xml:space="preserve">     Services                                          </v>
      </c>
      <c r="C81" s="14"/>
      <c r="D81" s="2">
        <f>SUM(OSRRefD22_17x_0)</f>
        <v>26860.120000000003</v>
      </c>
      <c r="E81" s="2"/>
      <c r="F81" s="6">
        <f t="shared" si="12"/>
        <v>1.6202865924302447E-2</v>
      </c>
      <c r="G81" s="2"/>
      <c r="H81" s="2">
        <f>SUM(OSRRefH22_17x_0)</f>
        <v>9446.7899999999991</v>
      </c>
      <c r="I81" s="2"/>
      <c r="J81" s="6">
        <f t="shared" si="13"/>
        <v>6.3375231775559607E-2</v>
      </c>
      <c r="K81" s="2"/>
      <c r="L81" s="2">
        <f t="shared" si="14"/>
        <v>17413.330000000002</v>
      </c>
      <c r="M81" s="2"/>
      <c r="N81" s="6">
        <f t="shared" si="15"/>
        <v>1.8433065623349312</v>
      </c>
      <c r="O81" s="14"/>
      <c r="P81" s="2">
        <f>SUM(OSRRefP22_17x_0)</f>
        <v>216299.85</v>
      </c>
      <c r="Q81" s="2"/>
      <c r="R81" s="6">
        <f t="shared" si="16"/>
        <v>2.1013261799309027E-2</v>
      </c>
      <c r="S81" s="2"/>
      <c r="T81" s="2">
        <f>SUM(OSRRefT22_17x_0)</f>
        <v>148651.85999999999</v>
      </c>
      <c r="U81" s="2"/>
      <c r="V81" s="6">
        <f t="shared" si="17"/>
        <v>0.12039288066721943</v>
      </c>
      <c r="W81" s="2"/>
      <c r="X81" s="2">
        <f t="shared" si="18"/>
        <v>67647.99000000002</v>
      </c>
      <c r="Y81" s="2"/>
      <c r="Z81" s="6">
        <f t="shared" si="19"/>
        <v>0.45507664687142174</v>
      </c>
    </row>
    <row r="82" spans="1:26" s="69" customFormat="1" ht="15" hidden="1" customHeight="1" outlineLevel="2" x14ac:dyDescent="0.3">
      <c r="A82" s="25"/>
      <c r="B82" s="12" t="str">
        <f>CONCATENATE("          ","6282"," - ","JANITORIAL/EXTERMINATOR EXPENS")</f>
        <v xml:space="preserve">          6282 - JANITORIAL/EXTERMINATOR EXPENS</v>
      </c>
      <c r="C82" s="12"/>
      <c r="D82" s="8">
        <v>3945.7</v>
      </c>
      <c r="E82" s="3"/>
      <c r="F82" s="7">
        <f t="shared" si="12"/>
        <v>2.3801698606528993E-3</v>
      </c>
      <c r="G82" s="3"/>
      <c r="H82" s="8">
        <v>3759</v>
      </c>
      <c r="I82" s="3"/>
      <c r="J82" s="7">
        <f t="shared" si="13"/>
        <v>2.5217824916646668E-2</v>
      </c>
      <c r="K82" s="3"/>
      <c r="L82" s="8">
        <f t="shared" si="14"/>
        <v>186.69999999999982</v>
      </c>
      <c r="M82" s="3"/>
      <c r="N82" s="7">
        <f t="shared" si="15"/>
        <v>4.9667464751263588E-2</v>
      </c>
      <c r="O82" s="12"/>
      <c r="P82" s="8">
        <v>25549.13</v>
      </c>
      <c r="Q82" s="3"/>
      <c r="R82" s="7">
        <f t="shared" si="16"/>
        <v>2.482066249396753E-3</v>
      </c>
      <c r="S82" s="3"/>
      <c r="T82" s="8">
        <v>20500.02</v>
      </c>
      <c r="U82" s="3"/>
      <c r="V82" s="7">
        <f t="shared" si="17"/>
        <v>1.6602930239390291E-2</v>
      </c>
      <c r="W82" s="3"/>
      <c r="X82" s="8">
        <f t="shared" si="18"/>
        <v>5049.1100000000006</v>
      </c>
      <c r="Y82" s="3"/>
      <c r="Z82" s="7">
        <f t="shared" si="19"/>
        <v>0.24629780848994295</v>
      </c>
    </row>
    <row r="83" spans="1:26" s="69" customFormat="1" ht="15" hidden="1" customHeight="1" outlineLevel="2" x14ac:dyDescent="0.3">
      <c r="A83" s="25"/>
      <c r="B83" s="12" t="str">
        <f>CONCATENATE("          ","6284"," - ","TRASH REMOVAL EXPENSE")</f>
        <v xml:space="preserve">          6284 - TRASH REMOVAL EXPENSE</v>
      </c>
      <c r="C83" s="12"/>
      <c r="D83" s="8"/>
      <c r="E83" s="3"/>
      <c r="F83" s="7">
        <f t="shared" si="12"/>
        <v>0</v>
      </c>
      <c r="G83" s="3"/>
      <c r="H83" s="8">
        <v>-8963</v>
      </c>
      <c r="I83" s="3"/>
      <c r="J83" s="7">
        <f t="shared" si="13"/>
        <v>-6.0129652760815132E-2</v>
      </c>
      <c r="K83" s="3"/>
      <c r="L83" s="8">
        <f t="shared" si="14"/>
        <v>8963</v>
      </c>
      <c r="M83" s="3"/>
      <c r="N83" s="7">
        <f t="shared" si="15"/>
        <v>-1</v>
      </c>
      <c r="O83" s="12"/>
      <c r="P83" s="8"/>
      <c r="Q83" s="3"/>
      <c r="R83" s="7">
        <f t="shared" si="16"/>
        <v>0</v>
      </c>
      <c r="S83" s="3"/>
      <c r="T83" s="8">
        <v>20925.75</v>
      </c>
      <c r="U83" s="3"/>
      <c r="V83" s="7">
        <f t="shared" si="17"/>
        <v>1.6947728219627169E-2</v>
      </c>
      <c r="W83" s="3"/>
      <c r="X83" s="8">
        <f t="shared" si="18"/>
        <v>-20925.75</v>
      </c>
      <c r="Y83" s="3"/>
      <c r="Z83" s="7">
        <f t="shared" si="19"/>
        <v>-1</v>
      </c>
    </row>
    <row r="84" spans="1:26" s="69" customFormat="1" ht="15" hidden="1" customHeight="1" outlineLevel="2" x14ac:dyDescent="0.3">
      <c r="A84" s="25"/>
      <c r="B84" s="12" t="str">
        <f>CONCATENATE("          ","6285"," - ","JANITORIAL SERVICES")</f>
        <v xml:space="preserve">          6285 - JANITORIAL SERVICES</v>
      </c>
      <c r="C84" s="12"/>
      <c r="D84" s="8">
        <v>18238.2</v>
      </c>
      <c r="E84" s="3"/>
      <c r="F84" s="7">
        <f t="shared" si="12"/>
        <v>1.1001853651458476E-2</v>
      </c>
      <c r="G84" s="3"/>
      <c r="H84" s="8">
        <v>13772.56</v>
      </c>
      <c r="I84" s="3"/>
      <c r="J84" s="7">
        <f t="shared" si="13"/>
        <v>9.2395319695134662E-2</v>
      </c>
      <c r="K84" s="3"/>
      <c r="L84" s="8">
        <f t="shared" si="14"/>
        <v>4465.6400000000012</v>
      </c>
      <c r="M84" s="3"/>
      <c r="N84" s="7">
        <f t="shared" si="15"/>
        <v>0.32424182577530986</v>
      </c>
      <c r="O84" s="12"/>
      <c r="P84" s="8">
        <v>162848.57</v>
      </c>
      <c r="Q84" s="3"/>
      <c r="R84" s="7">
        <f t="shared" si="16"/>
        <v>1.5820536329789883E-2</v>
      </c>
      <c r="S84" s="3"/>
      <c r="T84" s="8">
        <v>93639.73</v>
      </c>
      <c r="U84" s="3"/>
      <c r="V84" s="7">
        <f t="shared" si="17"/>
        <v>7.5838653075721005E-2</v>
      </c>
      <c r="W84" s="3"/>
      <c r="X84" s="8">
        <f t="shared" si="18"/>
        <v>69208.840000000011</v>
      </c>
      <c r="Y84" s="3"/>
      <c r="Z84" s="7">
        <f t="shared" si="19"/>
        <v>0.7390969623684307</v>
      </c>
    </row>
    <row r="85" spans="1:26" s="69" customFormat="1" ht="15" hidden="1" customHeight="1" outlineLevel="2" x14ac:dyDescent="0.3">
      <c r="A85" s="25"/>
      <c r="B85" s="12" t="str">
        <f>CONCATENATE("          ","6286"," - ","LAUNDRY EXPENSE")</f>
        <v xml:space="preserve">          6286 - LAUNDRY EXPENSE</v>
      </c>
      <c r="C85" s="12"/>
      <c r="D85" s="8">
        <v>4676.22</v>
      </c>
      <c r="E85" s="3"/>
      <c r="F85" s="7">
        <f t="shared" si="12"/>
        <v>2.8208424121910691E-3</v>
      </c>
      <c r="G85" s="3"/>
      <c r="H85" s="8">
        <v>878.23</v>
      </c>
      <c r="I85" s="3"/>
      <c r="J85" s="7">
        <f t="shared" si="13"/>
        <v>5.8917399245934036E-3</v>
      </c>
      <c r="K85" s="3"/>
      <c r="L85" s="8">
        <f t="shared" si="14"/>
        <v>3797.9900000000002</v>
      </c>
      <c r="M85" s="3"/>
      <c r="N85" s="7">
        <f t="shared" si="15"/>
        <v>4.3245960625348712</v>
      </c>
      <c r="O85" s="12"/>
      <c r="P85" s="8">
        <v>27902.15</v>
      </c>
      <c r="Q85" s="3"/>
      <c r="R85" s="7">
        <f t="shared" si="16"/>
        <v>2.7106592201223919E-3</v>
      </c>
      <c r="S85" s="3"/>
      <c r="T85" s="8">
        <v>13586.36</v>
      </c>
      <c r="U85" s="3"/>
      <c r="V85" s="7">
        <f t="shared" si="17"/>
        <v>1.1003569132480977E-2</v>
      </c>
      <c r="W85" s="3"/>
      <c r="X85" s="8">
        <f t="shared" si="18"/>
        <v>14315.79</v>
      </c>
      <c r="Y85" s="3"/>
      <c r="Z85" s="7">
        <f t="shared" si="19"/>
        <v>1.0536884051357391</v>
      </c>
    </row>
    <row r="86" spans="1:26" s="68" customFormat="1" ht="15" customHeight="1" outlineLevel="1" collapsed="1" x14ac:dyDescent="0.3">
      <c r="A86" s="26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SUM(OSRRefD22_18x_0)</f>
        <v>691.54</v>
      </c>
      <c r="E86" s="2"/>
      <c r="F86" s="6">
        <f t="shared" si="12"/>
        <v>4.1715859427627694E-4</v>
      </c>
      <c r="G86" s="2"/>
      <c r="H86" s="2">
        <f>SUM(OSRRefH22_18x_0)</f>
        <v>119.07</v>
      </c>
      <c r="I86" s="2"/>
      <c r="J86" s="6">
        <f t="shared" si="13"/>
        <v>7.9879925853288607E-4</v>
      </c>
      <c r="K86" s="2"/>
      <c r="L86" s="2">
        <f t="shared" si="14"/>
        <v>572.47</v>
      </c>
      <c r="M86" s="2"/>
      <c r="N86" s="6">
        <f t="shared" si="15"/>
        <v>4.8078441253044435</v>
      </c>
      <c r="O86" s="14"/>
      <c r="P86" s="2">
        <f>SUM(OSRRefP22_18x_0)</f>
        <v>5846.9</v>
      </c>
      <c r="Q86" s="2"/>
      <c r="R86" s="6">
        <f t="shared" si="16"/>
        <v>5.6801907358872388E-4</v>
      </c>
      <c r="S86" s="2"/>
      <c r="T86" s="2">
        <f>SUM(OSRRefT22_18x_0)</f>
        <v>1711.08</v>
      </c>
      <c r="U86" s="2"/>
      <c r="V86" s="6">
        <f t="shared" si="17"/>
        <v>1.3858006906342501E-3</v>
      </c>
      <c r="W86" s="2"/>
      <c r="X86" s="2">
        <f t="shared" si="18"/>
        <v>4135.82</v>
      </c>
      <c r="Y86" s="2"/>
      <c r="Z86" s="6">
        <f t="shared" si="19"/>
        <v>2.4170816092760128</v>
      </c>
    </row>
    <row r="87" spans="1:26" s="69" customFormat="1" ht="15" hidden="1" customHeight="1" outlineLevel="2" x14ac:dyDescent="0.3">
      <c r="A87" s="25"/>
      <c r="B87" s="12" t="str">
        <f>CONCATENATE("          ","6258"," - ","MEMBERSHIP DUES")</f>
        <v xml:space="preserve">          6258 - MEMBERSHIP DUES</v>
      </c>
      <c r="C87" s="12"/>
      <c r="D87" s="8"/>
      <c r="E87" s="3"/>
      <c r="F87" s="7">
        <f t="shared" si="12"/>
        <v>0</v>
      </c>
      <c r="G87" s="3"/>
      <c r="H87" s="8"/>
      <c r="I87" s="3"/>
      <c r="J87" s="7">
        <f t="shared" si="13"/>
        <v>0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/>
      <c r="Q87" s="3"/>
      <c r="R87" s="7">
        <f t="shared" si="16"/>
        <v>0</v>
      </c>
      <c r="S87" s="3"/>
      <c r="T87" s="8">
        <v>795</v>
      </c>
      <c r="U87" s="3"/>
      <c r="V87" s="7">
        <f t="shared" si="17"/>
        <v>6.4386910550893518E-4</v>
      </c>
      <c r="W87" s="3"/>
      <c r="X87" s="8">
        <f t="shared" si="18"/>
        <v>-795</v>
      </c>
      <c r="Y87" s="3"/>
      <c r="Z87" s="7">
        <f t="shared" si="19"/>
        <v>-1</v>
      </c>
    </row>
    <row r="88" spans="1:26" s="69" customFormat="1" ht="15" hidden="1" customHeight="1" outlineLevel="2" x14ac:dyDescent="0.3">
      <c r="A88" s="25"/>
      <c r="B88" s="12" t="str">
        <f>CONCATENATE("          ","6275"," - ","SUBSCRIPTIONS")</f>
        <v xml:space="preserve">          6275 - SUBSCRIPTIONS</v>
      </c>
      <c r="C88" s="12"/>
      <c r="D88" s="8">
        <v>691.54</v>
      </c>
      <c r="E88" s="3"/>
      <c r="F88" s="7">
        <f t="shared" si="12"/>
        <v>4.1715859427627694E-4</v>
      </c>
      <c r="G88" s="3"/>
      <c r="H88" s="8">
        <v>119.07</v>
      </c>
      <c r="I88" s="3"/>
      <c r="J88" s="7">
        <f t="shared" si="13"/>
        <v>7.9879925853288607E-4</v>
      </c>
      <c r="K88" s="3"/>
      <c r="L88" s="8">
        <f t="shared" si="14"/>
        <v>572.47</v>
      </c>
      <c r="M88" s="3"/>
      <c r="N88" s="7">
        <f t="shared" si="15"/>
        <v>4.8078441253044435</v>
      </c>
      <c r="O88" s="12"/>
      <c r="P88" s="8">
        <v>5846.9</v>
      </c>
      <c r="Q88" s="3"/>
      <c r="R88" s="7">
        <f t="shared" si="16"/>
        <v>5.6801907358872388E-4</v>
      </c>
      <c r="S88" s="3"/>
      <c r="T88" s="8">
        <v>916.08</v>
      </c>
      <c r="U88" s="3"/>
      <c r="V88" s="7">
        <f t="shared" si="17"/>
        <v>7.4193158512531488E-4</v>
      </c>
      <c r="W88" s="3"/>
      <c r="X88" s="8">
        <f t="shared" si="18"/>
        <v>4930.82</v>
      </c>
      <c r="Y88" s="3"/>
      <c r="Z88" s="7">
        <f t="shared" si="19"/>
        <v>5.3825211771897647</v>
      </c>
    </row>
    <row r="89" spans="1:26" s="68" customFormat="1" ht="15" customHeight="1" outlineLevel="1" collapsed="1" x14ac:dyDescent="0.3">
      <c r="A89" s="26"/>
      <c r="B89" s="14" t="str">
        <f>CONCATENATE("     ","Supplies                                          ")</f>
        <v xml:space="preserve">     Supplies                                          </v>
      </c>
      <c r="C89" s="14"/>
      <c r="D89" s="2">
        <f>SUM(OSRRefD22_19x_0)</f>
        <v>25333.040000000001</v>
      </c>
      <c r="E89" s="2"/>
      <c r="F89" s="6">
        <f t="shared" si="12"/>
        <v>1.5281683424161575E-2</v>
      </c>
      <c r="G89" s="2"/>
      <c r="H89" s="2">
        <f>SUM(OSRRefH22_19x_0)</f>
        <v>7584.1299999999992</v>
      </c>
      <c r="I89" s="2"/>
      <c r="J89" s="6">
        <f t="shared" si="13"/>
        <v>5.0879293026094036E-2</v>
      </c>
      <c r="K89" s="2"/>
      <c r="L89" s="2">
        <f t="shared" si="14"/>
        <v>17748.910000000003</v>
      </c>
      <c r="M89" s="2"/>
      <c r="N89" s="6">
        <f t="shared" si="15"/>
        <v>2.3402697474858694</v>
      </c>
      <c r="O89" s="14"/>
      <c r="P89" s="2">
        <f>SUM(OSRRefP22_19x_0)</f>
        <v>296681.7</v>
      </c>
      <c r="Q89" s="2"/>
      <c r="R89" s="6">
        <f t="shared" si="16"/>
        <v>2.8822258698580055E-2</v>
      </c>
      <c r="S89" s="2"/>
      <c r="T89" s="2">
        <f>SUM(OSRRefT22_19x_0)</f>
        <v>98808.640000000014</v>
      </c>
      <c r="U89" s="2"/>
      <c r="V89" s="6">
        <f t="shared" si="17"/>
        <v>8.0024944218055852E-2</v>
      </c>
      <c r="W89" s="2"/>
      <c r="X89" s="2">
        <f t="shared" si="18"/>
        <v>197873.06</v>
      </c>
      <c r="Y89" s="2"/>
      <c r="Z89" s="6">
        <f t="shared" si="19"/>
        <v>2.002588640021763</v>
      </c>
    </row>
    <row r="90" spans="1:26" s="69" customFormat="1" ht="15" hidden="1" customHeight="1" outlineLevel="2" x14ac:dyDescent="0.3">
      <c r="A90" s="25"/>
      <c r="B90" s="12" t="str">
        <f>CONCATENATE("          ","6234"," - ","EXPENDABLE SUPPLIES &amp; EQUIPMEN")</f>
        <v xml:space="preserve">          6234 - EXPENDABLE SUPPLIES &amp; EQUIPMEN</v>
      </c>
      <c r="C90" s="12"/>
      <c r="D90" s="8">
        <v>108.73</v>
      </c>
      <c r="E90" s="3"/>
      <c r="F90" s="7">
        <f t="shared" si="12"/>
        <v>6.5589342562483153E-5</v>
      </c>
      <c r="G90" s="3"/>
      <c r="H90" s="8"/>
      <c r="I90" s="3"/>
      <c r="J90" s="7">
        <f t="shared" si="13"/>
        <v>0</v>
      </c>
      <c r="K90" s="3"/>
      <c r="L90" s="8">
        <f t="shared" si="14"/>
        <v>108.73</v>
      </c>
      <c r="M90" s="3"/>
      <c r="N90" s="7">
        <f t="shared" si="15"/>
        <v>0</v>
      </c>
      <c r="O90" s="12"/>
      <c r="P90" s="8">
        <v>503.48</v>
      </c>
      <c r="Q90" s="3"/>
      <c r="R90" s="7">
        <f t="shared" si="16"/>
        <v>4.8912456715601558E-5</v>
      </c>
      <c r="S90" s="3"/>
      <c r="T90" s="8">
        <v>310.91000000000003</v>
      </c>
      <c r="U90" s="3"/>
      <c r="V90" s="7">
        <f t="shared" si="17"/>
        <v>2.518054636399787E-4</v>
      </c>
      <c r="W90" s="3"/>
      <c r="X90" s="8">
        <f t="shared" si="18"/>
        <v>192.57</v>
      </c>
      <c r="Y90" s="3"/>
      <c r="Z90" s="7">
        <f t="shared" si="19"/>
        <v>0.61937538194332753</v>
      </c>
    </row>
    <row r="91" spans="1:26" s="69" customFormat="1" ht="15" hidden="1" customHeight="1" outlineLevel="2" x14ac:dyDescent="0.3">
      <c r="A91" s="25"/>
      <c r="B91" s="12" t="str">
        <f>CONCATENATE("          ","6235"," - ","COVID-19 EXPENSES")</f>
        <v xml:space="preserve">          6235 - COVID-19 EXPENSES</v>
      </c>
      <c r="C91" s="12"/>
      <c r="D91" s="8">
        <v>107.16</v>
      </c>
      <c r="E91" s="3"/>
      <c r="F91" s="7">
        <f t="shared" si="12"/>
        <v>6.4642269373638313E-5</v>
      </c>
      <c r="G91" s="3"/>
      <c r="H91" s="8"/>
      <c r="I91" s="3"/>
      <c r="J91" s="7">
        <f t="shared" si="13"/>
        <v>0</v>
      </c>
      <c r="K91" s="3"/>
      <c r="L91" s="8">
        <f t="shared" si="14"/>
        <v>107.16</v>
      </c>
      <c r="M91" s="3"/>
      <c r="N91" s="7">
        <f t="shared" si="15"/>
        <v>0</v>
      </c>
      <c r="O91" s="12"/>
      <c r="P91" s="8">
        <v>777.84</v>
      </c>
      <c r="Q91" s="3"/>
      <c r="R91" s="7">
        <f t="shared" si="16"/>
        <v>7.5566189981058853E-5</v>
      </c>
      <c r="S91" s="3"/>
      <c r="T91" s="8">
        <v>60451.41</v>
      </c>
      <c r="U91" s="3"/>
      <c r="V91" s="7">
        <f t="shared" si="17"/>
        <v>4.8959490922583525E-2</v>
      </c>
      <c r="W91" s="3"/>
      <c r="X91" s="8">
        <f t="shared" si="18"/>
        <v>-59673.570000000007</v>
      </c>
      <c r="Y91" s="3"/>
      <c r="Z91" s="7">
        <f t="shared" si="19"/>
        <v>-0.98713280633156453</v>
      </c>
    </row>
    <row r="92" spans="1:26" s="69" customFormat="1" ht="15" hidden="1" customHeight="1" outlineLevel="2" x14ac:dyDescent="0.3">
      <c r="A92" s="25"/>
      <c r="B92" s="12" t="str">
        <f>CONCATENATE("          ","6237"," - ","JANITORIAL SUPPLIES")</f>
        <v xml:space="preserve">          6237 - JANITORIAL SUPPLIES</v>
      </c>
      <c r="C92" s="12"/>
      <c r="D92" s="8">
        <v>6270.33</v>
      </c>
      <c r="E92" s="3"/>
      <c r="F92" s="7">
        <f t="shared" ref="F92:F107" si="20">IF(D$12=0,0,D92/D$12)</f>
        <v>3.7824595084136386E-3</v>
      </c>
      <c r="G92" s="3"/>
      <c r="H92" s="8">
        <v>1954.49</v>
      </c>
      <c r="I92" s="3"/>
      <c r="J92" s="7">
        <f t="shared" ref="J92:J107" si="21">IF(H$12=0,0,H92/H$12)</f>
        <v>1.3111994312672718E-2</v>
      </c>
      <c r="K92" s="3"/>
      <c r="L92" s="8">
        <f t="shared" ref="L92:L107" si="22">+D92-H92</f>
        <v>4315.84</v>
      </c>
      <c r="M92" s="3"/>
      <c r="N92" s="7">
        <f t="shared" ref="N92:N107" si="23">IF(H92=0,0,L92/H92)</f>
        <v>2.208166836361404</v>
      </c>
      <c r="O92" s="12"/>
      <c r="P92" s="8">
        <v>55820.42</v>
      </c>
      <c r="Q92" s="3"/>
      <c r="R92" s="7">
        <f t="shared" ref="R92:R107" si="24">IF(P$12=0,0,P92/P$12)</f>
        <v>5.4228844782249529E-3</v>
      </c>
      <c r="S92" s="3"/>
      <c r="T92" s="8">
        <v>20198.2</v>
      </c>
      <c r="U92" s="3"/>
      <c r="V92" s="7">
        <f t="shared" ref="V92:V107" si="25">IF(T$12=0,0,T92/T$12)</f>
        <v>1.6358486750805753E-2</v>
      </c>
      <c r="W92" s="3"/>
      <c r="X92" s="8">
        <f t="shared" ref="X92:X107" si="26">+P92-T92</f>
        <v>35622.22</v>
      </c>
      <c r="Y92" s="3"/>
      <c r="Z92" s="7">
        <f t="shared" ref="Z92:Z107" si="27">IF(T92=0,0,X92/T92)</f>
        <v>1.7636333930746304</v>
      </c>
    </row>
    <row r="93" spans="1:26" s="69" customFormat="1" ht="15" hidden="1" customHeight="1" outlineLevel="2" x14ac:dyDescent="0.3">
      <c r="A93" s="25"/>
      <c r="B93" s="12" t="str">
        <f>CONCATENATE("          ","6239"," - ","KITCHEN SUPPLIES")</f>
        <v xml:space="preserve">          6239 - KITCHEN SUPPLIES</v>
      </c>
      <c r="C93" s="12"/>
      <c r="D93" s="8">
        <v>3919.57</v>
      </c>
      <c r="E93" s="3"/>
      <c r="F93" s="7">
        <f t="shared" si="20"/>
        <v>2.3644074259876031E-3</v>
      </c>
      <c r="G93" s="3"/>
      <c r="H93" s="8">
        <v>39.75</v>
      </c>
      <c r="I93" s="3"/>
      <c r="J93" s="7">
        <f t="shared" si="21"/>
        <v>2.666689386636619E-4</v>
      </c>
      <c r="K93" s="3"/>
      <c r="L93" s="8">
        <f t="shared" si="22"/>
        <v>3879.82</v>
      </c>
      <c r="M93" s="3"/>
      <c r="N93" s="7">
        <f t="shared" si="23"/>
        <v>97.605534591194967</v>
      </c>
      <c r="O93" s="12"/>
      <c r="P93" s="8">
        <v>36518.870000000003</v>
      </c>
      <c r="Q93" s="3"/>
      <c r="R93" s="7">
        <f t="shared" si="24"/>
        <v>3.5477628668024157E-3</v>
      </c>
      <c r="S93" s="3"/>
      <c r="T93" s="8">
        <v>7106.91</v>
      </c>
      <c r="U93" s="3"/>
      <c r="V93" s="7">
        <f t="shared" si="25"/>
        <v>5.7558739429339704E-3</v>
      </c>
      <c r="W93" s="3"/>
      <c r="X93" s="8">
        <f t="shared" si="26"/>
        <v>29411.960000000003</v>
      </c>
      <c r="Y93" s="3"/>
      <c r="Z93" s="7">
        <f t="shared" si="27"/>
        <v>4.1385018242808762</v>
      </c>
    </row>
    <row r="94" spans="1:26" s="69" customFormat="1" ht="15" hidden="1" customHeight="1" outlineLevel="2" x14ac:dyDescent="0.3">
      <c r="A94" s="25"/>
      <c r="B94" s="12" t="str">
        <f>CONCATENATE("          ","6241"," - ","OFFICE EXPENSE")</f>
        <v xml:space="preserve">          6241 - OFFICE EXPENSE</v>
      </c>
      <c r="C94" s="12"/>
      <c r="D94" s="8">
        <v>1123.8800000000001</v>
      </c>
      <c r="E94" s="3"/>
      <c r="F94" s="7">
        <f t="shared" si="20"/>
        <v>6.7795962769358559E-4</v>
      </c>
      <c r="G94" s="3"/>
      <c r="H94" s="8">
        <v>1406.91</v>
      </c>
      <c r="I94" s="3"/>
      <c r="J94" s="7">
        <f t="shared" si="21"/>
        <v>9.4384703520828325E-3</v>
      </c>
      <c r="K94" s="3"/>
      <c r="L94" s="8">
        <f t="shared" si="22"/>
        <v>-283.02999999999997</v>
      </c>
      <c r="M94" s="3"/>
      <c r="N94" s="7">
        <f t="shared" si="23"/>
        <v>-0.20117136135218311</v>
      </c>
      <c r="O94" s="12"/>
      <c r="P94" s="8">
        <v>24472.400000000001</v>
      </c>
      <c r="Q94" s="3"/>
      <c r="R94" s="7">
        <f t="shared" si="24"/>
        <v>2.377463267114657E-3</v>
      </c>
      <c r="S94" s="3"/>
      <c r="T94" s="8">
        <v>-22261.34</v>
      </c>
      <c r="U94" s="3"/>
      <c r="V94" s="7">
        <f t="shared" si="25"/>
        <v>-1.802942021789972E-2</v>
      </c>
      <c r="W94" s="3"/>
      <c r="X94" s="8">
        <f t="shared" si="26"/>
        <v>46733.740000000005</v>
      </c>
      <c r="Y94" s="3"/>
      <c r="Z94" s="7">
        <f t="shared" si="27"/>
        <v>-2.0993228619660815</v>
      </c>
    </row>
    <row r="95" spans="1:26" s="69" customFormat="1" ht="15" hidden="1" customHeight="1" outlineLevel="2" x14ac:dyDescent="0.3">
      <c r="A95" s="25"/>
      <c r="B95" s="12" t="str">
        <f>CONCATENATE("          ","6243"," - ","PAPER SUPPLIES")</f>
        <v xml:space="preserve">          6243 - PAPER SUPPLIES</v>
      </c>
      <c r="C95" s="12"/>
      <c r="D95" s="8">
        <v>12116.33</v>
      </c>
      <c r="E95" s="3"/>
      <c r="F95" s="7">
        <f t="shared" si="20"/>
        <v>7.3089498663670687E-3</v>
      </c>
      <c r="G95" s="3"/>
      <c r="H95" s="8">
        <v>4182.9799999999996</v>
      </c>
      <c r="I95" s="3"/>
      <c r="J95" s="7">
        <f t="shared" si="21"/>
        <v>2.8062159422674825E-2</v>
      </c>
      <c r="K95" s="3"/>
      <c r="L95" s="8">
        <f t="shared" si="22"/>
        <v>7933.35</v>
      </c>
      <c r="M95" s="3"/>
      <c r="N95" s="7">
        <f t="shared" si="23"/>
        <v>1.89657851579496</v>
      </c>
      <c r="O95" s="12"/>
      <c r="P95" s="8">
        <v>165429.81</v>
      </c>
      <c r="Q95" s="3"/>
      <c r="R95" s="7">
        <f t="shared" si="24"/>
        <v>1.6071300590083399E-2</v>
      </c>
      <c r="S95" s="3"/>
      <c r="T95" s="8">
        <v>28501.96</v>
      </c>
      <c r="U95" s="3"/>
      <c r="V95" s="7">
        <f t="shared" si="25"/>
        <v>2.3083687409372892E-2</v>
      </c>
      <c r="W95" s="3"/>
      <c r="X95" s="8">
        <f t="shared" si="26"/>
        <v>136927.85</v>
      </c>
      <c r="Y95" s="3"/>
      <c r="Z95" s="7">
        <f t="shared" si="27"/>
        <v>4.804155573862289</v>
      </c>
    </row>
    <row r="96" spans="1:26" s="69" customFormat="1" ht="15" hidden="1" customHeight="1" outlineLevel="2" x14ac:dyDescent="0.3">
      <c r="A96" s="25"/>
      <c r="B96" s="12" t="str">
        <f>CONCATENATE("          ","6245"," - ","PRINTING")</f>
        <v xml:space="preserve">          6245 - PRINTING</v>
      </c>
      <c r="C96" s="12"/>
      <c r="D96" s="8"/>
      <c r="E96" s="3"/>
      <c r="F96" s="7">
        <f t="shared" si="20"/>
        <v>0</v>
      </c>
      <c r="G96" s="3"/>
      <c r="H96" s="8"/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>
        <v>1071</v>
      </c>
      <c r="Q96" s="3"/>
      <c r="R96" s="7">
        <f t="shared" si="24"/>
        <v>1.0404631989832618E-4</v>
      </c>
      <c r="S96" s="3"/>
      <c r="T96" s="8"/>
      <c r="U96" s="3"/>
      <c r="V96" s="7">
        <f t="shared" si="25"/>
        <v>0</v>
      </c>
      <c r="W96" s="3"/>
      <c r="X96" s="8">
        <f t="shared" si="26"/>
        <v>1071</v>
      </c>
      <c r="Y96" s="3"/>
      <c r="Z96" s="7">
        <f t="shared" si="27"/>
        <v>0</v>
      </c>
    </row>
    <row r="97" spans="1:26" s="69" customFormat="1" ht="15" hidden="1" customHeight="1" outlineLevel="2" x14ac:dyDescent="0.3">
      <c r="A97" s="25"/>
      <c r="B97" s="12" t="str">
        <f>CONCATENATE("          ","6247"," - ","STORE SUPPLIES")</f>
        <v xml:space="preserve">          6247 - STORE SUPPLIES</v>
      </c>
      <c r="C97" s="12"/>
      <c r="D97" s="8">
        <v>89.38</v>
      </c>
      <c r="E97" s="3"/>
      <c r="F97" s="7">
        <f t="shared" si="20"/>
        <v>5.3916816317803213E-5</v>
      </c>
      <c r="G97" s="3"/>
      <c r="H97" s="8"/>
      <c r="I97" s="3"/>
      <c r="J97" s="7">
        <f t="shared" si="21"/>
        <v>0</v>
      </c>
      <c r="K97" s="3"/>
      <c r="L97" s="8">
        <f t="shared" si="22"/>
        <v>89.38</v>
      </c>
      <c r="M97" s="3"/>
      <c r="N97" s="7">
        <f t="shared" si="23"/>
        <v>0</v>
      </c>
      <c r="O97" s="12"/>
      <c r="P97" s="8">
        <v>2754.49</v>
      </c>
      <c r="Q97" s="3"/>
      <c r="R97" s="7">
        <f t="shared" si="24"/>
        <v>2.6759528263000976E-4</v>
      </c>
      <c r="S97" s="3"/>
      <c r="T97" s="8"/>
      <c r="U97" s="3"/>
      <c r="V97" s="7">
        <f t="shared" si="25"/>
        <v>0</v>
      </c>
      <c r="W97" s="3"/>
      <c r="X97" s="8">
        <f t="shared" si="26"/>
        <v>2754.49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5"/>
      <c r="B98" s="12" t="str">
        <f>CONCATENATE("          ","6248"," - ","UNIFORMS")</f>
        <v xml:space="preserve">          6248 - UNIFORMS</v>
      </c>
      <c r="C98" s="12"/>
      <c r="D98" s="8">
        <v>1597.66</v>
      </c>
      <c r="E98" s="3"/>
      <c r="F98" s="7">
        <f t="shared" si="20"/>
        <v>9.637585674457539E-4</v>
      </c>
      <c r="G98" s="3"/>
      <c r="H98" s="8"/>
      <c r="I98" s="3"/>
      <c r="J98" s="7">
        <f t="shared" si="21"/>
        <v>0</v>
      </c>
      <c r="K98" s="3"/>
      <c r="L98" s="8">
        <f t="shared" si="22"/>
        <v>1597.66</v>
      </c>
      <c r="M98" s="3"/>
      <c r="N98" s="7">
        <f t="shared" si="23"/>
        <v>0</v>
      </c>
      <c r="O98" s="12"/>
      <c r="P98" s="8">
        <v>9333.39</v>
      </c>
      <c r="Q98" s="3"/>
      <c r="R98" s="7">
        <f t="shared" si="24"/>
        <v>9.0672724712963443E-4</v>
      </c>
      <c r="S98" s="3"/>
      <c r="T98" s="8">
        <v>4500.59</v>
      </c>
      <c r="U98" s="3"/>
      <c r="V98" s="7">
        <f t="shared" si="25"/>
        <v>3.6450199466194449E-3</v>
      </c>
      <c r="W98" s="3"/>
      <c r="X98" s="8">
        <f t="shared" si="26"/>
        <v>4832.7999999999993</v>
      </c>
      <c r="Y98" s="3"/>
      <c r="Z98" s="7">
        <f t="shared" si="27"/>
        <v>1.073814766508391</v>
      </c>
    </row>
    <row r="99" spans="1:26" s="68" customFormat="1" ht="15" customHeight="1" outlineLevel="1" collapsed="1" x14ac:dyDescent="0.3">
      <c r="A99" s="26"/>
      <c r="B99" s="14" t="str">
        <f>CONCATENATE("     ","Telephone/Data Lines                              ")</f>
        <v xml:space="preserve">     Telephone/Data Lines                              </v>
      </c>
      <c r="C99" s="14"/>
      <c r="D99" s="2">
        <f>SUM(OSRRefD22_20x_0)</f>
        <v>1394.15</v>
      </c>
      <c r="E99" s="2"/>
      <c r="F99" s="6">
        <f t="shared" si="20"/>
        <v>8.4099495938090574E-4</v>
      </c>
      <c r="G99" s="2"/>
      <c r="H99" s="2">
        <f>SUM(OSRRefH22_20x_0)</f>
        <v>648</v>
      </c>
      <c r="I99" s="2"/>
      <c r="J99" s="6">
        <f t="shared" si="21"/>
        <v>4.3472068491585639E-3</v>
      </c>
      <c r="K99" s="2"/>
      <c r="L99" s="2">
        <f t="shared" si="22"/>
        <v>746.15000000000009</v>
      </c>
      <c r="M99" s="2"/>
      <c r="N99" s="6">
        <f t="shared" si="23"/>
        <v>1.1514660493827162</v>
      </c>
      <c r="O99" s="14"/>
      <c r="P99" s="2">
        <f>SUM(OSRRefP22_20x_0)</f>
        <v>12376.39</v>
      </c>
      <c r="Q99" s="2"/>
      <c r="R99" s="6">
        <f t="shared" si="24"/>
        <v>1.2023509179518628E-3</v>
      </c>
      <c r="S99" s="2"/>
      <c r="T99" s="2">
        <f>SUM(OSRRefT22_20x_0)</f>
        <v>10124.73</v>
      </c>
      <c r="U99" s="2"/>
      <c r="V99" s="6">
        <f t="shared" si="25"/>
        <v>8.2000010674458876E-3</v>
      </c>
      <c r="W99" s="2"/>
      <c r="X99" s="2">
        <f t="shared" si="26"/>
        <v>2251.66</v>
      </c>
      <c r="Y99" s="2"/>
      <c r="Z99" s="6">
        <f t="shared" si="27"/>
        <v>0.22239210329559406</v>
      </c>
    </row>
    <row r="100" spans="1:26" s="69" customFormat="1" ht="15" hidden="1" customHeight="1" outlineLevel="2" x14ac:dyDescent="0.3">
      <c r="A100" s="25"/>
      <c r="B100" s="12" t="str">
        <f>CONCATENATE("          ","6309"," - ","TELEPHONE")</f>
        <v xml:space="preserve">          6309 - TELEPHONE</v>
      </c>
      <c r="C100" s="12"/>
      <c r="D100" s="8">
        <v>1394.15</v>
      </c>
      <c r="E100" s="3"/>
      <c r="F100" s="7">
        <f t="shared" si="20"/>
        <v>8.4099495938090574E-4</v>
      </c>
      <c r="G100" s="3"/>
      <c r="H100" s="8">
        <v>648</v>
      </c>
      <c r="I100" s="3"/>
      <c r="J100" s="7">
        <f t="shared" si="21"/>
        <v>4.3472068491585639E-3</v>
      </c>
      <c r="K100" s="3"/>
      <c r="L100" s="8">
        <f t="shared" si="22"/>
        <v>746.15000000000009</v>
      </c>
      <c r="M100" s="3"/>
      <c r="N100" s="7">
        <f t="shared" si="23"/>
        <v>1.1514660493827162</v>
      </c>
      <c r="O100" s="12"/>
      <c r="P100" s="8">
        <v>12376.39</v>
      </c>
      <c r="Q100" s="3"/>
      <c r="R100" s="7">
        <f t="shared" si="24"/>
        <v>1.2023509179518628E-3</v>
      </c>
      <c r="S100" s="3"/>
      <c r="T100" s="8">
        <v>10124.73</v>
      </c>
      <c r="U100" s="3"/>
      <c r="V100" s="7">
        <f t="shared" si="25"/>
        <v>8.2000010674458876E-3</v>
      </c>
      <c r="W100" s="3"/>
      <c r="X100" s="8">
        <f t="shared" si="26"/>
        <v>2251.66</v>
      </c>
      <c r="Y100" s="3"/>
      <c r="Z100" s="7">
        <f t="shared" si="27"/>
        <v>0.22239210329559406</v>
      </c>
    </row>
    <row r="101" spans="1:26" s="68" customFormat="1" ht="15" customHeight="1" outlineLevel="1" collapsed="1" x14ac:dyDescent="0.3">
      <c r="A101" s="26"/>
      <c r="B101" s="14" t="str">
        <f>CONCATENATE("     ","Training                                          ")</f>
        <v xml:space="preserve">     Training                                          </v>
      </c>
      <c r="C101" s="14"/>
      <c r="D101" s="2">
        <f>SUM(OSRRefD22_21x_0)</f>
        <v>2465.1</v>
      </c>
      <c r="E101" s="2"/>
      <c r="F101" s="6">
        <f t="shared" si="20"/>
        <v>1.4870255527524804E-3</v>
      </c>
      <c r="G101" s="2"/>
      <c r="H101" s="2">
        <f>SUM(OSRRefH22_21x_0)</f>
        <v>51.23</v>
      </c>
      <c r="I101" s="2"/>
      <c r="J101" s="6">
        <f t="shared" si="21"/>
        <v>3.436842698802364E-4</v>
      </c>
      <c r="K101" s="2"/>
      <c r="L101" s="2">
        <f t="shared" si="22"/>
        <v>2413.87</v>
      </c>
      <c r="M101" s="2"/>
      <c r="N101" s="6">
        <f t="shared" si="23"/>
        <v>47.118290064415383</v>
      </c>
      <c r="O101" s="14"/>
      <c r="P101" s="2">
        <f>SUM(OSRRefP22_21x_0)</f>
        <v>8338.9699999999993</v>
      </c>
      <c r="Q101" s="2"/>
      <c r="R101" s="6">
        <f t="shared" si="24"/>
        <v>8.1012057912469189E-4</v>
      </c>
      <c r="S101" s="2"/>
      <c r="T101" s="2">
        <f>SUM(OSRRefT22_21x_0)</f>
        <v>1186.23</v>
      </c>
      <c r="U101" s="2"/>
      <c r="V101" s="6">
        <f t="shared" si="25"/>
        <v>9.607255962614643E-4</v>
      </c>
      <c r="W101" s="2"/>
      <c r="X101" s="2">
        <f t="shared" si="26"/>
        <v>7152.74</v>
      </c>
      <c r="Y101" s="2"/>
      <c r="Z101" s="6">
        <f t="shared" si="27"/>
        <v>6.0298087217487328</v>
      </c>
    </row>
    <row r="102" spans="1:26" s="69" customFormat="1" ht="15" hidden="1" customHeight="1" outlineLevel="2" x14ac:dyDescent="0.3">
      <c r="A102" s="25"/>
      <c r="B102" s="12" t="str">
        <f>CONCATENATE("          ","6376"," - ","TRAINING")</f>
        <v xml:space="preserve">          6376 - TRAINING</v>
      </c>
      <c r="C102" s="12"/>
      <c r="D102" s="8">
        <v>2465.1</v>
      </c>
      <c r="E102" s="3"/>
      <c r="F102" s="7">
        <f t="shared" si="20"/>
        <v>1.4870255527524804E-3</v>
      </c>
      <c r="G102" s="3"/>
      <c r="H102" s="8">
        <v>51.23</v>
      </c>
      <c r="I102" s="3"/>
      <c r="J102" s="7">
        <f t="shared" si="21"/>
        <v>3.436842698802364E-4</v>
      </c>
      <c r="K102" s="3"/>
      <c r="L102" s="8">
        <f t="shared" si="22"/>
        <v>2413.87</v>
      </c>
      <c r="M102" s="3"/>
      <c r="N102" s="7">
        <f t="shared" si="23"/>
        <v>47.118290064415383</v>
      </c>
      <c r="O102" s="12"/>
      <c r="P102" s="8">
        <v>8338.9699999999993</v>
      </c>
      <c r="Q102" s="3"/>
      <c r="R102" s="7">
        <f t="shared" si="24"/>
        <v>8.1012057912469189E-4</v>
      </c>
      <c r="S102" s="3"/>
      <c r="T102" s="8">
        <v>1186.23</v>
      </c>
      <c r="U102" s="3"/>
      <c r="V102" s="7">
        <f t="shared" si="25"/>
        <v>9.607255962614643E-4</v>
      </c>
      <c r="W102" s="3"/>
      <c r="X102" s="8">
        <f t="shared" si="26"/>
        <v>7152.74</v>
      </c>
      <c r="Y102" s="3"/>
      <c r="Z102" s="7">
        <f t="shared" si="27"/>
        <v>6.0298087217487328</v>
      </c>
    </row>
    <row r="103" spans="1:26" s="68" customFormat="1" ht="15" customHeight="1" outlineLevel="1" collapsed="1" x14ac:dyDescent="0.3">
      <c r="A103" s="26"/>
      <c r="B103" s="14" t="str">
        <f>CONCATENATE("     ","Travel                                            ")</f>
        <v xml:space="preserve">     Travel                                            </v>
      </c>
      <c r="C103" s="14"/>
      <c r="D103" s="2">
        <f>SUM(OSRRefD22_22x_0)</f>
        <v>135.02000000000001</v>
      </c>
      <c r="E103" s="2"/>
      <c r="F103" s="6">
        <f t="shared" si="20"/>
        <v>8.1448294240655519E-5</v>
      </c>
      <c r="G103" s="2"/>
      <c r="H103" s="2">
        <f>SUM(OSRRefH22_22x_0)</f>
        <v>0</v>
      </c>
      <c r="I103" s="2"/>
      <c r="J103" s="6">
        <f t="shared" si="21"/>
        <v>0</v>
      </c>
      <c r="K103" s="2"/>
      <c r="L103" s="2">
        <f t="shared" si="22"/>
        <v>135.02000000000001</v>
      </c>
      <c r="M103" s="2"/>
      <c r="N103" s="6">
        <f t="shared" si="23"/>
        <v>0</v>
      </c>
      <c r="O103" s="14"/>
      <c r="P103" s="2">
        <f>SUM(OSRRefP22_22x_0)</f>
        <v>975.28</v>
      </c>
      <c r="Q103" s="2"/>
      <c r="R103" s="6">
        <f t="shared" si="24"/>
        <v>9.4747240775387075E-5</v>
      </c>
      <c r="S103" s="2"/>
      <c r="T103" s="2">
        <f>SUM(OSRRefT22_22x_0)</f>
        <v>332.21</v>
      </c>
      <c r="U103" s="2"/>
      <c r="V103" s="6">
        <f t="shared" si="25"/>
        <v>2.6905629627814258E-4</v>
      </c>
      <c r="W103" s="2"/>
      <c r="X103" s="2">
        <f t="shared" si="26"/>
        <v>643.06999999999994</v>
      </c>
      <c r="Y103" s="2"/>
      <c r="Z103" s="6">
        <f t="shared" si="27"/>
        <v>1.9357334216308961</v>
      </c>
    </row>
    <row r="104" spans="1:26" s="69" customFormat="1" ht="15" hidden="1" customHeight="1" outlineLevel="2" x14ac:dyDescent="0.3">
      <c r="A104" s="25"/>
      <c r="B104" s="12" t="str">
        <f>CONCATENATE("          ","6292"," - ","TRAVEL/CONFERENCE")</f>
        <v xml:space="preserve">          6292 - TRAVEL/CONFERENCE</v>
      </c>
      <c r="C104" s="12"/>
      <c r="D104" s="8"/>
      <c r="E104" s="3"/>
      <c r="F104" s="7">
        <f t="shared" si="20"/>
        <v>0</v>
      </c>
      <c r="G104" s="3"/>
      <c r="H104" s="8"/>
      <c r="I104" s="3"/>
      <c r="J104" s="7">
        <f t="shared" si="21"/>
        <v>0</v>
      </c>
      <c r="K104" s="3"/>
      <c r="L104" s="8">
        <f t="shared" si="22"/>
        <v>0</v>
      </c>
      <c r="M104" s="3"/>
      <c r="N104" s="7">
        <f t="shared" si="23"/>
        <v>0</v>
      </c>
      <c r="O104" s="12"/>
      <c r="P104" s="8">
        <v>613.59</v>
      </c>
      <c r="Q104" s="3"/>
      <c r="R104" s="7">
        <f t="shared" si="24"/>
        <v>5.960950646723993E-5</v>
      </c>
      <c r="S104" s="3"/>
      <c r="T104" s="8"/>
      <c r="U104" s="3"/>
      <c r="V104" s="7">
        <f t="shared" si="25"/>
        <v>0</v>
      </c>
      <c r="W104" s="3"/>
      <c r="X104" s="8">
        <f t="shared" si="26"/>
        <v>613.59</v>
      </c>
      <c r="Y104" s="3"/>
      <c r="Z104" s="7">
        <f t="shared" si="27"/>
        <v>0</v>
      </c>
    </row>
    <row r="105" spans="1:26" s="69" customFormat="1" ht="15" hidden="1" customHeight="1" outlineLevel="2" x14ac:dyDescent="0.3">
      <c r="A105" s="25"/>
      <c r="B105" s="12" t="str">
        <f>CONCATENATE("          ","6298"," - ","VEHICLE MILEAGE")</f>
        <v xml:space="preserve">          6298 - VEHICLE MILEAGE</v>
      </c>
      <c r="C105" s="12"/>
      <c r="D105" s="8">
        <v>135.02000000000001</v>
      </c>
      <c r="E105" s="3"/>
      <c r="F105" s="7">
        <f t="shared" si="20"/>
        <v>8.1448294240655519E-5</v>
      </c>
      <c r="G105" s="3"/>
      <c r="H105" s="8"/>
      <c r="I105" s="3"/>
      <c r="J105" s="7">
        <f t="shared" si="21"/>
        <v>0</v>
      </c>
      <c r="K105" s="3"/>
      <c r="L105" s="8">
        <f t="shared" si="22"/>
        <v>135.02000000000001</v>
      </c>
      <c r="M105" s="3"/>
      <c r="N105" s="7">
        <f t="shared" si="23"/>
        <v>0</v>
      </c>
      <c r="O105" s="12"/>
      <c r="P105" s="8">
        <v>361.69</v>
      </c>
      <c r="Q105" s="3"/>
      <c r="R105" s="7">
        <f t="shared" si="24"/>
        <v>3.5137734308147151E-5</v>
      </c>
      <c r="S105" s="3"/>
      <c r="T105" s="8">
        <v>332.21</v>
      </c>
      <c r="U105" s="3"/>
      <c r="V105" s="7">
        <f t="shared" si="25"/>
        <v>2.6905629627814258E-4</v>
      </c>
      <c r="W105" s="3"/>
      <c r="X105" s="8">
        <f t="shared" si="26"/>
        <v>29.480000000000018</v>
      </c>
      <c r="Y105" s="3"/>
      <c r="Z105" s="7">
        <f t="shared" si="27"/>
        <v>8.8739050600523825E-2</v>
      </c>
    </row>
    <row r="106" spans="1:26" s="68" customFormat="1" ht="15" customHeight="1" outlineLevel="1" collapsed="1" x14ac:dyDescent="0.3">
      <c r="A106" s="26"/>
      <c r="B106" s="14" t="str">
        <f>CONCATENATE("     ","Utilities                                         ")</f>
        <v xml:space="preserve">     Utilities                                         </v>
      </c>
      <c r="C106" s="14"/>
      <c r="D106" s="2">
        <f>SUM(OSRRefD22_23x_0)</f>
        <v>8150</v>
      </c>
      <c r="E106" s="2"/>
      <c r="F106" s="6">
        <f t="shared" si="20"/>
        <v>4.9163353433664828E-3</v>
      </c>
      <c r="G106" s="2"/>
      <c r="H106" s="2">
        <f>SUM(OSRRefH22_23x_0)</f>
        <v>-9772</v>
      </c>
      <c r="I106" s="2"/>
      <c r="J106" s="6">
        <f t="shared" si="21"/>
        <v>-6.5556952669718338E-2</v>
      </c>
      <c r="K106" s="2"/>
      <c r="L106" s="2">
        <f t="shared" si="22"/>
        <v>17922</v>
      </c>
      <c r="M106" s="2"/>
      <c r="N106" s="6">
        <f t="shared" si="23"/>
        <v>-1.8340155546459271</v>
      </c>
      <c r="O106" s="14"/>
      <c r="P106" s="2">
        <f>SUM(OSRRefP22_23x_0)</f>
        <v>70950</v>
      </c>
      <c r="Q106" s="2"/>
      <c r="R106" s="6">
        <f t="shared" si="24"/>
        <v>6.892704385421328E-3</v>
      </c>
      <c r="S106" s="2"/>
      <c r="T106" s="2">
        <f>SUM(OSRRefT22_23x_0)</f>
        <v>-1460</v>
      </c>
      <c r="U106" s="2"/>
      <c r="V106" s="6">
        <f t="shared" si="25"/>
        <v>-1.1824514390478557E-3</v>
      </c>
      <c r="W106" s="2"/>
      <c r="X106" s="2">
        <f t="shared" si="26"/>
        <v>72410</v>
      </c>
      <c r="Y106" s="2"/>
      <c r="Z106" s="6">
        <f t="shared" si="27"/>
        <v>-49.595890410958901</v>
      </c>
    </row>
    <row r="107" spans="1:26" s="69" customFormat="1" ht="15" hidden="1" customHeight="1" outlineLevel="2" x14ac:dyDescent="0.3">
      <c r="A107" s="25"/>
      <c r="B107" s="12" t="str">
        <f>CONCATENATE("          ","6274"," - ","UTILITIES")</f>
        <v xml:space="preserve">          6274 - UTILITIES</v>
      </c>
      <c r="C107" s="12"/>
      <c r="D107" s="8">
        <v>8150</v>
      </c>
      <c r="E107" s="3"/>
      <c r="F107" s="7">
        <f t="shared" si="20"/>
        <v>4.9163353433664828E-3</v>
      </c>
      <c r="G107" s="3"/>
      <c r="H107" s="8">
        <v>-9772</v>
      </c>
      <c r="I107" s="3"/>
      <c r="J107" s="7">
        <f t="shared" si="21"/>
        <v>-6.5556952669718338E-2</v>
      </c>
      <c r="K107" s="3"/>
      <c r="L107" s="8">
        <f t="shared" si="22"/>
        <v>17922</v>
      </c>
      <c r="M107" s="3"/>
      <c r="N107" s="7">
        <f t="shared" si="23"/>
        <v>-1.8340155546459271</v>
      </c>
      <c r="O107" s="12"/>
      <c r="P107" s="8">
        <v>70950</v>
      </c>
      <c r="Q107" s="3"/>
      <c r="R107" s="7">
        <f t="shared" si="24"/>
        <v>6.892704385421328E-3</v>
      </c>
      <c r="S107" s="3"/>
      <c r="T107" s="8">
        <v>-1460</v>
      </c>
      <c r="U107" s="3"/>
      <c r="V107" s="7">
        <f t="shared" si="25"/>
        <v>-1.1824514390478557E-3</v>
      </c>
      <c r="W107" s="3"/>
      <c r="X107" s="8">
        <f t="shared" si="26"/>
        <v>72410</v>
      </c>
      <c r="Y107" s="3"/>
      <c r="Z107" s="7">
        <f t="shared" si="27"/>
        <v>-49.595890410958901</v>
      </c>
    </row>
    <row r="108" spans="1:26" s="64" customFormat="1" ht="15" customHeight="1" x14ac:dyDescent="0.3">
      <c r="A108" s="36"/>
      <c r="B108" s="36"/>
      <c r="C108" s="36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O108" s="36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62" customFormat="1" ht="15" customHeight="1" collapsed="1" x14ac:dyDescent="0.3">
      <c r="A109" s="11"/>
      <c r="B109" s="28" t="s">
        <v>290</v>
      </c>
      <c r="C109" s="11"/>
      <c r="D109" s="5">
        <f>SUM(OSRRefD25x_0)</f>
        <v>25319.38</v>
      </c>
      <c r="E109" s="5"/>
      <c r="F109" s="13">
        <f>IF(D$12=0,0,D109/D$12)</f>
        <v>1.5273443284187295E-2</v>
      </c>
      <c r="G109" s="5"/>
      <c r="H109" s="5">
        <f>SUM(OSRRefH25x_0)</f>
        <v>3116.44</v>
      </c>
      <c r="I109" s="5"/>
      <c r="J109" s="13">
        <f>IF(H$12=0,0,H109/H$12)</f>
        <v>2.0907113137332893E-2</v>
      </c>
      <c r="K109" s="5"/>
      <c r="L109" s="5">
        <f>+D109-H109</f>
        <v>22202.940000000002</v>
      </c>
      <c r="M109" s="5"/>
      <c r="N109" s="13">
        <f>IF(H109=0,0,L109/H109)</f>
        <v>7.1244561101769976</v>
      </c>
      <c r="O109" s="11"/>
      <c r="P109" s="5">
        <f>SUM(OSRRefP25x_0)</f>
        <v>168534.85</v>
      </c>
      <c r="Q109" s="5"/>
      <c r="R109" s="13">
        <f>IF(P$12=0,0,P109/P$12)</f>
        <v>1.63729513698566E-2</v>
      </c>
      <c r="S109" s="5"/>
      <c r="T109" s="5">
        <f>SUM(OSRRefT25x_0)</f>
        <v>20865.659999999996</v>
      </c>
      <c r="U109" s="5"/>
      <c r="V109" s="13">
        <f>IF(T$12=0,0,T109/T$12)</f>
        <v>1.6899061434029642E-2</v>
      </c>
      <c r="W109" s="5"/>
      <c r="X109" s="5">
        <f>+P109-T109</f>
        <v>147669.19</v>
      </c>
      <c r="Y109" s="5"/>
      <c r="Z109" s="13">
        <f>IF(T109=0,0,X109/T109)</f>
        <v>7.07713966392628</v>
      </c>
    </row>
    <row r="110" spans="1:26" s="69" customFormat="1" ht="15" hidden="1" customHeight="1" outlineLevel="1" x14ac:dyDescent="0.3">
      <c r="A110" s="42"/>
      <c r="B110" s="12" t="str">
        <f>CONCATENATE("          ","9150"," - ","MISC. INCOME")</f>
        <v xml:space="preserve">          9150 - MISC. INCOME</v>
      </c>
      <c r="C110" s="12"/>
      <c r="D110" s="3">
        <f>--25319.38</f>
        <v>25319.38</v>
      </c>
      <c r="E110" s="3"/>
      <c r="F110" s="20">
        <f>IF(D$12=0,0,D110/D$12)</f>
        <v>1.5273443284187295E-2</v>
      </c>
      <c r="G110" s="3"/>
      <c r="H110" s="3">
        <f>--3116.44</f>
        <v>3116.44</v>
      </c>
      <c r="I110" s="3"/>
      <c r="J110" s="20">
        <f>IF(H$12=0,0,H110/H$12)</f>
        <v>2.0907113137332893E-2</v>
      </c>
      <c r="K110" s="3"/>
      <c r="L110" s="3">
        <f>+D110-H110</f>
        <v>22202.940000000002</v>
      </c>
      <c r="M110" s="3"/>
      <c r="N110" s="20">
        <f>IF(H110=0,0,L110/H110)</f>
        <v>7.1244561101769976</v>
      </c>
      <c r="O110" s="12"/>
      <c r="P110" s="3">
        <f>--168534.85</f>
        <v>168534.85</v>
      </c>
      <c r="Q110" s="3"/>
      <c r="R110" s="20">
        <f>IF(P$12=0,0,P110/P$12)</f>
        <v>1.63729513698566E-2</v>
      </c>
      <c r="S110" s="3"/>
      <c r="T110" s="3">
        <f>--4844.49</f>
        <v>4844.49</v>
      </c>
      <c r="U110" s="3"/>
      <c r="V110" s="20">
        <f>IF(T$12=0,0,T110/T$12)</f>
        <v>3.9235439533924291E-3</v>
      </c>
      <c r="W110" s="3"/>
      <c r="X110" s="3">
        <f>+P110-T110</f>
        <v>163690.36000000002</v>
      </c>
      <c r="Y110" s="3"/>
      <c r="Z110" s="20">
        <f>IF(T110=0,0,X110/T110)</f>
        <v>33.788976755035108</v>
      </c>
    </row>
    <row r="111" spans="1:26" s="69" customFormat="1" ht="15" hidden="1" customHeight="1" outlineLevel="1" x14ac:dyDescent="0.3">
      <c r="A111" s="42"/>
      <c r="B111" s="12" t="str">
        <f>CONCATENATE("          ","9160"," - ","MISC. INCOME")</f>
        <v xml:space="preserve">          9160 - MISC. INCOME</v>
      </c>
      <c r="C111" s="12"/>
      <c r="D111" s="3">
        <f>0</f>
        <v>0</v>
      </c>
      <c r="E111" s="3"/>
      <c r="F111" s="20">
        <f>IF(D$12=0,0,D111/D$12)</f>
        <v>0</v>
      </c>
      <c r="G111" s="3"/>
      <c r="H111" s="3">
        <f>0</f>
        <v>0</v>
      </c>
      <c r="I111" s="3"/>
      <c r="J111" s="20">
        <f>IF(H$12=0,0,H111/H$12)</f>
        <v>0</v>
      </c>
      <c r="K111" s="3"/>
      <c r="L111" s="3">
        <f>+D111-H111</f>
        <v>0</v>
      </c>
      <c r="M111" s="3"/>
      <c r="N111" s="20">
        <f>IF(H111=0,0,L111/H111)</f>
        <v>0</v>
      </c>
      <c r="O111" s="12"/>
      <c r="P111" s="3">
        <f>0</f>
        <v>0</v>
      </c>
      <c r="Q111" s="3"/>
      <c r="R111" s="20">
        <f>IF(P$12=0,0,P111/P$12)</f>
        <v>0</v>
      </c>
      <c r="S111" s="3"/>
      <c r="T111" s="3">
        <f>--12882.96</f>
        <v>12882.96</v>
      </c>
      <c r="U111" s="3"/>
      <c r="V111" s="20">
        <f>IF(T$12=0,0,T111/T$12)</f>
        <v>1.0433886706298605E-2</v>
      </c>
      <c r="W111" s="3"/>
      <c r="X111" s="3">
        <f>+P111-T111</f>
        <v>-12882.96</v>
      </c>
      <c r="Y111" s="3"/>
      <c r="Z111" s="20">
        <f>IF(T111=0,0,X111/T111)</f>
        <v>-1</v>
      </c>
    </row>
    <row r="112" spans="1:26" s="69" customFormat="1" ht="15" hidden="1" customHeight="1" outlineLevel="1" x14ac:dyDescent="0.3">
      <c r="A112" s="42"/>
      <c r="B112" s="12" t="str">
        <f>CONCATENATE("          ","9165"," - ","OTHER INCOME")</f>
        <v xml:space="preserve">          9165 - OTHER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>
        <f>0</f>
        <v>0</v>
      </c>
      <c r="I112" s="3"/>
      <c r="J112" s="20">
        <f>IF(H$12=0,0,H112/H$12)</f>
        <v>0</v>
      </c>
      <c r="K112" s="3"/>
      <c r="L112" s="3">
        <f>+D112-H112</f>
        <v>0</v>
      </c>
      <c r="M112" s="3"/>
      <c r="N112" s="20">
        <f>IF(H112=0,0,L112/H112)</f>
        <v>0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>
        <f>--3138.21</f>
        <v>3138.21</v>
      </c>
      <c r="U112" s="3"/>
      <c r="V112" s="20">
        <f>IF(T$12=0,0,T112/T$12)</f>
        <v>2.5416307743386106E-3</v>
      </c>
      <c r="W112" s="3"/>
      <c r="X112" s="3">
        <f>+P112-T112</f>
        <v>-3138.21</v>
      </c>
      <c r="Y112" s="3"/>
      <c r="Z112" s="20">
        <f>IF(T112=0,0,X112/T112)</f>
        <v>-1</v>
      </c>
    </row>
    <row r="113" spans="1:26" ht="15" customHeight="1" x14ac:dyDescent="0.3">
      <c r="A113" s="10"/>
      <c r="B113" s="11"/>
      <c r="C113" s="11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O113" s="11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2" customFormat="1" ht="15" customHeight="1" x14ac:dyDescent="0.3">
      <c r="A114" s="11"/>
      <c r="B114" s="27" t="s">
        <v>291</v>
      </c>
      <c r="C114" s="27"/>
      <c r="D114" s="22">
        <f>+D26-D28+D109</f>
        <v>490437.67999999982</v>
      </c>
      <c r="E114" s="15"/>
      <c r="F114" s="21">
        <f>IF(D$12=0,0,D114/D$12)</f>
        <v>0.29584737422118529</v>
      </c>
      <c r="G114" s="15"/>
      <c r="H114" s="22">
        <f>+H26-H28+H109</f>
        <v>-207630.97999999989</v>
      </c>
      <c r="I114" s="15"/>
      <c r="J114" s="21">
        <f>IF(H$12=0,0,H114/H$12)</f>
        <v>-1.3929241023973831</v>
      </c>
      <c r="K114" s="17"/>
      <c r="L114" s="22">
        <f>+D114-H114</f>
        <v>698068.65999999968</v>
      </c>
      <c r="M114" s="17"/>
      <c r="N114" s="21">
        <f>IF(H114=0,0,L114/H114)</f>
        <v>-3.3620640811886551</v>
      </c>
      <c r="O114" s="28"/>
      <c r="P114" s="22">
        <f>+P26-P28+P109</f>
        <v>2011110.7800000035</v>
      </c>
      <c r="Q114" s="15"/>
      <c r="R114" s="21">
        <f>IF(P$12=0,0,P114/P$12)</f>
        <v>0.19537691462824711</v>
      </c>
      <c r="S114" s="15"/>
      <c r="T114" s="22">
        <f>+T26-T28+T109</f>
        <v>-2136789.3899999997</v>
      </c>
      <c r="U114" s="15"/>
      <c r="V114" s="21">
        <f>IF(T$12=0,0,T114/T$12)</f>
        <v>-1.7305819788682804</v>
      </c>
      <c r="W114" s="17"/>
      <c r="X114" s="22">
        <f>+P114-T114</f>
        <v>4147900.1700000032</v>
      </c>
      <c r="Y114" s="17"/>
      <c r="Z114" s="21">
        <f>IF(T114=0,0,X114/T114)</f>
        <v>-1.9411834359585638</v>
      </c>
    </row>
    <row r="115" spans="1:26" ht="15" customHeight="1" x14ac:dyDescent="0.3">
      <c r="A115" s="10"/>
      <c r="B115" s="11"/>
      <c r="C115" s="10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2" customFormat="1" ht="15" customHeight="1" x14ac:dyDescent="0.3">
      <c r="A116" s="48"/>
      <c r="B116" s="11" t="s">
        <v>292</v>
      </c>
      <c r="C116" s="11"/>
      <c r="D116" s="5">
        <v>150564.98000000001</v>
      </c>
      <c r="E116" s="5"/>
      <c r="F116" s="13">
        <f>IF(D$12=0,0,D116/D$12)</f>
        <v>9.0825513208253689E-2</v>
      </c>
      <c r="G116" s="5"/>
      <c r="H116" s="5">
        <v>39466.06</v>
      </c>
      <c r="I116" s="5"/>
      <c r="J116" s="13">
        <f>IF(H$12=0,0,H116/H$12)</f>
        <v>0.26476408386003519</v>
      </c>
      <c r="K116" s="5"/>
      <c r="L116" s="5">
        <f>+D116-H116</f>
        <v>111098.92000000001</v>
      </c>
      <c r="M116" s="5"/>
      <c r="N116" s="13">
        <f>IF(H116=0,0,L116/H116)</f>
        <v>2.8150496907976126</v>
      </c>
      <c r="O116" s="11"/>
      <c r="P116" s="5">
        <v>1228503.07</v>
      </c>
      <c r="Q116" s="5"/>
      <c r="R116" s="13">
        <f>IF(P$12=0,0,P116/P$12)</f>
        <v>0.11934754754182615</v>
      </c>
      <c r="S116" s="5"/>
      <c r="T116" s="5">
        <v>254465.94</v>
      </c>
      <c r="U116" s="5"/>
      <c r="V116" s="13">
        <f>IF(T$12=0,0,T116/T$12)</f>
        <v>0.20609151845319543</v>
      </c>
      <c r="W116" s="5"/>
      <c r="X116" s="5">
        <f>+P116-T116</f>
        <v>974037.13000000012</v>
      </c>
      <c r="Y116" s="5"/>
      <c r="Z116" s="13">
        <f>IF(T116=0,0,X116/T116)</f>
        <v>3.827770152657759</v>
      </c>
    </row>
    <row r="117" spans="1:26" ht="15" customHeight="1" x14ac:dyDescent="0.3">
      <c r="A117" s="10"/>
      <c r="B117" s="11"/>
      <c r="C117" s="11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O117" s="11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3">
      <c r="A118" s="11"/>
      <c r="B118" s="27" t="s">
        <v>293</v>
      </c>
      <c r="C118" s="27"/>
      <c r="D118" s="34">
        <f>+D114-D116</f>
        <v>339872.69999999984</v>
      </c>
      <c r="E118" s="15"/>
      <c r="F118" s="33">
        <f>IF(D$12=0,0,D118/D$12)</f>
        <v>0.20502186101293163</v>
      </c>
      <c r="G118" s="15"/>
      <c r="H118" s="34">
        <f>+H114-H116</f>
        <v>-247097.03999999989</v>
      </c>
      <c r="I118" s="15"/>
      <c r="J118" s="33">
        <f>IF(H$12=0,0,H118/H$12)</f>
        <v>-1.6576881862574184</v>
      </c>
      <c r="K118" s="17"/>
      <c r="L118" s="34">
        <f>D118-H118</f>
        <v>586969.73999999976</v>
      </c>
      <c r="M118" s="17"/>
      <c r="N118" s="33">
        <f>IF(H118=0,0,L118/H118)</f>
        <v>-2.3754624498941794</v>
      </c>
      <c r="O118" s="28"/>
      <c r="P118" s="34">
        <f>+P114-P116</f>
        <v>782607.71000000346</v>
      </c>
      <c r="Q118" s="15"/>
      <c r="R118" s="33">
        <f>IF(P$12=0,0,P118/P$12)</f>
        <v>7.6029367086420954E-2</v>
      </c>
      <c r="S118" s="15"/>
      <c r="T118" s="34">
        <f>+T114-T116</f>
        <v>-2391255.3299999996</v>
      </c>
      <c r="U118" s="15"/>
      <c r="V118" s="33">
        <f>IF(T$12=0,0,T118/T$12)</f>
        <v>-1.9366734973214759</v>
      </c>
      <c r="W118" s="17"/>
      <c r="X118" s="34">
        <f>P118-T118</f>
        <v>3173863.0400000028</v>
      </c>
      <c r="Y118" s="17"/>
      <c r="Z118" s="33">
        <f>IF(T118=0,0,X118/T118)</f>
        <v>-1.3272790237753505</v>
      </c>
    </row>
    <row r="119" spans="1:26" ht="15" customHeight="1" x14ac:dyDescent="0.3">
      <c r="A119" s="10"/>
      <c r="B119" s="10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ht="15" customHeight="1" x14ac:dyDescent="0.3">
      <c r="A120" s="10"/>
      <c r="B120" s="10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3">
      <c r="A121" s="11"/>
      <c r="B121" s="27" t="s">
        <v>296</v>
      </c>
      <c r="C121" s="27"/>
      <c r="D121" s="31">
        <f>SUM(D118:D120)</f>
        <v>339872.69999999984</v>
      </c>
      <c r="E121" s="15"/>
      <c r="F121" s="32">
        <f>IF(D$12=0,0,D121/D$12)</f>
        <v>0.20502186101293163</v>
      </c>
      <c r="G121" s="15"/>
      <c r="H121" s="31">
        <f>SUM(H118:H120)</f>
        <v>-247097.03999999989</v>
      </c>
      <c r="I121" s="15"/>
      <c r="J121" s="32">
        <f>IF(H$12=0,0,H121/H$12)</f>
        <v>-1.6576881862574184</v>
      </c>
      <c r="K121" s="17"/>
      <c r="L121" s="31">
        <f>+D121-H121</f>
        <v>586969.73999999976</v>
      </c>
      <c r="M121" s="17"/>
      <c r="N121" s="32">
        <f>IF(H121=0,0,L121/H121)</f>
        <v>-2.3754624498941794</v>
      </c>
      <c r="O121" s="28"/>
      <c r="P121" s="31">
        <f>SUM(P118:P120)</f>
        <v>782607.71000000346</v>
      </c>
      <c r="Q121" s="15"/>
      <c r="R121" s="32">
        <f>IF(P$12=0,0,P121/P$12)</f>
        <v>7.6029367086420954E-2</v>
      </c>
      <c r="S121" s="15"/>
      <c r="T121" s="31">
        <f>SUM(T118:T120)</f>
        <v>-2391255.3299999996</v>
      </c>
      <c r="U121" s="15"/>
      <c r="V121" s="32">
        <f>IF(T$12=0,0,T121/T$12)</f>
        <v>-1.9366734973214759</v>
      </c>
      <c r="W121" s="17"/>
      <c r="X121" s="31">
        <f>+P121-T121</f>
        <v>3173863.0400000028</v>
      </c>
      <c r="Y121" s="17"/>
      <c r="Z121" s="32">
        <f>IF(T121=0,0,X121/T121)</f>
        <v>-1.3272790237753505</v>
      </c>
    </row>
    <row r="122" spans="1:26" ht="15" customHeight="1" x14ac:dyDescent="0.3">
      <c r="A122" s="10"/>
      <c r="C122" s="10"/>
      <c r="D122" s="19"/>
      <c r="E122" s="19"/>
      <c r="G122" s="19"/>
      <c r="H122" s="19"/>
      <c r="I122" s="19"/>
      <c r="J122" s="40"/>
      <c r="K122" s="19"/>
      <c r="L122" s="19"/>
      <c r="M122" s="19"/>
      <c r="P122" s="19"/>
      <c r="Q122" s="19"/>
      <c r="R122" s="40"/>
      <c r="S122" s="19"/>
      <c r="T122" s="19"/>
      <c r="U122" s="19"/>
      <c r="V122" s="40"/>
      <c r="W122" s="19"/>
      <c r="X122" s="19"/>
    </row>
    <row r="123" spans="1:26" ht="15" customHeight="1" x14ac:dyDescent="0.3">
      <c r="A123" s="10"/>
      <c r="B123" s="56">
        <v>44663.038578854168</v>
      </c>
      <c r="D123" s="19"/>
      <c r="E123" s="19"/>
      <c r="G123" s="19"/>
      <c r="H123" s="19"/>
      <c r="I123" s="19"/>
      <c r="J123" s="40"/>
      <c r="K123" s="19"/>
      <c r="L123" s="19"/>
      <c r="M123" s="19"/>
      <c r="P123" s="19"/>
      <c r="Q123" s="19"/>
      <c r="R123" s="40"/>
      <c r="S123" s="19"/>
      <c r="T123" s="19"/>
      <c r="U123" s="19"/>
      <c r="V123" s="40"/>
      <c r="W123" s="19"/>
      <c r="X123" s="19"/>
    </row>
    <row r="124" spans="1:26" ht="15" customHeight="1" x14ac:dyDescent="0.3">
      <c r="A124" s="10"/>
      <c r="B124" s="57" t="s">
        <v>297</v>
      </c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  <row r="125" spans="1:26" ht="15" customHeight="1" x14ac:dyDescent="0.3">
      <c r="A125" s="10"/>
      <c r="B125" s="58"/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41EA9-0166-E42C-C96A-05F469111167}">
  <sheetPr>
    <tabColor theme="5" tint="0.39997558519241921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310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404601.61</v>
      </c>
      <c r="E12" s="5"/>
      <c r="F12" s="13"/>
      <c r="G12" s="5"/>
      <c r="H12" s="5">
        <f>SUM(OSRRefH13x_0)</f>
        <v>57365.04</v>
      </c>
      <c r="I12" s="5"/>
      <c r="J12" s="13"/>
      <c r="K12" s="5"/>
      <c r="L12" s="5">
        <f t="shared" ref="L12:L25" si="0">+D12-H12</f>
        <v>347236.57</v>
      </c>
      <c r="M12" s="5"/>
      <c r="N12" s="13">
        <f t="shared" ref="N12:N25" si="1">IF(H12=0,0,L12/H12)</f>
        <v>6.0531042948806455</v>
      </c>
      <c r="O12" s="11"/>
      <c r="P12" s="5">
        <f>SUM(OSRRefP13x_0)</f>
        <v>1398312.21</v>
      </c>
      <c r="Q12" s="5"/>
      <c r="R12" s="13"/>
      <c r="S12" s="5"/>
      <c r="T12" s="5">
        <f>SUM(OSRRefT13x_0)</f>
        <v>386353.91999999998</v>
      </c>
      <c r="U12" s="5"/>
      <c r="V12" s="13"/>
      <c r="W12" s="5"/>
      <c r="X12" s="5">
        <f t="shared" ref="X12:X25" si="2">+P12-T12</f>
        <v>1011958.29</v>
      </c>
      <c r="Y12" s="5"/>
      <c r="Z12" s="13">
        <f t="shared" ref="Z12:Z25" si="3">IF(T12=0,0,X12/T12)</f>
        <v>2.6192520319193346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--19761.47</f>
        <v>19761.47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19761.47</v>
      </c>
      <c r="M13" s="3"/>
      <c r="N13" s="20">
        <f t="shared" si="1"/>
        <v>0</v>
      </c>
      <c r="O13" s="12"/>
      <c r="P13" s="3">
        <f>--48230.67</f>
        <v>48230.67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48230.67</v>
      </c>
      <c r="Y13" s="3"/>
      <c r="Z13" s="20">
        <f t="shared" si="3"/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--58129.76</f>
        <v>58129.760000000002</v>
      </c>
      <c r="E16" s="3"/>
      <c r="F16" s="20"/>
      <c r="G16" s="3"/>
      <c r="H16" s="3">
        <f>--2604.58</f>
        <v>2604.58</v>
      </c>
      <c r="I16" s="3"/>
      <c r="J16" s="20"/>
      <c r="K16" s="3"/>
      <c r="L16" s="3">
        <f t="shared" si="0"/>
        <v>55525.18</v>
      </c>
      <c r="M16" s="3"/>
      <c r="N16" s="20">
        <f t="shared" si="1"/>
        <v>21.318285481728342</v>
      </c>
      <c r="O16" s="12"/>
      <c r="P16" s="3">
        <f>--263820.05</f>
        <v>263820.05</v>
      </c>
      <c r="Q16" s="3"/>
      <c r="R16" s="20"/>
      <c r="S16" s="3"/>
      <c r="T16" s="3">
        <f>--25569.06</f>
        <v>25569.06</v>
      </c>
      <c r="U16" s="3"/>
      <c r="V16" s="20"/>
      <c r="W16" s="3"/>
      <c r="X16" s="3">
        <f t="shared" si="2"/>
        <v>238250.99</v>
      </c>
      <c r="Y16" s="3"/>
      <c r="Z16" s="20">
        <f t="shared" si="3"/>
        <v>9.3179409020120403</v>
      </c>
    </row>
    <row r="17" spans="1:26" s="69" customFormat="1" ht="15" hidden="1" customHeight="1" outlineLevel="1" x14ac:dyDescent="0.3">
      <c r="A17" s="42"/>
      <c r="B17" s="12" t="str">
        <f>CONCATENATE("          ","4052"," - ","TAXABLE SALES-FOOD")</f>
        <v xml:space="preserve">          4052 - TAXABLE SALES-FOOD</v>
      </c>
      <c r="C17" s="12"/>
      <c r="D17" s="3">
        <f>0</f>
        <v>0</v>
      </c>
      <c r="E17" s="3"/>
      <c r="F17" s="20"/>
      <c r="G17" s="3"/>
      <c r="H17" s="3">
        <f>--51782.31</f>
        <v>51782.31</v>
      </c>
      <c r="I17" s="3"/>
      <c r="J17" s="20"/>
      <c r="K17" s="3"/>
      <c r="L17" s="3">
        <f t="shared" si="0"/>
        <v>-51782.31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--331940.11</f>
        <v>331940.11</v>
      </c>
      <c r="U17" s="3"/>
      <c r="V17" s="20"/>
      <c r="W17" s="3"/>
      <c r="X17" s="3">
        <f t="shared" si="2"/>
        <v>-331940.11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","4053"," - ","TAXABLE SALES-FOOD")</f>
        <v xml:space="preserve">          4053 - TAXABLE SALES-FOOD</v>
      </c>
      <c r="C18" s="12"/>
      <c r="D18" s="3">
        <f>--2747.38</f>
        <v>2747.38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2747.38</v>
      </c>
      <c r="M18" s="3"/>
      <c r="N18" s="20">
        <f t="shared" si="1"/>
        <v>0</v>
      </c>
      <c r="O18" s="12"/>
      <c r="P18" s="3">
        <f>--17981.84</f>
        <v>17981.84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17981.84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","4058"," - ","TAXABLE SALES-FOOD")</f>
        <v xml:space="preserve">          4058 - TAXABLE SALES-FOOD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--974.91</f>
        <v>974.91</v>
      </c>
      <c r="U19" s="3"/>
      <c r="V19" s="20"/>
      <c r="W19" s="3"/>
      <c r="X19" s="3">
        <f t="shared" si="2"/>
        <v>-974.91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--112758.65</f>
        <v>112758.65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112758.65</v>
      </c>
      <c r="M20" s="3"/>
      <c r="N20" s="20">
        <f t="shared" si="1"/>
        <v>0</v>
      </c>
      <c r="O20" s="12"/>
      <c r="P20" s="3">
        <f>--258466.16</f>
        <v>258466.16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258466.16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","4132"," - ","NON-TAXABLE SALES-JUICE")</f>
        <v xml:space="preserve">          4132 - NON-TAXABLE SALES-JUICE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--2031.88</f>
        <v>2031.88</v>
      </c>
      <c r="U21" s="3"/>
      <c r="V21" s="20"/>
      <c r="W21" s="3"/>
      <c r="X21" s="3">
        <f t="shared" si="2"/>
        <v>-2031.88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","4134"," - ","NON-TAXABLE SALES-SODA")</f>
        <v xml:space="preserve">          4134 - NON-TAXABLE SALES-SODA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0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","4137"," - ","NON-TAXABLE SALES-WATER")</f>
        <v xml:space="preserve">          4137 - NON-TAXABLE SALES-WATER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0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","4151"," - ","NON-TAXABLE SALES-FOOD")</f>
        <v xml:space="preserve">          4151 - NON-TAXABLE SALES-FOOD</v>
      </c>
      <c r="C24" s="12"/>
      <c r="D24" s="3">
        <f>--211204.35</f>
        <v>211204.35</v>
      </c>
      <c r="E24" s="3"/>
      <c r="F24" s="20"/>
      <c r="G24" s="3"/>
      <c r="H24" s="3">
        <f>--2877.6</f>
        <v>2877.6</v>
      </c>
      <c r="I24" s="3"/>
      <c r="J24" s="20"/>
      <c r="K24" s="3"/>
      <c r="L24" s="3">
        <f t="shared" si="0"/>
        <v>208326.75</v>
      </c>
      <c r="M24" s="3"/>
      <c r="N24" s="20">
        <f t="shared" si="1"/>
        <v>72.396007089241039</v>
      </c>
      <c r="O24" s="12"/>
      <c r="P24" s="3">
        <f>--809813.49</f>
        <v>809813.49</v>
      </c>
      <c r="Q24" s="3"/>
      <c r="R24" s="20"/>
      <c r="S24" s="3"/>
      <c r="T24" s="3">
        <f>--25048.82</f>
        <v>25048.82</v>
      </c>
      <c r="U24" s="3"/>
      <c r="V24" s="20"/>
      <c r="W24" s="3"/>
      <c r="X24" s="3">
        <f t="shared" si="2"/>
        <v>784764.67</v>
      </c>
      <c r="Y24" s="3"/>
      <c r="Z24" s="20">
        <f t="shared" si="3"/>
        <v>31.329406734528813</v>
      </c>
    </row>
    <row r="25" spans="1:26" s="69" customFormat="1" ht="15" hidden="1" customHeight="1" outlineLevel="1" x14ac:dyDescent="0.3">
      <c r="A25" s="42"/>
      <c r="B25" s="12" t="str">
        <f>CONCATENATE("          ","4153"," - ","NON-TAXABLE SALES-FOOD")</f>
        <v xml:space="preserve">          4153 - NON-TAXABLE SALES-FOOD</v>
      </c>
      <c r="C25" s="12"/>
      <c r="D25" s="3">
        <f>0</f>
        <v>0</v>
      </c>
      <c r="E25" s="3"/>
      <c r="F25" s="20"/>
      <c r="G25" s="3"/>
      <c r="H25" s="3">
        <f>--100.55</f>
        <v>100.55</v>
      </c>
      <c r="I25" s="3"/>
      <c r="J25" s="20"/>
      <c r="K25" s="3"/>
      <c r="L25" s="3">
        <f t="shared" si="0"/>
        <v>-100.55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--344.55</f>
        <v>344.55</v>
      </c>
      <c r="U25" s="3"/>
      <c r="V25" s="20"/>
      <c r="W25" s="3"/>
      <c r="X25" s="3">
        <f t="shared" si="2"/>
        <v>-344.55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8" t="s">
        <v>287</v>
      </c>
      <c r="C27" s="11"/>
      <c r="D27" s="5">
        <f>SUM(OSRRefD16x_0)</f>
        <v>143920.77000000002</v>
      </c>
      <c r="E27" s="5"/>
      <c r="F27" s="13">
        <f>IF(D$12=0,0,D27/D$12)</f>
        <v>0.35570983022039881</v>
      </c>
      <c r="G27" s="5"/>
      <c r="H27" s="5">
        <f>SUM(OSRRefH16x_0)</f>
        <v>-6014.89</v>
      </c>
      <c r="I27" s="5"/>
      <c r="J27" s="13">
        <f>IF(H$12=0,0,H27/H$12)</f>
        <v>-0.10485288600862128</v>
      </c>
      <c r="K27" s="5"/>
      <c r="L27" s="5">
        <f>+D27-H27</f>
        <v>149935.66000000003</v>
      </c>
      <c r="M27" s="5"/>
      <c r="N27" s="13">
        <f>IF(H27=0,0,L27/H27)</f>
        <v>-24.927415131448793</v>
      </c>
      <c r="O27" s="11"/>
      <c r="P27" s="5">
        <f>SUM(OSRRefP16x_0)</f>
        <v>562935.73</v>
      </c>
      <c r="Q27" s="5"/>
      <c r="R27" s="13">
        <f>IF(P$12=0,0,P27/P$12)</f>
        <v>0.40258228882947394</v>
      </c>
      <c r="S27" s="5"/>
      <c r="T27" s="5">
        <f>SUM(OSRRefT16x_0)</f>
        <v>37863.31</v>
      </c>
      <c r="U27" s="5"/>
      <c r="V27" s="13">
        <f>IF(T$12=0,0,T27/T$12)</f>
        <v>9.8001619861913136E-2</v>
      </c>
      <c r="W27" s="5"/>
      <c r="X27" s="5">
        <f>+P27-T27</f>
        <v>525072.41999999993</v>
      </c>
      <c r="Y27" s="5"/>
      <c r="Z27" s="13">
        <f>IF(T27=0,0,X27/T27)</f>
        <v>13.867578402416481</v>
      </c>
    </row>
    <row r="28" spans="1:26" s="69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4647</v>
      </c>
      <c r="E28" s="3"/>
      <c r="F28" s="20">
        <f>IF(D$12=0,0,D28/D$12)</f>
        <v>1.1485371993453017E-2</v>
      </c>
      <c r="G28" s="3"/>
      <c r="H28" s="3"/>
      <c r="I28" s="3"/>
      <c r="J28" s="20">
        <f>IF(H$12=0,0,H28/H$12)</f>
        <v>0</v>
      </c>
      <c r="K28" s="3"/>
      <c r="L28" s="3">
        <f>+D28-H28</f>
        <v>4647</v>
      </c>
      <c r="M28" s="3"/>
      <c r="N28" s="20">
        <f>IF(H28=0,0,L28/H28)</f>
        <v>0</v>
      </c>
      <c r="O28" s="12"/>
      <c r="P28" s="3">
        <v>-5566</v>
      </c>
      <c r="Q28" s="3"/>
      <c r="R28" s="20">
        <f>IF(P$12=0,0,P28/P$12)</f>
        <v>-3.9805130500862899E-3</v>
      </c>
      <c r="S28" s="3"/>
      <c r="T28" s="3"/>
      <c r="U28" s="3"/>
      <c r="V28" s="20">
        <f>IF(T$12=0,0,T28/T$12)</f>
        <v>0</v>
      </c>
      <c r="W28" s="3"/>
      <c r="X28" s="3">
        <f>+P28-T28</f>
        <v>-5566</v>
      </c>
      <c r="Y28" s="3"/>
      <c r="Z28" s="20">
        <f>IF(T28=0,0,X28/T28)</f>
        <v>0</v>
      </c>
    </row>
    <row r="29" spans="1:26" s="69" customFormat="1" ht="15" hidden="1" customHeight="1" outlineLevel="1" x14ac:dyDescent="0.3">
      <c r="A29" s="42"/>
      <c r="B29" s="12" t="str">
        <f>CONCATENATE("          ","5053"," - ","PURCHASES @ COST-FOOD")</f>
        <v xml:space="preserve">          5053 - PURCHASES @ COST-FOOD</v>
      </c>
      <c r="C29" s="12"/>
      <c r="D29" s="3">
        <v>63383.41</v>
      </c>
      <c r="E29" s="3"/>
      <c r="F29" s="20">
        <f>IF(D$12=0,0,D29/D$12)</f>
        <v>0.15665634647375726</v>
      </c>
      <c r="G29" s="3"/>
      <c r="H29" s="3">
        <v>-5534.89</v>
      </c>
      <c r="I29" s="3"/>
      <c r="J29" s="20">
        <f>IF(H$12=0,0,H29/H$12)</f>
        <v>-9.6485420388445653E-2</v>
      </c>
      <c r="K29" s="3"/>
      <c r="L29" s="3">
        <f>+D29-H29</f>
        <v>68918.3</v>
      </c>
      <c r="M29" s="3"/>
      <c r="N29" s="20">
        <f>IF(H29=0,0,L29/H29)</f>
        <v>-12.451611504474343</v>
      </c>
      <c r="O29" s="12"/>
      <c r="P29" s="3">
        <v>402552.7</v>
      </c>
      <c r="Q29" s="3"/>
      <c r="R29" s="20">
        <f>IF(P$12=0,0,P29/P$12)</f>
        <v>0.28788470637755498</v>
      </c>
      <c r="S29" s="3"/>
      <c r="T29" s="3">
        <v>1747.32</v>
      </c>
      <c r="U29" s="3"/>
      <c r="V29" s="20">
        <f>IF(T$12=0,0,T29/T$12)</f>
        <v>4.5225890292506935E-3</v>
      </c>
      <c r="W29" s="3"/>
      <c r="X29" s="3">
        <f>+P29-T29</f>
        <v>400805.38</v>
      </c>
      <c r="Y29" s="3"/>
      <c r="Z29" s="20">
        <f>IF(T29=0,0,X29/T29)</f>
        <v>229.38292928599228</v>
      </c>
    </row>
    <row r="30" spans="1:26" s="69" customFormat="1" ht="15" hidden="1" customHeight="1" outlineLevel="1" x14ac:dyDescent="0.3">
      <c r="A30" s="42"/>
      <c r="B30" s="12" t="str">
        <f>CONCATENATE("          ","5059"," - ","PURCHASES @ COST-FOOD")</f>
        <v xml:space="preserve">          5059 - PURCHASES @ COST-FOOD</v>
      </c>
      <c r="C30" s="12"/>
      <c r="D30" s="3">
        <v>75890.36</v>
      </c>
      <c r="E30" s="3"/>
      <c r="F30" s="20">
        <f>IF(D$12=0,0,D30/D$12)</f>
        <v>0.18756811175318852</v>
      </c>
      <c r="G30" s="3"/>
      <c r="H30" s="3">
        <v>-480</v>
      </c>
      <c r="I30" s="3"/>
      <c r="J30" s="20">
        <f>IF(H$12=0,0,H30/H$12)</f>
        <v>-8.3674656201756323E-3</v>
      </c>
      <c r="K30" s="3"/>
      <c r="L30" s="3">
        <f>+D30-H30</f>
        <v>76370.36</v>
      </c>
      <c r="M30" s="3"/>
      <c r="N30" s="20">
        <f>IF(H30=0,0,L30/H30)</f>
        <v>-159.10491666666667</v>
      </c>
      <c r="O30" s="12"/>
      <c r="P30" s="3">
        <v>165949.03</v>
      </c>
      <c r="Q30" s="3"/>
      <c r="R30" s="20">
        <f>IF(P$12=0,0,P30/P$12)</f>
        <v>0.11867809550200524</v>
      </c>
      <c r="S30" s="3"/>
      <c r="T30" s="3">
        <v>36115.99</v>
      </c>
      <c r="U30" s="3"/>
      <c r="V30" s="20">
        <f>IF(T$12=0,0,T30/T$12)</f>
        <v>9.3479030832662444E-2</v>
      </c>
      <c r="W30" s="3"/>
      <c r="X30" s="3">
        <f>+P30-T30</f>
        <v>129833.04000000001</v>
      </c>
      <c r="Y30" s="3"/>
      <c r="Z30" s="20">
        <f>IF(T30=0,0,X30/T30)</f>
        <v>3.5948907949082947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7" t="s">
        <v>288</v>
      </c>
      <c r="C32" s="27"/>
      <c r="D32" s="22">
        <f>D12-D27</f>
        <v>260680.83999999997</v>
      </c>
      <c r="E32" s="15"/>
      <c r="F32" s="21">
        <f>IF(D$12=0,0,D32/D$12)</f>
        <v>0.64429016977960119</v>
      </c>
      <c r="G32" s="15"/>
      <c r="H32" s="22">
        <f>H12-H27</f>
        <v>63379.93</v>
      </c>
      <c r="I32" s="15"/>
      <c r="J32" s="21">
        <f>IF(H$12=0,0,H32/H$12)</f>
        <v>1.1048528860086213</v>
      </c>
      <c r="K32" s="17"/>
      <c r="L32" s="22">
        <f>+D32-H32</f>
        <v>197300.90999999997</v>
      </c>
      <c r="M32" s="17"/>
      <c r="N32" s="21">
        <f>IF(H32=0,0,L32/H32)</f>
        <v>3.1129871869533456</v>
      </c>
      <c r="O32" s="28"/>
      <c r="P32" s="22">
        <f>P12-P27</f>
        <v>835376.48</v>
      </c>
      <c r="Q32" s="15"/>
      <c r="R32" s="21">
        <f>IF(P$12=0,0,P32/P$12)</f>
        <v>0.59741771117052611</v>
      </c>
      <c r="S32" s="15"/>
      <c r="T32" s="22">
        <f>T12-T27</f>
        <v>348490.61</v>
      </c>
      <c r="U32" s="15"/>
      <c r="V32" s="21">
        <f>IF(T$12=0,0,T32/T$12)</f>
        <v>0.90199838013808686</v>
      </c>
      <c r="W32" s="17"/>
      <c r="X32" s="22">
        <f>+P32-T32</f>
        <v>486885.87</v>
      </c>
      <c r="Y32" s="17"/>
      <c r="Z32" s="21">
        <f>IF(T32=0,0,X32/T32)</f>
        <v>1.3971276586189798</v>
      </c>
    </row>
    <row r="33" spans="1:26" ht="15" customHeight="1" x14ac:dyDescent="0.3">
      <c r="A33" s="10"/>
      <c r="B33" s="11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2" customFormat="1" ht="15" customHeight="1" x14ac:dyDescent="0.3">
      <c r="A34" s="11"/>
      <c r="B34" s="28" t="s">
        <v>289</v>
      </c>
      <c r="C34" s="11"/>
      <c r="D34" s="23" cm="1">
        <f t="array" ref="D34">SUM(OSRRefD22x_0)</f>
        <v>271572.32999999996</v>
      </c>
      <c r="E34" s="23"/>
      <c r="F34" s="35">
        <f t="shared" ref="F34:F65" si="4">IF(D$12=0,0,D34/D$12)</f>
        <v>0.67120921738299555</v>
      </c>
      <c r="G34" s="23"/>
      <c r="H34" s="23" cm="1">
        <f t="array" ref="H34">SUM(OSRRefH22x_0)</f>
        <v>112201.27000000002</v>
      </c>
      <c r="I34" s="23"/>
      <c r="J34" s="35">
        <f t="shared" ref="J34:J65" si="5">IF(H$12=0,0,H34/H$12)</f>
        <v>1.9559172276355079</v>
      </c>
      <c r="K34" s="5"/>
      <c r="L34" s="23">
        <f t="shared" ref="L34:L65" si="6">+D34-H34</f>
        <v>159371.05999999994</v>
      </c>
      <c r="M34" s="5"/>
      <c r="N34" s="35">
        <f t="shared" ref="N34:N65" si="7">IF(H34=0,0,L34/H34)</f>
        <v>1.420403351940668</v>
      </c>
      <c r="O34" s="11"/>
      <c r="P34" s="23" cm="1">
        <f t="array" ref="P34">SUM(OSRRefP22x_0)</f>
        <v>1913308.2300000004</v>
      </c>
      <c r="Q34" s="23"/>
      <c r="R34" s="35">
        <f t="shared" ref="R34:R65" si="8">IF(P$12=0,0,P34/P$12)</f>
        <v>1.3682983072857531</v>
      </c>
      <c r="S34" s="23"/>
      <c r="T34" s="23" cm="1">
        <f t="array" ref="T34">SUM(OSRRefT22x_0)</f>
        <v>1209915.94</v>
      </c>
      <c r="U34" s="23"/>
      <c r="V34" s="35">
        <f t="shared" ref="V34:V65" si="9">IF(T$12=0,0,T34/T$12)</f>
        <v>3.1316258936883572</v>
      </c>
      <c r="W34" s="5"/>
      <c r="X34" s="23">
        <f t="shared" ref="X34:X65" si="10">+P34-T34</f>
        <v>703392.2900000005</v>
      </c>
      <c r="Y34" s="5"/>
      <c r="Z34" s="35">
        <f t="shared" ref="Z34:Z65" si="11">IF(T34=0,0,X34/T34)</f>
        <v>0.58135632959757566</v>
      </c>
    </row>
    <row r="35" spans="1:26" s="68" customFormat="1" ht="15" customHeight="1" outlineLevel="1" collapsed="1" x14ac:dyDescent="0.3">
      <c r="A35" s="26"/>
      <c r="B35" s="14" t="str">
        <f>CONCATENATE("     ","*Benefits                                         ")</f>
        <v xml:space="preserve">     *Benefits                                         </v>
      </c>
      <c r="C35" s="14"/>
      <c r="D35" s="2">
        <f>SUM(OSRRefD22_0x_0)</f>
        <v>38090.9</v>
      </c>
      <c r="E35" s="2"/>
      <c r="F35" s="6">
        <f t="shared" si="4"/>
        <v>9.414421262436401E-2</v>
      </c>
      <c r="G35" s="2"/>
      <c r="H35" s="2">
        <f>SUM(OSRRefH22_0x_0)</f>
        <v>18745.780000000002</v>
      </c>
      <c r="I35" s="2"/>
      <c r="J35" s="6">
        <f t="shared" si="5"/>
        <v>0.32678056181953336</v>
      </c>
      <c r="K35" s="2"/>
      <c r="L35" s="2">
        <f t="shared" si="6"/>
        <v>19345.12</v>
      </c>
      <c r="M35" s="2"/>
      <c r="N35" s="6">
        <f t="shared" si="7"/>
        <v>1.031971995830528</v>
      </c>
      <c r="O35" s="14"/>
      <c r="P35" s="2">
        <f>SUM(OSRRefP22_0x_0)</f>
        <v>298653.03999999998</v>
      </c>
      <c r="Q35" s="2"/>
      <c r="R35" s="6">
        <f t="shared" si="8"/>
        <v>0.21358108572905904</v>
      </c>
      <c r="S35" s="2"/>
      <c r="T35" s="2">
        <f>SUM(OSRRefT22_0x_0)</f>
        <v>221841.23</v>
      </c>
      <c r="U35" s="2"/>
      <c r="V35" s="6">
        <f t="shared" si="9"/>
        <v>0.57419174108547943</v>
      </c>
      <c r="W35" s="2"/>
      <c r="X35" s="2">
        <f t="shared" si="10"/>
        <v>76811.809999999969</v>
      </c>
      <c r="Y35" s="2"/>
      <c r="Z35" s="6">
        <f t="shared" si="11"/>
        <v>0.34624677297362605</v>
      </c>
    </row>
    <row r="36" spans="1:26" s="69" customFormat="1" ht="15" hidden="1" customHeight="1" outlineLevel="2" x14ac:dyDescent="0.3">
      <c r="A36" s="25"/>
      <c r="B36" s="12" t="str">
        <f>CONCATENATE("          ","6111"," - ","F.I.C.A.")</f>
        <v xml:space="preserve">          6111 - F.I.C.A.</v>
      </c>
      <c r="C36" s="12"/>
      <c r="D36" s="8">
        <v>6380.42</v>
      </c>
      <c r="E36" s="3"/>
      <c r="F36" s="7">
        <f t="shared" si="4"/>
        <v>1.576963571647676E-2</v>
      </c>
      <c r="G36" s="3"/>
      <c r="H36" s="8">
        <v>2329.63</v>
      </c>
      <c r="I36" s="3"/>
      <c r="J36" s="7">
        <f t="shared" si="5"/>
        <v>4.0610622776520333E-2</v>
      </c>
      <c r="K36" s="3"/>
      <c r="L36" s="8">
        <f t="shared" si="6"/>
        <v>4050.79</v>
      </c>
      <c r="M36" s="3"/>
      <c r="N36" s="7">
        <f t="shared" si="7"/>
        <v>1.7388126011426706</v>
      </c>
      <c r="O36" s="12"/>
      <c r="P36" s="8">
        <v>44229.13</v>
      </c>
      <c r="Q36" s="3"/>
      <c r="R36" s="7">
        <f t="shared" si="8"/>
        <v>3.1630368156479162E-2</v>
      </c>
      <c r="S36" s="3"/>
      <c r="T36" s="8">
        <v>25979.72</v>
      </c>
      <c r="U36" s="3"/>
      <c r="V36" s="7">
        <f t="shared" si="9"/>
        <v>6.7243319286109493E-2</v>
      </c>
      <c r="W36" s="3"/>
      <c r="X36" s="8">
        <f t="shared" si="10"/>
        <v>18249.409999999996</v>
      </c>
      <c r="Y36" s="3"/>
      <c r="Z36" s="7">
        <f t="shared" si="11"/>
        <v>0.70244829428492672</v>
      </c>
    </row>
    <row r="37" spans="1:26" s="69" customFormat="1" ht="15" hidden="1" customHeight="1" outlineLevel="2" x14ac:dyDescent="0.3">
      <c r="A37" s="25"/>
      <c r="B37" s="12" t="str">
        <f>CONCATENATE("          ","6112"," - ","COMPENSATION INSURANCE")</f>
        <v xml:space="preserve">          6112 - COMPENSATION INSURANCE</v>
      </c>
      <c r="C37" s="12"/>
      <c r="D37" s="8">
        <v>3616.88</v>
      </c>
      <c r="E37" s="3"/>
      <c r="F37" s="7">
        <f t="shared" si="4"/>
        <v>8.9393613633915112E-3</v>
      </c>
      <c r="G37" s="3"/>
      <c r="H37" s="8">
        <v>611.25</v>
      </c>
      <c r="I37" s="3"/>
      <c r="J37" s="7">
        <f t="shared" si="5"/>
        <v>1.0655444500692408E-2</v>
      </c>
      <c r="K37" s="3"/>
      <c r="L37" s="8">
        <f t="shared" si="6"/>
        <v>3005.63</v>
      </c>
      <c r="M37" s="3"/>
      <c r="N37" s="7">
        <f t="shared" si="7"/>
        <v>4.91718609406953</v>
      </c>
      <c r="O37" s="12"/>
      <c r="P37" s="8">
        <v>20516.13</v>
      </c>
      <c r="Q37" s="3"/>
      <c r="R37" s="7">
        <f t="shared" si="8"/>
        <v>1.4672066691028895E-2</v>
      </c>
      <c r="S37" s="3"/>
      <c r="T37" s="8">
        <v>7234.14</v>
      </c>
      <c r="U37" s="3"/>
      <c r="V37" s="7">
        <f t="shared" si="9"/>
        <v>1.8724127349348495E-2</v>
      </c>
      <c r="W37" s="3"/>
      <c r="X37" s="8">
        <f t="shared" si="10"/>
        <v>13281.990000000002</v>
      </c>
      <c r="Y37" s="3"/>
      <c r="Z37" s="7">
        <f t="shared" si="11"/>
        <v>1.8360150619147544</v>
      </c>
    </row>
    <row r="38" spans="1:26" s="69" customFormat="1" ht="15" hidden="1" customHeight="1" outlineLevel="2" x14ac:dyDescent="0.3">
      <c r="A38" s="25"/>
      <c r="B38" s="12" t="str">
        <f>CONCATENATE("          ","6113"," - ","GROUP INSURANCE")</f>
        <v xml:space="preserve">          6113 - GROUP INSURANCE</v>
      </c>
      <c r="C38" s="12"/>
      <c r="D38" s="8">
        <v>14917.13</v>
      </c>
      <c r="E38" s="3"/>
      <c r="F38" s="7">
        <f t="shared" si="4"/>
        <v>3.6868686706412267E-2</v>
      </c>
      <c r="G38" s="3"/>
      <c r="H38" s="8">
        <v>8554.93</v>
      </c>
      <c r="I38" s="3"/>
      <c r="J38" s="7">
        <f t="shared" si="5"/>
        <v>0.14913142220418568</v>
      </c>
      <c r="K38" s="3"/>
      <c r="L38" s="8">
        <f t="shared" si="6"/>
        <v>6362.1999999999989</v>
      </c>
      <c r="M38" s="3"/>
      <c r="N38" s="7">
        <f t="shared" si="7"/>
        <v>0.74368814239274883</v>
      </c>
      <c r="O38" s="12"/>
      <c r="P38" s="8">
        <v>119716.79</v>
      </c>
      <c r="Q38" s="3"/>
      <c r="R38" s="7">
        <f t="shared" si="8"/>
        <v>8.5615207493611165E-2</v>
      </c>
      <c r="S38" s="3"/>
      <c r="T38" s="8">
        <v>104664.36</v>
      </c>
      <c r="U38" s="3"/>
      <c r="V38" s="7">
        <f t="shared" si="9"/>
        <v>0.2709028033156749</v>
      </c>
      <c r="W38" s="3"/>
      <c r="X38" s="8">
        <f t="shared" si="10"/>
        <v>15052.429999999993</v>
      </c>
      <c r="Y38" s="3"/>
      <c r="Z38" s="7">
        <f t="shared" si="11"/>
        <v>0.14381619493015571</v>
      </c>
    </row>
    <row r="39" spans="1:26" s="69" customFormat="1" ht="15" hidden="1" customHeight="1" outlineLevel="2" x14ac:dyDescent="0.3">
      <c r="A39" s="25"/>
      <c r="B39" s="12" t="str">
        <f>CONCATENATE("          ","6114"," - ","STATE UNEMPLOYMENT INSURANCE")</f>
        <v xml:space="preserve">          6114 - STATE UNEMPLOYMENT INSURANCE</v>
      </c>
      <c r="C39" s="12"/>
      <c r="D39" s="8">
        <v>343.8</v>
      </c>
      <c r="E39" s="3"/>
      <c r="F39" s="7">
        <f t="shared" si="4"/>
        <v>8.4972474528709869E-4</v>
      </c>
      <c r="G39" s="3"/>
      <c r="H39" s="8">
        <v>78.73</v>
      </c>
      <c r="I39" s="3"/>
      <c r="J39" s="7">
        <f t="shared" si="5"/>
        <v>1.3724386839092243E-3</v>
      </c>
      <c r="K39" s="3"/>
      <c r="L39" s="8">
        <f t="shared" si="6"/>
        <v>265.07</v>
      </c>
      <c r="M39" s="3"/>
      <c r="N39" s="7">
        <f t="shared" si="7"/>
        <v>3.3668233202083067</v>
      </c>
      <c r="O39" s="12"/>
      <c r="P39" s="8">
        <v>1897.86</v>
      </c>
      <c r="Q39" s="3"/>
      <c r="R39" s="7">
        <f t="shared" si="8"/>
        <v>1.357250538490256E-3</v>
      </c>
      <c r="S39" s="3"/>
      <c r="T39" s="8">
        <v>965.4</v>
      </c>
      <c r="U39" s="3"/>
      <c r="V39" s="7">
        <f t="shared" si="9"/>
        <v>2.4987451919732044E-3</v>
      </c>
      <c r="W39" s="3"/>
      <c r="X39" s="8">
        <f t="shared" si="10"/>
        <v>932.45999999999992</v>
      </c>
      <c r="Y39" s="3"/>
      <c r="Z39" s="7">
        <f t="shared" si="11"/>
        <v>0.96587942821628336</v>
      </c>
    </row>
    <row r="40" spans="1:26" s="69" customFormat="1" ht="15" hidden="1" customHeight="1" outlineLevel="2" x14ac:dyDescent="0.3">
      <c r="A40" s="25"/>
      <c r="B40" s="12" t="str">
        <f>CONCATENATE("          ","6115"," - ","P.E.R.S.")</f>
        <v xml:space="preserve">          6115 - P.E.R.S.</v>
      </c>
      <c r="C40" s="12"/>
      <c r="D40" s="8">
        <v>3629.7</v>
      </c>
      <c r="E40" s="3"/>
      <c r="F40" s="7">
        <f t="shared" si="4"/>
        <v>8.9710468527300219E-3</v>
      </c>
      <c r="G40" s="3"/>
      <c r="H40" s="8">
        <v>2783.65</v>
      </c>
      <c r="I40" s="3"/>
      <c r="J40" s="7">
        <f t="shared" si="5"/>
        <v>4.8525199320003959E-2</v>
      </c>
      <c r="K40" s="3"/>
      <c r="L40" s="8">
        <f t="shared" si="6"/>
        <v>846.04999999999973</v>
      </c>
      <c r="M40" s="3"/>
      <c r="N40" s="7">
        <f t="shared" si="7"/>
        <v>0.30393548039444601</v>
      </c>
      <c r="O40" s="12"/>
      <c r="P40" s="8">
        <v>32087.19</v>
      </c>
      <c r="Q40" s="3"/>
      <c r="R40" s="7">
        <f t="shared" si="8"/>
        <v>2.2947085615450644E-2</v>
      </c>
      <c r="S40" s="3"/>
      <c r="T40" s="8">
        <v>35235.589999999997</v>
      </c>
      <c r="U40" s="3"/>
      <c r="V40" s="7">
        <f t="shared" si="9"/>
        <v>9.120029117344014E-2</v>
      </c>
      <c r="W40" s="3"/>
      <c r="X40" s="8">
        <f t="shared" si="10"/>
        <v>-3148.3999999999978</v>
      </c>
      <c r="Y40" s="3"/>
      <c r="Z40" s="7">
        <f t="shared" si="11"/>
        <v>-8.9352838990350333E-2</v>
      </c>
    </row>
    <row r="41" spans="1:26" s="69" customFormat="1" ht="15" hidden="1" customHeight="1" outlineLevel="2" x14ac:dyDescent="0.3">
      <c r="A41" s="25"/>
      <c r="B41" s="12" t="str">
        <f>CONCATENATE("          ","6117"," - ","RETIREMENT STAFF HOURLY")</f>
        <v xml:space="preserve">          6117 - RETIREMENT STAFF HOURLY</v>
      </c>
      <c r="C41" s="12"/>
      <c r="D41" s="8">
        <v>431.12</v>
      </c>
      <c r="E41" s="3"/>
      <c r="F41" s="7">
        <f t="shared" si="4"/>
        <v>1.0655419784414599E-3</v>
      </c>
      <c r="G41" s="3"/>
      <c r="H41" s="8"/>
      <c r="I41" s="3"/>
      <c r="J41" s="7">
        <f t="shared" si="5"/>
        <v>0</v>
      </c>
      <c r="K41" s="3"/>
      <c r="L41" s="8">
        <f t="shared" si="6"/>
        <v>431.12</v>
      </c>
      <c r="M41" s="3"/>
      <c r="N41" s="7">
        <f t="shared" si="7"/>
        <v>0</v>
      </c>
      <c r="O41" s="12"/>
      <c r="P41" s="8">
        <v>893.55</v>
      </c>
      <c r="Q41" s="3"/>
      <c r="R41" s="7">
        <f t="shared" si="8"/>
        <v>6.3902038014815017E-4</v>
      </c>
      <c r="S41" s="3"/>
      <c r="T41" s="8"/>
      <c r="U41" s="3"/>
      <c r="V41" s="7">
        <f t="shared" si="9"/>
        <v>0</v>
      </c>
      <c r="W41" s="3"/>
      <c r="X41" s="8">
        <f t="shared" si="10"/>
        <v>893.55</v>
      </c>
      <c r="Y41" s="3"/>
      <c r="Z41" s="7">
        <f t="shared" si="11"/>
        <v>0</v>
      </c>
    </row>
    <row r="42" spans="1:26" s="69" customFormat="1" ht="15" hidden="1" customHeight="1" outlineLevel="2" x14ac:dyDescent="0.3">
      <c r="A42" s="25"/>
      <c r="B42" s="12" t="str">
        <f>CONCATENATE("          ","6118"," - ","VACATION")</f>
        <v xml:space="preserve">          6118 - VACATION</v>
      </c>
      <c r="C42" s="12"/>
      <c r="D42" s="8">
        <v>3658.02</v>
      </c>
      <c r="E42" s="3"/>
      <c r="F42" s="7">
        <f t="shared" si="4"/>
        <v>9.0410416310503557E-3</v>
      </c>
      <c r="G42" s="3"/>
      <c r="H42" s="8">
        <v>2462.92</v>
      </c>
      <c r="I42" s="3"/>
      <c r="J42" s="7">
        <f t="shared" si="5"/>
        <v>4.2934163385922854E-2</v>
      </c>
      <c r="K42" s="3"/>
      <c r="L42" s="8">
        <f t="shared" si="6"/>
        <v>1195.0999999999999</v>
      </c>
      <c r="M42" s="3"/>
      <c r="N42" s="7">
        <f t="shared" si="7"/>
        <v>0.48523703571370563</v>
      </c>
      <c r="O42" s="12"/>
      <c r="P42" s="8">
        <v>33807.18</v>
      </c>
      <c r="Q42" s="3"/>
      <c r="R42" s="7">
        <f t="shared" si="8"/>
        <v>2.4177132802122928E-2</v>
      </c>
      <c r="S42" s="3"/>
      <c r="T42" s="8">
        <v>26820.92</v>
      </c>
      <c r="U42" s="3"/>
      <c r="V42" s="7">
        <f t="shared" si="9"/>
        <v>6.9420597570227838E-2</v>
      </c>
      <c r="W42" s="3"/>
      <c r="X42" s="8">
        <f t="shared" si="10"/>
        <v>6986.260000000002</v>
      </c>
      <c r="Y42" s="3"/>
      <c r="Z42" s="7">
        <f t="shared" si="11"/>
        <v>0.26047801492267986</v>
      </c>
    </row>
    <row r="43" spans="1:26" s="69" customFormat="1" ht="15" hidden="1" customHeight="1" outlineLevel="2" x14ac:dyDescent="0.3">
      <c r="A43" s="25"/>
      <c r="B43" s="12" t="str">
        <f>CONCATENATE("          ","6119"," - ","SICK LEAVE")</f>
        <v xml:space="preserve">          6119 - SICK LEAVE</v>
      </c>
      <c r="C43" s="12"/>
      <c r="D43" s="8">
        <v>2633.58</v>
      </c>
      <c r="E43" s="3"/>
      <c r="F43" s="7">
        <f t="shared" si="4"/>
        <v>6.5090695017254131E-3</v>
      </c>
      <c r="G43" s="3"/>
      <c r="H43" s="8">
        <v>1382.86</v>
      </c>
      <c r="I43" s="3"/>
      <c r="J43" s="7">
        <f t="shared" si="5"/>
        <v>2.4106319807325156E-2</v>
      </c>
      <c r="K43" s="3"/>
      <c r="L43" s="8">
        <f t="shared" si="6"/>
        <v>1250.72</v>
      </c>
      <c r="M43" s="3"/>
      <c r="N43" s="7">
        <f t="shared" si="7"/>
        <v>0.90444441230493333</v>
      </c>
      <c r="O43" s="12"/>
      <c r="P43" s="8">
        <v>29548.12</v>
      </c>
      <c r="Q43" s="3"/>
      <c r="R43" s="7">
        <f t="shared" si="8"/>
        <v>2.1131275110584925E-2</v>
      </c>
      <c r="S43" s="3"/>
      <c r="T43" s="8">
        <v>15955.32</v>
      </c>
      <c r="U43" s="3"/>
      <c r="V43" s="7">
        <f t="shared" si="9"/>
        <v>4.1297160903660562E-2</v>
      </c>
      <c r="W43" s="3"/>
      <c r="X43" s="8">
        <f t="shared" si="10"/>
        <v>13592.8</v>
      </c>
      <c r="Y43" s="3"/>
      <c r="Z43" s="7">
        <f t="shared" si="11"/>
        <v>0.85192901176535474</v>
      </c>
    </row>
    <row r="44" spans="1:26" s="69" customFormat="1" ht="15" hidden="1" customHeight="1" outlineLevel="2" x14ac:dyDescent="0.3">
      <c r="A44" s="25"/>
      <c r="B44" s="12" t="str">
        <f>CONCATENATE("          ","6156"," - ","EMPLOYEE MEALS")</f>
        <v xml:space="preserve">          6156 - EMPLOYEE MEALS</v>
      </c>
      <c r="C44" s="12"/>
      <c r="D44" s="8">
        <v>2480.25</v>
      </c>
      <c r="E44" s="3"/>
      <c r="F44" s="7">
        <f t="shared" si="4"/>
        <v>6.1301041288491171E-3</v>
      </c>
      <c r="G44" s="3"/>
      <c r="H44" s="8">
        <v>541.80999999999995</v>
      </c>
      <c r="I44" s="3"/>
      <c r="J44" s="7">
        <f t="shared" si="5"/>
        <v>9.4449511409736651E-3</v>
      </c>
      <c r="K44" s="3"/>
      <c r="L44" s="8">
        <f t="shared" si="6"/>
        <v>1938.44</v>
      </c>
      <c r="M44" s="3"/>
      <c r="N44" s="7">
        <f t="shared" si="7"/>
        <v>3.5777117439692887</v>
      </c>
      <c r="O44" s="12"/>
      <c r="P44" s="8">
        <v>15957.09</v>
      </c>
      <c r="Q44" s="3"/>
      <c r="R44" s="7">
        <f t="shared" si="8"/>
        <v>1.1411678941142908E-2</v>
      </c>
      <c r="S44" s="3"/>
      <c r="T44" s="8">
        <v>4985.78</v>
      </c>
      <c r="U44" s="3"/>
      <c r="V44" s="7">
        <f t="shared" si="9"/>
        <v>1.2904696295044709E-2</v>
      </c>
      <c r="W44" s="3"/>
      <c r="X44" s="8">
        <f t="shared" si="10"/>
        <v>10971.310000000001</v>
      </c>
      <c r="Y44" s="3"/>
      <c r="Z44" s="7">
        <f t="shared" si="11"/>
        <v>2.2005202796753971</v>
      </c>
    </row>
    <row r="45" spans="1:26" s="68" customFormat="1" ht="15" customHeight="1" outlineLevel="1" collapsed="1" x14ac:dyDescent="0.3">
      <c r="A45" s="26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130328.83</v>
      </c>
      <c r="E45" s="2"/>
      <c r="F45" s="6">
        <f t="shared" si="4"/>
        <v>0.32211643942791035</v>
      </c>
      <c r="G45" s="2"/>
      <c r="H45" s="2">
        <f>SUM(OSRRefH22_1x_0)</f>
        <v>27420.030000000002</v>
      </c>
      <c r="I45" s="2"/>
      <c r="J45" s="6">
        <f t="shared" si="5"/>
        <v>0.47799199651913432</v>
      </c>
      <c r="K45" s="2"/>
      <c r="L45" s="2">
        <f t="shared" si="6"/>
        <v>102908.8</v>
      </c>
      <c r="M45" s="2"/>
      <c r="N45" s="6">
        <f t="shared" si="7"/>
        <v>3.7530520572005206</v>
      </c>
      <c r="O45" s="14"/>
      <c r="P45" s="2">
        <f>SUM(OSRRefP22_1x_0)</f>
        <v>725657.55999999994</v>
      </c>
      <c r="Q45" s="2"/>
      <c r="R45" s="6">
        <f t="shared" si="8"/>
        <v>0.51895245912212984</v>
      </c>
      <c r="S45" s="2"/>
      <c r="T45" s="2">
        <f>SUM(OSRRefT22_1x_0)</f>
        <v>302884.70000000007</v>
      </c>
      <c r="U45" s="2"/>
      <c r="V45" s="6">
        <f t="shared" si="9"/>
        <v>0.78395658571291338</v>
      </c>
      <c r="W45" s="2"/>
      <c r="X45" s="2">
        <f t="shared" si="10"/>
        <v>422772.85999999987</v>
      </c>
      <c r="Y45" s="2"/>
      <c r="Z45" s="6">
        <f t="shared" si="11"/>
        <v>1.3958211160880685</v>
      </c>
    </row>
    <row r="46" spans="1:26" s="69" customFormat="1" ht="15" hidden="1" customHeight="1" outlineLevel="2" x14ac:dyDescent="0.3">
      <c r="A46" s="25"/>
      <c r="B46" s="12" t="str">
        <f>CONCATENATE("          ","6001"," - ","ADMINISTRATIVE SALARIES")</f>
        <v xml:space="preserve">          6001 - ADMINISTRATIVE SALARIES</v>
      </c>
      <c r="C46" s="12"/>
      <c r="D46" s="8">
        <v>11512.06</v>
      </c>
      <c r="E46" s="3"/>
      <c r="F46" s="7">
        <f t="shared" si="4"/>
        <v>2.8452827955874917E-2</v>
      </c>
      <c r="G46" s="3"/>
      <c r="H46" s="8">
        <v>10037.35</v>
      </c>
      <c r="I46" s="3"/>
      <c r="J46" s="7">
        <f t="shared" si="5"/>
        <v>0.17497329383889562</v>
      </c>
      <c r="K46" s="3"/>
      <c r="L46" s="8">
        <f t="shared" si="6"/>
        <v>1474.7099999999991</v>
      </c>
      <c r="M46" s="3"/>
      <c r="N46" s="7">
        <f t="shared" si="7"/>
        <v>0.14692224541338092</v>
      </c>
      <c r="O46" s="12"/>
      <c r="P46" s="8">
        <v>100708.35</v>
      </c>
      <c r="Q46" s="3"/>
      <c r="R46" s="7">
        <f t="shared" si="8"/>
        <v>7.202136209623744E-2</v>
      </c>
      <c r="S46" s="3"/>
      <c r="T46" s="8">
        <v>97219.25</v>
      </c>
      <c r="U46" s="3"/>
      <c r="V46" s="7">
        <f t="shared" si="9"/>
        <v>0.25163262223403871</v>
      </c>
      <c r="W46" s="3"/>
      <c r="X46" s="8">
        <f t="shared" si="10"/>
        <v>3489.1000000000058</v>
      </c>
      <c r="Y46" s="3"/>
      <c r="Z46" s="7">
        <f t="shared" si="11"/>
        <v>3.5888982891762754E-2</v>
      </c>
    </row>
    <row r="47" spans="1:26" s="69" customFormat="1" ht="15" hidden="1" customHeight="1" outlineLevel="2" x14ac:dyDescent="0.3">
      <c r="A47" s="25"/>
      <c r="B47" s="12" t="str">
        <f>CONCATENATE("          ","6002"," - ","STAFF SALARIES")</f>
        <v xml:space="preserve">          6002 - STAFF SALARIES</v>
      </c>
      <c r="C47" s="12"/>
      <c r="D47" s="8">
        <v>26029.14</v>
      </c>
      <c r="E47" s="3"/>
      <c r="F47" s="7">
        <f t="shared" si="4"/>
        <v>6.4332764271501544E-2</v>
      </c>
      <c r="G47" s="3"/>
      <c r="H47" s="8">
        <v>14052.4</v>
      </c>
      <c r="I47" s="3"/>
      <c r="J47" s="7">
        <f t="shared" si="5"/>
        <v>0.24496452891865847</v>
      </c>
      <c r="K47" s="3"/>
      <c r="L47" s="8">
        <f t="shared" si="6"/>
        <v>11976.74</v>
      </c>
      <c r="M47" s="3"/>
      <c r="N47" s="7">
        <f t="shared" si="7"/>
        <v>0.85229142352907694</v>
      </c>
      <c r="O47" s="12"/>
      <c r="P47" s="8">
        <v>217302.58</v>
      </c>
      <c r="Q47" s="3"/>
      <c r="R47" s="7">
        <f t="shared" si="8"/>
        <v>0.15540347745372257</v>
      </c>
      <c r="S47" s="3"/>
      <c r="T47" s="8">
        <v>175141.41</v>
      </c>
      <c r="U47" s="3"/>
      <c r="V47" s="7">
        <f t="shared" si="9"/>
        <v>0.45331857898581696</v>
      </c>
      <c r="W47" s="3"/>
      <c r="X47" s="8">
        <f t="shared" si="10"/>
        <v>42161.169999999984</v>
      </c>
      <c r="Y47" s="3"/>
      <c r="Z47" s="7">
        <f t="shared" si="11"/>
        <v>0.24072645070060805</v>
      </c>
    </row>
    <row r="48" spans="1:26" s="69" customFormat="1" ht="15" hidden="1" customHeight="1" outlineLevel="2" x14ac:dyDescent="0.3">
      <c r="A48" s="25"/>
      <c r="B48" s="12" t="str">
        <f>CONCATENATE("          ","6004"," - ","STAFF HOURLY")</f>
        <v xml:space="preserve">          6004 - STAFF HOURLY</v>
      </c>
      <c r="C48" s="12"/>
      <c r="D48" s="8">
        <v>13954.16</v>
      </c>
      <c r="E48" s="3"/>
      <c r="F48" s="7">
        <f t="shared" si="4"/>
        <v>3.4488641802488132E-2</v>
      </c>
      <c r="G48" s="3"/>
      <c r="H48" s="8">
        <v>2789.95</v>
      </c>
      <c r="I48" s="3"/>
      <c r="J48" s="7">
        <f t="shared" si="5"/>
        <v>4.863502230626876E-2</v>
      </c>
      <c r="K48" s="3"/>
      <c r="L48" s="8">
        <f t="shared" si="6"/>
        <v>11164.21</v>
      </c>
      <c r="M48" s="3"/>
      <c r="N48" s="7">
        <f t="shared" si="7"/>
        <v>4.001580673488772</v>
      </c>
      <c r="O48" s="12"/>
      <c r="P48" s="8">
        <v>108845.65</v>
      </c>
      <c r="Q48" s="3"/>
      <c r="R48" s="7">
        <f t="shared" si="8"/>
        <v>7.7840734867072353E-2</v>
      </c>
      <c r="S48" s="3"/>
      <c r="T48" s="8">
        <v>24559.33</v>
      </c>
      <c r="U48" s="3"/>
      <c r="V48" s="7">
        <f t="shared" si="9"/>
        <v>6.3566923301826478E-2</v>
      </c>
      <c r="W48" s="3"/>
      <c r="X48" s="8">
        <f t="shared" si="10"/>
        <v>84286.319999999992</v>
      </c>
      <c r="Y48" s="3"/>
      <c r="Z48" s="7">
        <f t="shared" si="11"/>
        <v>3.4319470441579631</v>
      </c>
    </row>
    <row r="49" spans="1:26" s="69" customFormat="1" ht="15" hidden="1" customHeight="1" outlineLevel="2" x14ac:dyDescent="0.3">
      <c r="A49" s="25"/>
      <c r="B49" s="12" t="str">
        <f>CONCATENATE("          ","6005"," - ","TEMPORARY WAGES-HOURLY")</f>
        <v xml:space="preserve">          6005 - TEMPORARY WAGES-HOURLY</v>
      </c>
      <c r="C49" s="12"/>
      <c r="D49" s="8">
        <v>17009.22</v>
      </c>
      <c r="E49" s="3"/>
      <c r="F49" s="7">
        <f t="shared" si="4"/>
        <v>4.2039427376475348E-2</v>
      </c>
      <c r="G49" s="3"/>
      <c r="H49" s="8">
        <v>172.33</v>
      </c>
      <c r="I49" s="3"/>
      <c r="J49" s="7">
        <f t="shared" si="5"/>
        <v>3.0040944798434728E-3</v>
      </c>
      <c r="K49" s="3"/>
      <c r="L49" s="8">
        <f t="shared" si="6"/>
        <v>16836.89</v>
      </c>
      <c r="M49" s="3"/>
      <c r="N49" s="7">
        <f t="shared" si="7"/>
        <v>97.701444902222477</v>
      </c>
      <c r="O49" s="12"/>
      <c r="P49" s="8">
        <v>116364.39</v>
      </c>
      <c r="Q49" s="3"/>
      <c r="R49" s="7">
        <f t="shared" si="8"/>
        <v>8.321774577081037E-2</v>
      </c>
      <c r="S49" s="3"/>
      <c r="T49" s="8">
        <v>5041</v>
      </c>
      <c r="U49" s="3"/>
      <c r="V49" s="7">
        <f t="shared" si="9"/>
        <v>1.3047622242321238E-2</v>
      </c>
      <c r="W49" s="3"/>
      <c r="X49" s="8">
        <f t="shared" si="10"/>
        <v>111323.39</v>
      </c>
      <c r="Y49" s="3"/>
      <c r="Z49" s="7">
        <f t="shared" si="11"/>
        <v>22.083592541162467</v>
      </c>
    </row>
    <row r="50" spans="1:26" s="69" customFormat="1" ht="15" hidden="1" customHeight="1" outlineLevel="2" x14ac:dyDescent="0.3">
      <c r="A50" s="25"/>
      <c r="B50" s="12" t="str">
        <f>CONCATENATE("          ","6006"," - ","TEMPORARY PART TIME")</f>
        <v xml:space="preserve">          6006 - TEMPORARY PART TIME</v>
      </c>
      <c r="C50" s="12"/>
      <c r="D50" s="8">
        <v>1702.24</v>
      </c>
      <c r="E50" s="3"/>
      <c r="F50" s="7">
        <f t="shared" si="4"/>
        <v>4.207200262994505E-3</v>
      </c>
      <c r="G50" s="3"/>
      <c r="H50" s="8"/>
      <c r="I50" s="3"/>
      <c r="J50" s="7">
        <f t="shared" si="5"/>
        <v>0</v>
      </c>
      <c r="K50" s="3"/>
      <c r="L50" s="8">
        <f t="shared" si="6"/>
        <v>1702.24</v>
      </c>
      <c r="M50" s="3"/>
      <c r="N50" s="7">
        <f t="shared" si="7"/>
        <v>0</v>
      </c>
      <c r="O50" s="12"/>
      <c r="P50" s="8">
        <v>2343.2399999999998</v>
      </c>
      <c r="Q50" s="3"/>
      <c r="R50" s="7">
        <f t="shared" si="8"/>
        <v>1.675763097284261E-3</v>
      </c>
      <c r="S50" s="3"/>
      <c r="T50" s="8"/>
      <c r="U50" s="3"/>
      <c r="V50" s="7">
        <f t="shared" si="9"/>
        <v>0</v>
      </c>
      <c r="W50" s="3"/>
      <c r="X50" s="8">
        <f t="shared" si="10"/>
        <v>2343.2399999999998</v>
      </c>
      <c r="Y50" s="3"/>
      <c r="Z50" s="7">
        <f t="shared" si="11"/>
        <v>0</v>
      </c>
    </row>
    <row r="51" spans="1:26" s="69" customFormat="1" ht="15" hidden="1" customHeight="1" outlineLevel="2" x14ac:dyDescent="0.3">
      <c r="A51" s="25"/>
      <c r="B51" s="12" t="str">
        <f>CONCATENATE("          ","6007"," - ","STUDENT HOURLY")</f>
        <v xml:space="preserve">          6007 - STUDENT HOURLY</v>
      </c>
      <c r="C51" s="12"/>
      <c r="D51" s="8">
        <v>55283.72</v>
      </c>
      <c r="E51" s="3"/>
      <c r="F51" s="7">
        <f t="shared" si="4"/>
        <v>0.13663741970774659</v>
      </c>
      <c r="G51" s="3"/>
      <c r="H51" s="8">
        <v>368</v>
      </c>
      <c r="I51" s="3"/>
      <c r="J51" s="7">
        <f t="shared" si="5"/>
        <v>6.4150569754679856E-3</v>
      </c>
      <c r="K51" s="3"/>
      <c r="L51" s="8">
        <f t="shared" si="6"/>
        <v>54915.72</v>
      </c>
      <c r="M51" s="3"/>
      <c r="N51" s="7">
        <f t="shared" si="7"/>
        <v>149.22749999999999</v>
      </c>
      <c r="O51" s="12"/>
      <c r="P51" s="8">
        <v>172968.66</v>
      </c>
      <c r="Q51" s="3"/>
      <c r="R51" s="7">
        <f t="shared" si="8"/>
        <v>0.12369816895183945</v>
      </c>
      <c r="S51" s="3"/>
      <c r="T51" s="8">
        <v>923.71</v>
      </c>
      <c r="U51" s="3"/>
      <c r="V51" s="7">
        <f t="shared" si="9"/>
        <v>2.3908389489098493E-3</v>
      </c>
      <c r="W51" s="3"/>
      <c r="X51" s="8">
        <f t="shared" si="10"/>
        <v>172044.95</v>
      </c>
      <c r="Y51" s="3"/>
      <c r="Z51" s="7">
        <f t="shared" si="11"/>
        <v>186.25428976626864</v>
      </c>
    </row>
    <row r="52" spans="1:26" s="69" customFormat="1" ht="15" hidden="1" customHeight="1" outlineLevel="2" x14ac:dyDescent="0.3">
      <c r="A52" s="25"/>
      <c r="B52" s="12" t="str">
        <f>CONCATENATE("          ","6008"," - ","STUDENT HOURLY-FICA EXEMPT")</f>
        <v xml:space="preserve">          6008 - STUDENT HOURLY-FICA EXEMPT</v>
      </c>
      <c r="C52" s="12"/>
      <c r="D52" s="8">
        <v>4838.29</v>
      </c>
      <c r="E52" s="3"/>
      <c r="F52" s="7">
        <f t="shared" si="4"/>
        <v>1.1958158050829309E-2</v>
      </c>
      <c r="G52" s="3"/>
      <c r="H52" s="8"/>
      <c r="I52" s="3"/>
      <c r="J52" s="7">
        <f t="shared" si="5"/>
        <v>0</v>
      </c>
      <c r="K52" s="3"/>
      <c r="L52" s="8">
        <f t="shared" si="6"/>
        <v>4838.29</v>
      </c>
      <c r="M52" s="3"/>
      <c r="N52" s="7">
        <f t="shared" si="7"/>
        <v>0</v>
      </c>
      <c r="O52" s="12"/>
      <c r="P52" s="8">
        <v>7124.69</v>
      </c>
      <c r="Q52" s="3"/>
      <c r="R52" s="7">
        <f t="shared" si="8"/>
        <v>5.0952068851633642E-3</v>
      </c>
      <c r="S52" s="3"/>
      <c r="T52" s="8"/>
      <c r="U52" s="3"/>
      <c r="V52" s="7">
        <f t="shared" si="9"/>
        <v>0</v>
      </c>
      <c r="W52" s="3"/>
      <c r="X52" s="8">
        <f t="shared" si="10"/>
        <v>7124.69</v>
      </c>
      <c r="Y52" s="3"/>
      <c r="Z52" s="7">
        <f t="shared" si="11"/>
        <v>0</v>
      </c>
    </row>
    <row r="53" spans="1:26" s="68" customFormat="1" ht="15" customHeight="1" outlineLevel="1" collapsed="1" x14ac:dyDescent="0.3">
      <c r="A53" s="26"/>
      <c r="B53" s="14" t="str">
        <f>CONCATENATE("     ","Advertising/Promo                                 ")</f>
        <v xml:space="preserve">     Advertising/Promo                                 </v>
      </c>
      <c r="C53" s="14"/>
      <c r="D53" s="2">
        <f>SUM(OSRRefD22_2x_0)</f>
        <v>221.85</v>
      </c>
      <c r="E53" s="2"/>
      <c r="F53" s="6">
        <f t="shared" si="4"/>
        <v>5.4831714584625607E-4</v>
      </c>
      <c r="G53" s="2"/>
      <c r="H53" s="2">
        <f>SUM(OSRRefH22_2x_0)</f>
        <v>155.19</v>
      </c>
      <c r="I53" s="2"/>
      <c r="J53" s="6">
        <f t="shared" si="5"/>
        <v>2.7053062283230343E-3</v>
      </c>
      <c r="K53" s="2"/>
      <c r="L53" s="2">
        <f t="shared" si="6"/>
        <v>66.66</v>
      </c>
      <c r="M53" s="2"/>
      <c r="N53" s="6">
        <f t="shared" si="7"/>
        <v>0.42953798569495455</v>
      </c>
      <c r="O53" s="14"/>
      <c r="P53" s="2">
        <f>SUM(OSRRefP22_2x_0)</f>
        <v>2167.0500000000002</v>
      </c>
      <c r="Q53" s="2"/>
      <c r="R53" s="6">
        <f t="shared" si="8"/>
        <v>1.5497611938895966E-3</v>
      </c>
      <c r="S53" s="2"/>
      <c r="T53" s="2">
        <f>SUM(OSRRefT22_2x_0)</f>
        <v>373.02</v>
      </c>
      <c r="U53" s="2"/>
      <c r="V53" s="6">
        <f t="shared" si="9"/>
        <v>9.6548780972637732E-4</v>
      </c>
      <c r="W53" s="2"/>
      <c r="X53" s="2">
        <f t="shared" si="10"/>
        <v>1794.0300000000002</v>
      </c>
      <c r="Y53" s="2"/>
      <c r="Z53" s="6">
        <f t="shared" si="11"/>
        <v>4.8094740228405994</v>
      </c>
    </row>
    <row r="54" spans="1:26" s="69" customFormat="1" ht="15" hidden="1" customHeight="1" outlineLevel="2" x14ac:dyDescent="0.3">
      <c r="A54" s="25"/>
      <c r="B54" s="12" t="str">
        <f>CONCATENATE("          ","6362"," - ","ADVERTISING EXPENSE")</f>
        <v xml:space="preserve">          6362 - ADVERTISING EXPENSE</v>
      </c>
      <c r="C54" s="12"/>
      <c r="D54" s="8">
        <v>221.85</v>
      </c>
      <c r="E54" s="3"/>
      <c r="F54" s="7">
        <f t="shared" si="4"/>
        <v>5.4831714584625607E-4</v>
      </c>
      <c r="G54" s="3"/>
      <c r="H54" s="8">
        <v>155.19</v>
      </c>
      <c r="I54" s="3"/>
      <c r="J54" s="7">
        <f t="shared" si="5"/>
        <v>2.7053062283230343E-3</v>
      </c>
      <c r="K54" s="3"/>
      <c r="L54" s="8">
        <f t="shared" si="6"/>
        <v>66.66</v>
      </c>
      <c r="M54" s="3"/>
      <c r="N54" s="7">
        <f t="shared" si="7"/>
        <v>0.42953798569495455</v>
      </c>
      <c r="O54" s="12"/>
      <c r="P54" s="8">
        <v>2167.0500000000002</v>
      </c>
      <c r="Q54" s="3"/>
      <c r="R54" s="7">
        <f t="shared" si="8"/>
        <v>1.5497611938895966E-3</v>
      </c>
      <c r="S54" s="3"/>
      <c r="T54" s="8">
        <v>373.02</v>
      </c>
      <c r="U54" s="3"/>
      <c r="V54" s="7">
        <f t="shared" si="9"/>
        <v>9.6548780972637732E-4</v>
      </c>
      <c r="W54" s="3"/>
      <c r="X54" s="8">
        <f t="shared" si="10"/>
        <v>1794.0300000000002</v>
      </c>
      <c r="Y54" s="3"/>
      <c r="Z54" s="7">
        <f t="shared" si="11"/>
        <v>4.8094740228405994</v>
      </c>
    </row>
    <row r="55" spans="1:26" s="68" customFormat="1" ht="15" customHeight="1" outlineLevel="1" collapsed="1" x14ac:dyDescent="0.3">
      <c r="A55" s="26"/>
      <c r="B55" s="14" t="str">
        <f>CONCATENATE("     ","Bad Debts/Over/Short                              ")</f>
        <v xml:space="preserve">     Bad Debts/Over/Short                              </v>
      </c>
      <c r="C55" s="14"/>
      <c r="D55" s="2">
        <f>SUM(OSRRefD22_3x_0)</f>
        <v>51.82</v>
      </c>
      <c r="E55" s="2"/>
      <c r="F55" s="6">
        <f t="shared" si="4"/>
        <v>1.280766035508361E-4</v>
      </c>
      <c r="G55" s="2"/>
      <c r="H55" s="2">
        <f>SUM(OSRRefH22_3x_0)</f>
        <v>-0.39</v>
      </c>
      <c r="I55" s="2"/>
      <c r="J55" s="6">
        <f t="shared" si="5"/>
        <v>-6.7985658163927024E-6</v>
      </c>
      <c r="K55" s="2"/>
      <c r="L55" s="2">
        <f t="shared" si="6"/>
        <v>52.21</v>
      </c>
      <c r="M55" s="2"/>
      <c r="N55" s="6">
        <f t="shared" si="7"/>
        <v>-133.87179487179486</v>
      </c>
      <c r="O55" s="14"/>
      <c r="P55" s="2">
        <f>SUM(OSRRefP22_3x_0)</f>
        <v>-20.46</v>
      </c>
      <c r="Q55" s="2"/>
      <c r="R55" s="6">
        <f t="shared" si="8"/>
        <v>-1.4631925441028654E-5</v>
      </c>
      <c r="S55" s="2"/>
      <c r="T55" s="2">
        <f>SUM(OSRRefT22_3x_0)</f>
        <v>11.71</v>
      </c>
      <c r="U55" s="2"/>
      <c r="V55" s="6">
        <f t="shared" si="9"/>
        <v>3.0308997511918608E-5</v>
      </c>
      <c r="W55" s="2"/>
      <c r="X55" s="2">
        <f t="shared" si="10"/>
        <v>-32.17</v>
      </c>
      <c r="Y55" s="2"/>
      <c r="Z55" s="6">
        <f t="shared" si="11"/>
        <v>-2.7472245943637916</v>
      </c>
    </row>
    <row r="56" spans="1:26" s="69" customFormat="1" ht="15" hidden="1" customHeight="1" outlineLevel="2" x14ac:dyDescent="0.3">
      <c r="A56" s="25"/>
      <c r="B56" s="12" t="str">
        <f>CONCATENATE("          ","6272"," - ","CASH (OVER/SHORT)")</f>
        <v xml:space="preserve">          6272 - CASH (OVER/SHORT)</v>
      </c>
      <c r="C56" s="12"/>
      <c r="D56" s="8">
        <v>51.82</v>
      </c>
      <c r="E56" s="3"/>
      <c r="F56" s="7">
        <f t="shared" si="4"/>
        <v>1.280766035508361E-4</v>
      </c>
      <c r="G56" s="3"/>
      <c r="H56" s="8">
        <v>-0.39</v>
      </c>
      <c r="I56" s="3"/>
      <c r="J56" s="7">
        <f t="shared" si="5"/>
        <v>-6.7985658163927024E-6</v>
      </c>
      <c r="K56" s="3"/>
      <c r="L56" s="8">
        <f t="shared" si="6"/>
        <v>52.21</v>
      </c>
      <c r="M56" s="3"/>
      <c r="N56" s="7">
        <f t="shared" si="7"/>
        <v>-133.87179487179486</v>
      </c>
      <c r="O56" s="12"/>
      <c r="P56" s="8">
        <v>-20.46</v>
      </c>
      <c r="Q56" s="3"/>
      <c r="R56" s="7">
        <f t="shared" si="8"/>
        <v>-1.4631925441028654E-5</v>
      </c>
      <c r="S56" s="3"/>
      <c r="T56" s="8">
        <v>11.71</v>
      </c>
      <c r="U56" s="3"/>
      <c r="V56" s="7">
        <f t="shared" si="9"/>
        <v>3.0308997511918608E-5</v>
      </c>
      <c r="W56" s="3"/>
      <c r="X56" s="8">
        <f t="shared" si="10"/>
        <v>-32.17</v>
      </c>
      <c r="Y56" s="3"/>
      <c r="Z56" s="7">
        <f t="shared" si="11"/>
        <v>-2.7472245943637916</v>
      </c>
    </row>
    <row r="57" spans="1:26" s="68" customFormat="1" ht="15" customHeight="1" outlineLevel="1" collapsed="1" x14ac:dyDescent="0.3">
      <c r="A57" s="26"/>
      <c r="B57" s="14" t="str">
        <f>CONCATENATE("     ","Bank/card Fees                                    ")</f>
        <v xml:space="preserve">     Bank/card Fees                                    </v>
      </c>
      <c r="C57" s="14"/>
      <c r="D57" s="2">
        <f>SUM(OSRRefD22_4x_0)</f>
        <v>15318.68</v>
      </c>
      <c r="E57" s="2"/>
      <c r="F57" s="6">
        <f t="shared" si="4"/>
        <v>3.7861144447744535E-2</v>
      </c>
      <c r="G57" s="2"/>
      <c r="H57" s="2">
        <f>SUM(OSRRefH22_4x_0)</f>
        <v>874.41</v>
      </c>
      <c r="I57" s="2"/>
      <c r="J57" s="6">
        <f t="shared" si="5"/>
        <v>1.5242907526953698E-2</v>
      </c>
      <c r="K57" s="2"/>
      <c r="L57" s="2">
        <f t="shared" si="6"/>
        <v>14444.27</v>
      </c>
      <c r="M57" s="2"/>
      <c r="N57" s="6">
        <f t="shared" si="7"/>
        <v>16.518875584679957</v>
      </c>
      <c r="O57" s="14"/>
      <c r="P57" s="2">
        <f>SUM(OSRRefP22_4x_0)</f>
        <v>52732.639999999999</v>
      </c>
      <c r="Q57" s="2"/>
      <c r="R57" s="6">
        <f t="shared" si="8"/>
        <v>3.7711635229159587E-2</v>
      </c>
      <c r="S57" s="2"/>
      <c r="T57" s="2">
        <f>SUM(OSRRefT22_4x_0)</f>
        <v>6946.03</v>
      </c>
      <c r="U57" s="2"/>
      <c r="V57" s="6">
        <f t="shared" si="9"/>
        <v>1.7978412125338343E-2</v>
      </c>
      <c r="W57" s="2"/>
      <c r="X57" s="2">
        <f t="shared" si="10"/>
        <v>45786.61</v>
      </c>
      <c r="Y57" s="2"/>
      <c r="Z57" s="6">
        <f t="shared" si="11"/>
        <v>6.5917668078024425</v>
      </c>
    </row>
    <row r="58" spans="1:26" s="69" customFormat="1" ht="15" hidden="1" customHeight="1" outlineLevel="2" x14ac:dyDescent="0.3">
      <c r="A58" s="25"/>
      <c r="B58" s="12" t="str">
        <f>CONCATENATE("          ","6381"," - ","BANK/CREDIT CARD FEES")</f>
        <v xml:space="preserve">          6381 - BANK/CREDIT CARD FEES</v>
      </c>
      <c r="C58" s="12"/>
      <c r="D58" s="8">
        <v>15318.68</v>
      </c>
      <c r="E58" s="3"/>
      <c r="F58" s="7">
        <f t="shared" si="4"/>
        <v>3.7861144447744535E-2</v>
      </c>
      <c r="G58" s="3"/>
      <c r="H58" s="8">
        <v>874.41</v>
      </c>
      <c r="I58" s="3"/>
      <c r="J58" s="7">
        <f t="shared" si="5"/>
        <v>1.5242907526953698E-2</v>
      </c>
      <c r="K58" s="3"/>
      <c r="L58" s="8">
        <f t="shared" si="6"/>
        <v>14444.27</v>
      </c>
      <c r="M58" s="3"/>
      <c r="N58" s="7">
        <f t="shared" si="7"/>
        <v>16.518875584679957</v>
      </c>
      <c r="O58" s="12"/>
      <c r="P58" s="8">
        <v>52732.639999999999</v>
      </c>
      <c r="Q58" s="3"/>
      <c r="R58" s="7">
        <f t="shared" si="8"/>
        <v>3.7711635229159587E-2</v>
      </c>
      <c r="S58" s="3"/>
      <c r="T58" s="8">
        <v>6946.03</v>
      </c>
      <c r="U58" s="3"/>
      <c r="V58" s="7">
        <f t="shared" si="9"/>
        <v>1.7978412125338343E-2</v>
      </c>
      <c r="W58" s="3"/>
      <c r="X58" s="8">
        <f t="shared" si="10"/>
        <v>45786.61</v>
      </c>
      <c r="Y58" s="3"/>
      <c r="Z58" s="7">
        <f t="shared" si="11"/>
        <v>6.5917668078024425</v>
      </c>
    </row>
    <row r="59" spans="1:26" s="68" customFormat="1" ht="15" customHeight="1" outlineLevel="1" collapsed="1" x14ac:dyDescent="0.3">
      <c r="A59" s="26"/>
      <c r="B59" s="14" t="str">
        <f>CONCATENATE("     ","Depreciation                                      ")</f>
        <v xml:space="preserve">     Depreciation                                      </v>
      </c>
      <c r="C59" s="14"/>
      <c r="D59" s="2">
        <f>SUM(OSRRefD22_5x_0)</f>
        <v>38531.99</v>
      </c>
      <c r="E59" s="2"/>
      <c r="F59" s="6">
        <f t="shared" si="4"/>
        <v>9.5234396126105375E-2</v>
      </c>
      <c r="G59" s="2"/>
      <c r="H59" s="2">
        <f>SUM(OSRRefH22_5x_0)</f>
        <v>45872.85</v>
      </c>
      <c r="I59" s="2"/>
      <c r="J59" s="6">
        <f t="shared" si="5"/>
        <v>0.79966561515515366</v>
      </c>
      <c r="K59" s="2"/>
      <c r="L59" s="2">
        <f t="shared" si="6"/>
        <v>-7340.8600000000006</v>
      </c>
      <c r="M59" s="2"/>
      <c r="N59" s="6">
        <f t="shared" si="7"/>
        <v>-0.16002624646168706</v>
      </c>
      <c r="O59" s="14"/>
      <c r="P59" s="2">
        <f>SUM(OSRRefP22_5x_0)</f>
        <v>353906.81</v>
      </c>
      <c r="Q59" s="2"/>
      <c r="R59" s="6">
        <f t="shared" si="8"/>
        <v>0.25309570171027829</v>
      </c>
      <c r="S59" s="2"/>
      <c r="T59" s="2">
        <f>SUM(OSRRefT22_5x_0)</f>
        <v>415860.45</v>
      </c>
      <c r="U59" s="2"/>
      <c r="V59" s="6">
        <f t="shared" si="9"/>
        <v>1.0763717629680063</v>
      </c>
      <c r="W59" s="2"/>
      <c r="X59" s="2">
        <f t="shared" si="10"/>
        <v>-61953.640000000014</v>
      </c>
      <c r="Y59" s="2"/>
      <c r="Z59" s="6">
        <f t="shared" si="11"/>
        <v>-0.14897699456632629</v>
      </c>
    </row>
    <row r="60" spans="1:26" s="69" customFormat="1" ht="15" hidden="1" customHeight="1" outlineLevel="2" x14ac:dyDescent="0.3">
      <c r="A60" s="25"/>
      <c r="B60" s="12" t="str">
        <f>CONCATENATE("          ","6321"," - ","BUILDING DEPRECIATION")</f>
        <v xml:space="preserve">          6321 - BUILDING DEPRECIATION</v>
      </c>
      <c r="C60" s="12"/>
      <c r="D60" s="8">
        <v>28619.91</v>
      </c>
      <c r="E60" s="3"/>
      <c r="F60" s="7">
        <f t="shared" si="4"/>
        <v>7.0736025988626203E-2</v>
      </c>
      <c r="G60" s="3"/>
      <c r="H60" s="8">
        <v>28664</v>
      </c>
      <c r="I60" s="3"/>
      <c r="J60" s="7">
        <f t="shared" si="5"/>
        <v>0.49967715528482154</v>
      </c>
      <c r="K60" s="3"/>
      <c r="L60" s="8">
        <f t="shared" si="6"/>
        <v>-44.090000000000146</v>
      </c>
      <c r="M60" s="3"/>
      <c r="N60" s="7">
        <f t="shared" si="7"/>
        <v>-1.5381663410549869E-3</v>
      </c>
      <c r="O60" s="12"/>
      <c r="P60" s="8">
        <v>257667.33</v>
      </c>
      <c r="Q60" s="3"/>
      <c r="R60" s="7">
        <f t="shared" si="8"/>
        <v>0.18427024248039714</v>
      </c>
      <c r="S60" s="3"/>
      <c r="T60" s="8">
        <v>258760.19</v>
      </c>
      <c r="U60" s="3"/>
      <c r="V60" s="7">
        <f t="shared" si="9"/>
        <v>0.66974909947853001</v>
      </c>
      <c r="W60" s="3"/>
      <c r="X60" s="8">
        <f t="shared" si="10"/>
        <v>-1092.8600000000151</v>
      </c>
      <c r="Y60" s="3"/>
      <c r="Z60" s="7">
        <f t="shared" si="11"/>
        <v>-4.2234472002822968E-3</v>
      </c>
    </row>
    <row r="61" spans="1:26" s="69" customFormat="1" ht="15" hidden="1" customHeight="1" outlineLevel="2" x14ac:dyDescent="0.3">
      <c r="A61" s="25"/>
      <c r="B61" s="12" t="str">
        <f>CONCATENATE("          ","6322"," - ","EQUIPMENT DEPRECIATION EXPENSE")</f>
        <v xml:space="preserve">          6322 - EQUIPMENT DEPRECIATION EXPENSE</v>
      </c>
      <c r="C61" s="12"/>
      <c r="D61" s="8">
        <v>9912.08</v>
      </c>
      <c r="E61" s="3"/>
      <c r="F61" s="7">
        <f t="shared" si="4"/>
        <v>2.4498370137479186E-2</v>
      </c>
      <c r="G61" s="3"/>
      <c r="H61" s="8">
        <v>17208.849999999999</v>
      </c>
      <c r="I61" s="3"/>
      <c r="J61" s="7">
        <f t="shared" si="5"/>
        <v>0.29998845987033212</v>
      </c>
      <c r="K61" s="3"/>
      <c r="L61" s="8">
        <f t="shared" si="6"/>
        <v>-7296.7699999999986</v>
      </c>
      <c r="M61" s="3"/>
      <c r="N61" s="7">
        <f t="shared" si="7"/>
        <v>-0.42401264465667371</v>
      </c>
      <c r="O61" s="12"/>
      <c r="P61" s="8">
        <v>96239.48</v>
      </c>
      <c r="Q61" s="3"/>
      <c r="R61" s="7">
        <f t="shared" si="8"/>
        <v>6.8825459229881147E-2</v>
      </c>
      <c r="S61" s="3"/>
      <c r="T61" s="8">
        <v>157100.26</v>
      </c>
      <c r="U61" s="3"/>
      <c r="V61" s="7">
        <f t="shared" si="9"/>
        <v>0.40662266348947623</v>
      </c>
      <c r="W61" s="3"/>
      <c r="X61" s="8">
        <f t="shared" si="10"/>
        <v>-60860.780000000013</v>
      </c>
      <c r="Y61" s="3"/>
      <c r="Z61" s="7">
        <f t="shared" si="11"/>
        <v>-0.38740088654213561</v>
      </c>
    </row>
    <row r="62" spans="1:26" s="68" customFormat="1" ht="15" customHeight="1" outlineLevel="1" collapsed="1" x14ac:dyDescent="0.3">
      <c r="A62" s="26"/>
      <c r="B62" s="14" t="str">
        <f>CONCATENATE("     ","Employees' Appreciation                           ")</f>
        <v xml:space="preserve">     Employees' Appreciation                           </v>
      </c>
      <c r="C62" s="14"/>
      <c r="D62" s="2">
        <f>SUM(OSRRefD22_6x_0)</f>
        <v>0</v>
      </c>
      <c r="E62" s="2"/>
      <c r="F62" s="6">
        <f t="shared" si="4"/>
        <v>0</v>
      </c>
      <c r="G62" s="2"/>
      <c r="H62" s="2">
        <f>SUM(OSRRefH22_6x_0)</f>
        <v>0</v>
      </c>
      <c r="I62" s="2"/>
      <c r="J62" s="6">
        <f t="shared" si="5"/>
        <v>0</v>
      </c>
      <c r="K62" s="2"/>
      <c r="L62" s="2">
        <f t="shared" si="6"/>
        <v>0</v>
      </c>
      <c r="M62" s="2"/>
      <c r="N62" s="6">
        <f t="shared" si="7"/>
        <v>0</v>
      </c>
      <c r="O62" s="14"/>
      <c r="P62" s="2">
        <f>SUM(OSRRefP22_6x_0)</f>
        <v>314.87</v>
      </c>
      <c r="Q62" s="2"/>
      <c r="R62" s="6">
        <f t="shared" si="8"/>
        <v>2.251786101474434E-4</v>
      </c>
      <c r="S62" s="2"/>
      <c r="T62" s="2">
        <f>SUM(OSRRefT22_6x_0)</f>
        <v>10</v>
      </c>
      <c r="U62" s="2"/>
      <c r="V62" s="6">
        <f t="shared" si="9"/>
        <v>2.5883003853047485E-5</v>
      </c>
      <c r="W62" s="2"/>
      <c r="X62" s="2">
        <f t="shared" si="10"/>
        <v>304.87</v>
      </c>
      <c r="Y62" s="2"/>
      <c r="Z62" s="6">
        <f t="shared" si="11"/>
        <v>30.487000000000002</v>
      </c>
    </row>
    <row r="63" spans="1:26" s="69" customFormat="1" ht="15" hidden="1" customHeight="1" outlineLevel="2" x14ac:dyDescent="0.3">
      <c r="A63" s="25"/>
      <c r="B63" s="12" t="str">
        <f>CONCATENATE("          ","6277"," - ","EMPLOYEE APPRECIATION")</f>
        <v xml:space="preserve">          6277 - EMPLOYEE APPRECIATION</v>
      </c>
      <c r="C63" s="12"/>
      <c r="D63" s="8"/>
      <c r="E63" s="3"/>
      <c r="F63" s="7">
        <f t="shared" si="4"/>
        <v>0</v>
      </c>
      <c r="G63" s="3"/>
      <c r="H63" s="8"/>
      <c r="I63" s="3"/>
      <c r="J63" s="7">
        <f t="shared" si="5"/>
        <v>0</v>
      </c>
      <c r="K63" s="3"/>
      <c r="L63" s="8">
        <f t="shared" si="6"/>
        <v>0</v>
      </c>
      <c r="M63" s="3"/>
      <c r="N63" s="7">
        <f t="shared" si="7"/>
        <v>0</v>
      </c>
      <c r="O63" s="12"/>
      <c r="P63" s="8">
        <v>314.87</v>
      </c>
      <c r="Q63" s="3"/>
      <c r="R63" s="7">
        <f t="shared" si="8"/>
        <v>2.251786101474434E-4</v>
      </c>
      <c r="S63" s="3"/>
      <c r="T63" s="8">
        <v>10</v>
      </c>
      <c r="U63" s="3"/>
      <c r="V63" s="7">
        <f t="shared" si="9"/>
        <v>2.5883003853047485E-5</v>
      </c>
      <c r="W63" s="3"/>
      <c r="X63" s="8">
        <f t="shared" si="10"/>
        <v>304.87</v>
      </c>
      <c r="Y63" s="3"/>
      <c r="Z63" s="7">
        <f t="shared" si="11"/>
        <v>30.487000000000002</v>
      </c>
    </row>
    <row r="64" spans="1:26" s="68" customFormat="1" ht="15" customHeight="1" outlineLevel="1" collapsed="1" x14ac:dyDescent="0.3">
      <c r="A64" s="26"/>
      <c r="B64" s="14" t="str">
        <f>CONCATENATE("     ","Equipment Rental                                  ")</f>
        <v xml:space="preserve">     Equipment Rental                                  </v>
      </c>
      <c r="C64" s="14"/>
      <c r="D64" s="2">
        <f>SUM(OSRRefD22_7x_0)</f>
        <v>632.67999999999995</v>
      </c>
      <c r="E64" s="2"/>
      <c r="F64" s="6">
        <f t="shared" si="4"/>
        <v>1.5637110292269969E-3</v>
      </c>
      <c r="G64" s="2"/>
      <c r="H64" s="2">
        <f>SUM(OSRRefH22_7x_0)</f>
        <v>163.80000000000001</v>
      </c>
      <c r="I64" s="2"/>
      <c r="J64" s="6">
        <f t="shared" si="5"/>
        <v>2.8553976428849349E-3</v>
      </c>
      <c r="K64" s="2"/>
      <c r="L64" s="2">
        <f t="shared" si="6"/>
        <v>468.87999999999994</v>
      </c>
      <c r="M64" s="2"/>
      <c r="N64" s="6">
        <f t="shared" si="7"/>
        <v>2.8625152625152621</v>
      </c>
      <c r="O64" s="14"/>
      <c r="P64" s="2">
        <f>SUM(OSRRefP22_7x_0)</f>
        <v>8053.34</v>
      </c>
      <c r="Q64" s="2"/>
      <c r="R64" s="6">
        <f t="shared" si="8"/>
        <v>5.7593289555842473E-3</v>
      </c>
      <c r="S64" s="2"/>
      <c r="T64" s="2">
        <f>SUM(OSRRefT22_7x_0)</f>
        <v>5325.18</v>
      </c>
      <c r="U64" s="2"/>
      <c r="V64" s="6">
        <f t="shared" si="9"/>
        <v>1.3783165445817142E-2</v>
      </c>
      <c r="W64" s="2"/>
      <c r="X64" s="2">
        <f t="shared" si="10"/>
        <v>2728.16</v>
      </c>
      <c r="Y64" s="2"/>
      <c r="Z64" s="6">
        <f t="shared" si="11"/>
        <v>0.51231319880266957</v>
      </c>
    </row>
    <row r="65" spans="1:26" s="69" customFormat="1" ht="15" hidden="1" customHeight="1" outlineLevel="2" x14ac:dyDescent="0.3">
      <c r="A65" s="25"/>
      <c r="B65" s="12" t="str">
        <f>CONCATENATE("          ","6351"," - ","EQUIPMENT RENTAL")</f>
        <v xml:space="preserve">          6351 - EQUIPMENT RENTAL</v>
      </c>
      <c r="C65" s="12"/>
      <c r="D65" s="8">
        <v>632.67999999999995</v>
      </c>
      <c r="E65" s="3"/>
      <c r="F65" s="7">
        <f t="shared" si="4"/>
        <v>1.5637110292269969E-3</v>
      </c>
      <c r="G65" s="3"/>
      <c r="H65" s="8">
        <v>163.80000000000001</v>
      </c>
      <c r="I65" s="3"/>
      <c r="J65" s="7">
        <f t="shared" si="5"/>
        <v>2.8553976428849349E-3</v>
      </c>
      <c r="K65" s="3"/>
      <c r="L65" s="8">
        <f t="shared" si="6"/>
        <v>468.87999999999994</v>
      </c>
      <c r="M65" s="3"/>
      <c r="N65" s="7">
        <f t="shared" si="7"/>
        <v>2.8625152625152621</v>
      </c>
      <c r="O65" s="12"/>
      <c r="P65" s="8">
        <v>8053.34</v>
      </c>
      <c r="Q65" s="3"/>
      <c r="R65" s="7">
        <f t="shared" si="8"/>
        <v>5.7593289555842473E-3</v>
      </c>
      <c r="S65" s="3"/>
      <c r="T65" s="8">
        <v>5325.18</v>
      </c>
      <c r="U65" s="3"/>
      <c r="V65" s="7">
        <f t="shared" si="9"/>
        <v>1.3783165445817142E-2</v>
      </c>
      <c r="W65" s="3"/>
      <c r="X65" s="8">
        <f t="shared" si="10"/>
        <v>2728.16</v>
      </c>
      <c r="Y65" s="3"/>
      <c r="Z65" s="7">
        <f t="shared" si="11"/>
        <v>0.51231319880266957</v>
      </c>
    </row>
    <row r="66" spans="1:26" s="68" customFormat="1" ht="15" customHeight="1" outlineLevel="1" collapsed="1" x14ac:dyDescent="0.3">
      <c r="A66" s="26"/>
      <c r="B66" s="14" t="str">
        <f>CONCATENATE("     ","Freight out/Postage                               ")</f>
        <v xml:space="preserve">     Freight out/Postage                               </v>
      </c>
      <c r="C66" s="14"/>
      <c r="D66" s="2">
        <f>SUM(OSRRefD22_8x_0)</f>
        <v>0</v>
      </c>
      <c r="E66" s="2"/>
      <c r="F66" s="6">
        <f t="shared" ref="F66:F97" si="12">IF(D$12=0,0,D66/D$12)</f>
        <v>0</v>
      </c>
      <c r="G66" s="2"/>
      <c r="H66" s="2">
        <f>SUM(OSRRefH22_8x_0)</f>
        <v>41.93</v>
      </c>
      <c r="I66" s="2"/>
      <c r="J66" s="6">
        <f t="shared" ref="J66:J97" si="13">IF(H$12=0,0,H66/H$12)</f>
        <v>7.3093298636242555E-4</v>
      </c>
      <c r="K66" s="2"/>
      <c r="L66" s="2">
        <f t="shared" ref="L66:L97" si="14">+D66-H66</f>
        <v>-41.93</v>
      </c>
      <c r="M66" s="2"/>
      <c r="N66" s="6">
        <f t="shared" ref="N66:N97" si="15">IF(H66=0,0,L66/H66)</f>
        <v>-1</v>
      </c>
      <c r="O66" s="14"/>
      <c r="P66" s="2">
        <f>SUM(OSRRefP22_8x_0)</f>
        <v>0</v>
      </c>
      <c r="Q66" s="2"/>
      <c r="R66" s="6">
        <f t="shared" ref="R66:R97" si="16">IF(P$12=0,0,P66/P$12)</f>
        <v>0</v>
      </c>
      <c r="S66" s="2"/>
      <c r="T66" s="2">
        <f>SUM(OSRRefT22_8x_0)</f>
        <v>244.41</v>
      </c>
      <c r="U66" s="2"/>
      <c r="V66" s="6">
        <f t="shared" ref="V66:V97" si="17">IF(T$12=0,0,T66/T$12)</f>
        <v>6.3260649717233365E-4</v>
      </c>
      <c r="W66" s="2"/>
      <c r="X66" s="2">
        <f t="shared" ref="X66:X97" si="18">+P66-T66</f>
        <v>-244.41</v>
      </c>
      <c r="Y66" s="2"/>
      <c r="Z66" s="6">
        <f t="shared" ref="Z66:Z97" si="19">IF(T66=0,0,X66/T66)</f>
        <v>-1</v>
      </c>
    </row>
    <row r="67" spans="1:26" s="69" customFormat="1" ht="15" hidden="1" customHeight="1" outlineLevel="2" x14ac:dyDescent="0.3">
      <c r="A67" s="25"/>
      <c r="B67" s="12" t="str">
        <f>CONCATENATE("          ","6305"," - ","FREIGHT OUT")</f>
        <v xml:space="preserve">          6305 - FREIGHT OUT</v>
      </c>
      <c r="C67" s="12"/>
      <c r="D67" s="8"/>
      <c r="E67" s="3"/>
      <c r="F67" s="7">
        <f t="shared" si="12"/>
        <v>0</v>
      </c>
      <c r="G67" s="3"/>
      <c r="H67" s="8">
        <v>41.93</v>
      </c>
      <c r="I67" s="3"/>
      <c r="J67" s="7">
        <f t="shared" si="13"/>
        <v>7.3093298636242555E-4</v>
      </c>
      <c r="K67" s="3"/>
      <c r="L67" s="8">
        <f t="shared" si="14"/>
        <v>-41.93</v>
      </c>
      <c r="M67" s="3"/>
      <c r="N67" s="7">
        <f t="shared" si="15"/>
        <v>-1</v>
      </c>
      <c r="O67" s="12"/>
      <c r="P67" s="8"/>
      <c r="Q67" s="3"/>
      <c r="R67" s="7">
        <f t="shared" si="16"/>
        <v>0</v>
      </c>
      <c r="S67" s="3"/>
      <c r="T67" s="8">
        <v>249.82</v>
      </c>
      <c r="U67" s="3"/>
      <c r="V67" s="7">
        <f t="shared" si="17"/>
        <v>6.466092022568323E-4</v>
      </c>
      <c r="W67" s="3"/>
      <c r="X67" s="8">
        <f t="shared" si="18"/>
        <v>-249.82</v>
      </c>
      <c r="Y67" s="3"/>
      <c r="Z67" s="7">
        <f t="shared" si="19"/>
        <v>-1</v>
      </c>
    </row>
    <row r="68" spans="1:26" s="69" customFormat="1" ht="15" hidden="1" customHeight="1" outlineLevel="2" x14ac:dyDescent="0.3">
      <c r="A68" s="25"/>
      <c r="B68" s="12" t="str">
        <f>CONCATENATE("          ","6307"," - ","POSTAGE")</f>
        <v xml:space="preserve">          6307 - POSTAGE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/>
      <c r="Q68" s="3"/>
      <c r="R68" s="7">
        <f t="shared" si="16"/>
        <v>0</v>
      </c>
      <c r="S68" s="3"/>
      <c r="T68" s="8">
        <v>-5.41</v>
      </c>
      <c r="U68" s="3"/>
      <c r="V68" s="7">
        <f t="shared" si="17"/>
        <v>-1.400270508449869E-5</v>
      </c>
      <c r="W68" s="3"/>
      <c r="X68" s="8">
        <f t="shared" si="18"/>
        <v>5.41</v>
      </c>
      <c r="Y68" s="3"/>
      <c r="Z68" s="7">
        <f t="shared" si="19"/>
        <v>-1</v>
      </c>
    </row>
    <row r="69" spans="1:26" s="68" customFormat="1" ht="15" customHeight="1" outlineLevel="1" collapsed="1" x14ac:dyDescent="0.3">
      <c r="A69" s="26"/>
      <c r="B69" s="14" t="str">
        <f>CONCATENATE("     ","General                                           ")</f>
        <v xml:space="preserve">     General                                           </v>
      </c>
      <c r="C69" s="14"/>
      <c r="D69" s="2">
        <f>SUM(OSRRefD22_9x_0)</f>
        <v>1494.65</v>
      </c>
      <c r="E69" s="2"/>
      <c r="F69" s="6">
        <f t="shared" si="12"/>
        <v>3.6941276630115243E-3</v>
      </c>
      <c r="G69" s="2"/>
      <c r="H69" s="2">
        <f>SUM(OSRRefH22_9x_0)</f>
        <v>1101.3699999999999</v>
      </c>
      <c r="I69" s="2"/>
      <c r="J69" s="6">
        <f t="shared" si="13"/>
        <v>1.919932418769341E-2</v>
      </c>
      <c r="K69" s="2"/>
      <c r="L69" s="2">
        <f t="shared" si="14"/>
        <v>393.2800000000002</v>
      </c>
      <c r="M69" s="2"/>
      <c r="N69" s="6">
        <f t="shared" si="15"/>
        <v>0.35708254265142525</v>
      </c>
      <c r="O69" s="14"/>
      <c r="P69" s="2">
        <f>SUM(OSRRefP22_9x_0)</f>
        <v>23718</v>
      </c>
      <c r="Q69" s="2"/>
      <c r="R69" s="6">
        <f t="shared" si="16"/>
        <v>1.6961877204805357E-2</v>
      </c>
      <c r="S69" s="2"/>
      <c r="T69" s="2">
        <f>SUM(OSRRefT22_9x_0)</f>
        <v>10860.34</v>
      </c>
      <c r="U69" s="2"/>
      <c r="V69" s="6">
        <f t="shared" si="17"/>
        <v>2.8109822206540576E-2</v>
      </c>
      <c r="W69" s="2"/>
      <c r="X69" s="2">
        <f t="shared" si="18"/>
        <v>12857.66</v>
      </c>
      <c r="Y69" s="2"/>
      <c r="Z69" s="6">
        <f t="shared" si="19"/>
        <v>1.1839095276943448</v>
      </c>
    </row>
    <row r="70" spans="1:26" s="69" customFormat="1" ht="15" hidden="1" customHeight="1" outlineLevel="2" x14ac:dyDescent="0.3">
      <c r="A70" s="25"/>
      <c r="B70" s="12" t="str">
        <f>CONCATENATE("          ","6279"," - ","GENERAL EXPENSE")</f>
        <v xml:space="preserve">          6279 - GENERAL EXPENSE</v>
      </c>
      <c r="C70" s="12"/>
      <c r="D70" s="8">
        <v>1494.65</v>
      </c>
      <c r="E70" s="3"/>
      <c r="F70" s="7">
        <f t="shared" si="12"/>
        <v>3.6941276630115243E-3</v>
      </c>
      <c r="G70" s="3"/>
      <c r="H70" s="8">
        <v>1101.3699999999999</v>
      </c>
      <c r="I70" s="3"/>
      <c r="J70" s="7">
        <f t="shared" si="13"/>
        <v>1.919932418769341E-2</v>
      </c>
      <c r="K70" s="3"/>
      <c r="L70" s="8">
        <f t="shared" si="14"/>
        <v>393.2800000000002</v>
      </c>
      <c r="M70" s="3"/>
      <c r="N70" s="7">
        <f t="shared" si="15"/>
        <v>0.35708254265142525</v>
      </c>
      <c r="O70" s="12"/>
      <c r="P70" s="8">
        <v>23718</v>
      </c>
      <c r="Q70" s="3"/>
      <c r="R70" s="7">
        <f t="shared" si="16"/>
        <v>1.6961877204805357E-2</v>
      </c>
      <c r="S70" s="3"/>
      <c r="T70" s="8">
        <v>10860.34</v>
      </c>
      <c r="U70" s="3"/>
      <c r="V70" s="7">
        <f t="shared" si="17"/>
        <v>2.8109822206540576E-2</v>
      </c>
      <c r="W70" s="3"/>
      <c r="X70" s="8">
        <f t="shared" si="18"/>
        <v>12857.66</v>
      </c>
      <c r="Y70" s="3"/>
      <c r="Z70" s="7">
        <f t="shared" si="19"/>
        <v>1.1839095276943448</v>
      </c>
    </row>
    <row r="71" spans="1:26" s="68" customFormat="1" ht="15" customHeight="1" outlineLevel="1" collapsed="1" x14ac:dyDescent="0.3">
      <c r="A71" s="26"/>
      <c r="B71" s="14" t="str">
        <f>CONCATENATE("     ","Insurance                                         ")</f>
        <v xml:space="preserve">     Insurance                                         </v>
      </c>
      <c r="C71" s="14"/>
      <c r="D71" s="2">
        <f>SUM(OSRRefD22_10x_0)</f>
        <v>6087.22</v>
      </c>
      <c r="E71" s="2"/>
      <c r="F71" s="6">
        <f t="shared" si="12"/>
        <v>1.5044972262962574E-2</v>
      </c>
      <c r="G71" s="2"/>
      <c r="H71" s="2">
        <f>SUM(OSRRefH22_10x_0)</f>
        <v>4483.67</v>
      </c>
      <c r="I71" s="2"/>
      <c r="J71" s="6">
        <f t="shared" si="13"/>
        <v>7.8160322035860166E-2</v>
      </c>
      <c r="K71" s="2"/>
      <c r="L71" s="2">
        <f t="shared" si="14"/>
        <v>1603.5500000000002</v>
      </c>
      <c r="M71" s="2"/>
      <c r="N71" s="6">
        <f t="shared" si="15"/>
        <v>0.35764228857163888</v>
      </c>
      <c r="O71" s="14"/>
      <c r="P71" s="2">
        <f>SUM(OSRRefP22_10x_0)</f>
        <v>61667.98</v>
      </c>
      <c r="Q71" s="2"/>
      <c r="R71" s="6">
        <f t="shared" si="16"/>
        <v>4.4101724606981731E-2</v>
      </c>
      <c r="S71" s="2"/>
      <c r="T71" s="2">
        <f>SUM(OSRRefT22_10x_0)</f>
        <v>46465.03</v>
      </c>
      <c r="U71" s="2"/>
      <c r="V71" s="6">
        <f t="shared" si="17"/>
        <v>0.1202654550521967</v>
      </c>
      <c r="W71" s="2"/>
      <c r="X71" s="2">
        <f t="shared" si="18"/>
        <v>15202.950000000004</v>
      </c>
      <c r="Y71" s="2"/>
      <c r="Z71" s="6">
        <f t="shared" si="19"/>
        <v>0.32719122316288196</v>
      </c>
    </row>
    <row r="72" spans="1:26" s="69" customFormat="1" ht="15" hidden="1" customHeight="1" outlineLevel="2" x14ac:dyDescent="0.3">
      <c r="A72" s="25"/>
      <c r="B72" s="12" t="str">
        <f>CONCATENATE("          ","6314"," - ","LIABILITY INSURANCE")</f>
        <v xml:space="preserve">          6314 - LIABILITY INSURANCE</v>
      </c>
      <c r="C72" s="12"/>
      <c r="D72" s="8">
        <v>6087.22</v>
      </c>
      <c r="E72" s="3"/>
      <c r="F72" s="7">
        <f t="shared" si="12"/>
        <v>1.5044972262962574E-2</v>
      </c>
      <c r="G72" s="3"/>
      <c r="H72" s="8">
        <v>4483.67</v>
      </c>
      <c r="I72" s="3"/>
      <c r="J72" s="7">
        <f t="shared" si="13"/>
        <v>7.8160322035860166E-2</v>
      </c>
      <c r="K72" s="3"/>
      <c r="L72" s="8">
        <f t="shared" si="14"/>
        <v>1603.5500000000002</v>
      </c>
      <c r="M72" s="3"/>
      <c r="N72" s="7">
        <f t="shared" si="15"/>
        <v>0.35764228857163888</v>
      </c>
      <c r="O72" s="12"/>
      <c r="P72" s="8">
        <v>61667.98</v>
      </c>
      <c r="Q72" s="3"/>
      <c r="R72" s="7">
        <f t="shared" si="16"/>
        <v>4.4101724606981731E-2</v>
      </c>
      <c r="S72" s="3"/>
      <c r="T72" s="8">
        <v>46465.03</v>
      </c>
      <c r="U72" s="3"/>
      <c r="V72" s="7">
        <f t="shared" si="17"/>
        <v>0.1202654550521967</v>
      </c>
      <c r="W72" s="3"/>
      <c r="X72" s="8">
        <f t="shared" si="18"/>
        <v>15202.950000000004</v>
      </c>
      <c r="Y72" s="3"/>
      <c r="Z72" s="7">
        <f t="shared" si="19"/>
        <v>0.32719122316288196</v>
      </c>
    </row>
    <row r="73" spans="1:26" s="68" customFormat="1" ht="15" customHeight="1" outlineLevel="1" collapsed="1" x14ac:dyDescent="0.3">
      <c r="A73" s="26"/>
      <c r="B73" s="14" t="str">
        <f>CONCATENATE("     ","Interest                                          ")</f>
        <v xml:space="preserve">     Interest                                          </v>
      </c>
      <c r="C73" s="14"/>
      <c r="D73" s="2">
        <f>SUM(OSRRefD22_11x_0)</f>
        <v>11158</v>
      </c>
      <c r="E73" s="2"/>
      <c r="F73" s="6">
        <f t="shared" si="12"/>
        <v>2.7577744932848883E-2</v>
      </c>
      <c r="G73" s="2"/>
      <c r="H73" s="2">
        <f>SUM(OSRRefH22_11x_0)</f>
        <v>11554</v>
      </c>
      <c r="I73" s="2"/>
      <c r="J73" s="6">
        <f t="shared" si="13"/>
        <v>0.20141187036564429</v>
      </c>
      <c r="K73" s="2"/>
      <c r="L73" s="2">
        <f t="shared" si="14"/>
        <v>-396</v>
      </c>
      <c r="M73" s="2"/>
      <c r="N73" s="6">
        <f t="shared" si="15"/>
        <v>-3.4273844555997926E-2</v>
      </c>
      <c r="O73" s="14"/>
      <c r="P73" s="2">
        <f>SUM(OSRRefP22_11x_0)</f>
        <v>99632</v>
      </c>
      <c r="Q73" s="2"/>
      <c r="R73" s="6">
        <f t="shared" si="16"/>
        <v>7.1251612685267196E-2</v>
      </c>
      <c r="S73" s="2"/>
      <c r="T73" s="2">
        <f>SUM(OSRRefT22_11x_0)</f>
        <v>103237</v>
      </c>
      <c r="U73" s="2"/>
      <c r="V73" s="6">
        <f t="shared" si="17"/>
        <v>0.26720836687770633</v>
      </c>
      <c r="W73" s="2"/>
      <c r="X73" s="2">
        <f t="shared" si="18"/>
        <v>-3605</v>
      </c>
      <c r="Y73" s="2"/>
      <c r="Z73" s="6">
        <f t="shared" si="19"/>
        <v>-3.4919650900355495E-2</v>
      </c>
    </row>
    <row r="74" spans="1:26" s="69" customFormat="1" ht="15" hidden="1" customHeight="1" outlineLevel="2" x14ac:dyDescent="0.3">
      <c r="A74" s="25"/>
      <c r="B74" s="12" t="str">
        <f>CONCATENATE("          ","6401"," - ","INTEREST EXPENSE")</f>
        <v xml:space="preserve">          6401 - INTEREST EXPENSE</v>
      </c>
      <c r="C74" s="12"/>
      <c r="D74" s="8">
        <v>11158</v>
      </c>
      <c r="E74" s="3"/>
      <c r="F74" s="7">
        <f t="shared" si="12"/>
        <v>2.7577744932848883E-2</v>
      </c>
      <c r="G74" s="3"/>
      <c r="H74" s="8">
        <v>11554</v>
      </c>
      <c r="I74" s="3"/>
      <c r="J74" s="7">
        <f t="shared" si="13"/>
        <v>0.20141187036564429</v>
      </c>
      <c r="K74" s="3"/>
      <c r="L74" s="8">
        <f t="shared" si="14"/>
        <v>-396</v>
      </c>
      <c r="M74" s="3"/>
      <c r="N74" s="7">
        <f t="shared" si="15"/>
        <v>-3.4273844555997926E-2</v>
      </c>
      <c r="O74" s="12"/>
      <c r="P74" s="8">
        <v>99632</v>
      </c>
      <c r="Q74" s="3"/>
      <c r="R74" s="7">
        <f t="shared" si="16"/>
        <v>7.1251612685267196E-2</v>
      </c>
      <c r="S74" s="3"/>
      <c r="T74" s="8">
        <v>103237</v>
      </c>
      <c r="U74" s="3"/>
      <c r="V74" s="7">
        <f t="shared" si="17"/>
        <v>0.26720836687770633</v>
      </c>
      <c r="W74" s="3"/>
      <c r="X74" s="8">
        <f t="shared" si="18"/>
        <v>-3605</v>
      </c>
      <c r="Y74" s="3"/>
      <c r="Z74" s="7">
        <f t="shared" si="19"/>
        <v>-3.4919650900355495E-2</v>
      </c>
    </row>
    <row r="75" spans="1:26" s="68" customFormat="1" ht="15" customHeight="1" outlineLevel="1" collapsed="1" x14ac:dyDescent="0.3">
      <c r="A75" s="26"/>
      <c r="B75" s="14" t="str">
        <f>CONCATENATE("     ","Rent                                              ")</f>
        <v xml:space="preserve">     Rent                                              </v>
      </c>
      <c r="C75" s="14"/>
      <c r="D75" s="2">
        <f>SUM(OSRRefD22_12x_0)</f>
        <v>1850</v>
      </c>
      <c r="E75" s="2"/>
      <c r="F75" s="6">
        <f t="shared" si="12"/>
        <v>4.5723990075076573E-3</v>
      </c>
      <c r="G75" s="2"/>
      <c r="H75" s="2">
        <f>SUM(OSRRefH22_12x_0)</f>
        <v>0</v>
      </c>
      <c r="I75" s="2"/>
      <c r="J75" s="6">
        <f t="shared" si="13"/>
        <v>0</v>
      </c>
      <c r="K75" s="2"/>
      <c r="L75" s="2">
        <f t="shared" si="14"/>
        <v>1850</v>
      </c>
      <c r="M75" s="2"/>
      <c r="N75" s="6">
        <f t="shared" si="15"/>
        <v>0</v>
      </c>
      <c r="O75" s="14"/>
      <c r="P75" s="2">
        <f>SUM(OSRRefP22_12x_0)</f>
        <v>16650</v>
      </c>
      <c r="Q75" s="2"/>
      <c r="R75" s="6">
        <f t="shared" si="16"/>
        <v>1.1907212052450003E-2</v>
      </c>
      <c r="S75" s="2"/>
      <c r="T75" s="2">
        <f>SUM(OSRRefT22_12x_0)</f>
        <v>11100</v>
      </c>
      <c r="U75" s="2"/>
      <c r="V75" s="6">
        <f t="shared" si="17"/>
        <v>2.8730134276882709E-2</v>
      </c>
      <c r="W75" s="2"/>
      <c r="X75" s="2">
        <f t="shared" si="18"/>
        <v>5550</v>
      </c>
      <c r="Y75" s="2"/>
      <c r="Z75" s="6">
        <f t="shared" si="19"/>
        <v>0.5</v>
      </c>
    </row>
    <row r="76" spans="1:26" s="69" customFormat="1" ht="15" hidden="1" customHeight="1" outlineLevel="2" x14ac:dyDescent="0.3">
      <c r="A76" s="25"/>
      <c r="B76" s="12" t="str">
        <f>CONCATENATE("          ","6273"," - ","RENT")</f>
        <v xml:space="preserve">          6273 - RENT</v>
      </c>
      <c r="C76" s="12"/>
      <c r="D76" s="8">
        <v>1850</v>
      </c>
      <c r="E76" s="3"/>
      <c r="F76" s="7">
        <f t="shared" si="12"/>
        <v>4.5723990075076573E-3</v>
      </c>
      <c r="G76" s="3"/>
      <c r="H76" s="8"/>
      <c r="I76" s="3"/>
      <c r="J76" s="7">
        <f t="shared" si="13"/>
        <v>0</v>
      </c>
      <c r="K76" s="3"/>
      <c r="L76" s="8">
        <f t="shared" si="14"/>
        <v>1850</v>
      </c>
      <c r="M76" s="3"/>
      <c r="N76" s="7">
        <f t="shared" si="15"/>
        <v>0</v>
      </c>
      <c r="O76" s="12"/>
      <c r="P76" s="8">
        <v>16650</v>
      </c>
      <c r="Q76" s="3"/>
      <c r="R76" s="7">
        <f t="shared" si="16"/>
        <v>1.1907212052450003E-2</v>
      </c>
      <c r="S76" s="3"/>
      <c r="T76" s="8">
        <v>11100</v>
      </c>
      <c r="U76" s="3"/>
      <c r="V76" s="7">
        <f t="shared" si="17"/>
        <v>2.8730134276882709E-2</v>
      </c>
      <c r="W76" s="3"/>
      <c r="X76" s="8">
        <f t="shared" si="18"/>
        <v>5550</v>
      </c>
      <c r="Y76" s="3"/>
      <c r="Z76" s="7">
        <f t="shared" si="19"/>
        <v>0.5</v>
      </c>
    </row>
    <row r="77" spans="1:26" s="68" customFormat="1" ht="15" customHeight="1" outlineLevel="1" collapsed="1" x14ac:dyDescent="0.3">
      <c r="A77" s="26"/>
      <c r="B77" s="14" t="str">
        <f>CONCATENATE("     ","Repair and Maintenance                            ")</f>
        <v xml:space="preserve">     Repair and Maintenance                            </v>
      </c>
      <c r="C77" s="14"/>
      <c r="D77" s="2">
        <f>SUM(OSRRefD22_13x_0)</f>
        <v>4629.09</v>
      </c>
      <c r="E77" s="2"/>
      <c r="F77" s="6">
        <f t="shared" si="12"/>
        <v>1.1441106227926282E-2</v>
      </c>
      <c r="G77" s="2"/>
      <c r="H77" s="2">
        <f>SUM(OSRRefH22_13x_0)</f>
        <v>17476.16</v>
      </c>
      <c r="I77" s="2"/>
      <c r="J77" s="6">
        <f t="shared" si="13"/>
        <v>0.3046482666097679</v>
      </c>
      <c r="K77" s="2"/>
      <c r="L77" s="2">
        <f t="shared" si="14"/>
        <v>-12847.07</v>
      </c>
      <c r="M77" s="2"/>
      <c r="N77" s="6">
        <f t="shared" si="15"/>
        <v>-0.73511972881914567</v>
      </c>
      <c r="O77" s="14"/>
      <c r="P77" s="2">
        <f>SUM(OSRRefP22_13x_0)</f>
        <v>72526.16</v>
      </c>
      <c r="Q77" s="2"/>
      <c r="R77" s="6">
        <f t="shared" si="16"/>
        <v>5.1866928917112157E-2</v>
      </c>
      <c r="S77" s="2"/>
      <c r="T77" s="2">
        <f>SUM(OSRRefT22_13x_0)</f>
        <v>44680.33</v>
      </c>
      <c r="U77" s="2"/>
      <c r="V77" s="6">
        <f t="shared" si="17"/>
        <v>0.11564611535454332</v>
      </c>
      <c r="W77" s="2"/>
      <c r="X77" s="2">
        <f t="shared" si="18"/>
        <v>27845.83</v>
      </c>
      <c r="Y77" s="2"/>
      <c r="Z77" s="6">
        <f t="shared" si="19"/>
        <v>0.6232234632107686</v>
      </c>
    </row>
    <row r="78" spans="1:26" s="69" customFormat="1" ht="15" hidden="1" customHeight="1" outlineLevel="2" x14ac:dyDescent="0.3">
      <c r="A78" s="25"/>
      <c r="B78" s="12" t="str">
        <f>CONCATENATE("          ","6371"," - ","COMPUTER SOFTWARE MAINTENANCE")</f>
        <v xml:space="preserve">          6371 - COMPUTER SOFTWARE MAINTENANCE</v>
      </c>
      <c r="C78" s="12"/>
      <c r="D78" s="8">
        <v>783.7</v>
      </c>
      <c r="E78" s="3"/>
      <c r="F78" s="7">
        <f t="shared" si="12"/>
        <v>1.9369670822614871E-3</v>
      </c>
      <c r="G78" s="3"/>
      <c r="H78" s="8"/>
      <c r="I78" s="3"/>
      <c r="J78" s="7">
        <f t="shared" si="13"/>
        <v>0</v>
      </c>
      <c r="K78" s="3"/>
      <c r="L78" s="8">
        <f t="shared" si="14"/>
        <v>783.7</v>
      </c>
      <c r="M78" s="3"/>
      <c r="N78" s="7">
        <f t="shared" si="15"/>
        <v>0</v>
      </c>
      <c r="O78" s="12"/>
      <c r="P78" s="8">
        <v>7600.87</v>
      </c>
      <c r="Q78" s="3"/>
      <c r="R78" s="7">
        <f t="shared" si="16"/>
        <v>5.4357459983847244E-3</v>
      </c>
      <c r="S78" s="3"/>
      <c r="T78" s="8">
        <v>702.27</v>
      </c>
      <c r="U78" s="3"/>
      <c r="V78" s="7">
        <f t="shared" si="17"/>
        <v>1.8176857115879657E-3</v>
      </c>
      <c r="W78" s="3"/>
      <c r="X78" s="8">
        <f t="shared" si="18"/>
        <v>6898.6</v>
      </c>
      <c r="Y78" s="3"/>
      <c r="Z78" s="7">
        <f t="shared" si="19"/>
        <v>9.8232873396272105</v>
      </c>
    </row>
    <row r="79" spans="1:26" s="69" customFormat="1" ht="15" hidden="1" customHeight="1" outlineLevel="2" x14ac:dyDescent="0.3">
      <c r="A79" s="25"/>
      <c r="B79" s="12" t="str">
        <f>CONCATENATE("          ","6372"," - ","COMPUTER HARDWARE MAINTENANCE")</f>
        <v xml:space="preserve">          6372 - COMPUTER HARDWARE MAINTENANCE</v>
      </c>
      <c r="C79" s="12"/>
      <c r="D79" s="8"/>
      <c r="E79" s="3"/>
      <c r="F79" s="7">
        <f t="shared" si="12"/>
        <v>0</v>
      </c>
      <c r="G79" s="3"/>
      <c r="H79" s="8">
        <v>100</v>
      </c>
      <c r="I79" s="3"/>
      <c r="J79" s="7">
        <f t="shared" si="13"/>
        <v>1.7432220042032569E-3</v>
      </c>
      <c r="K79" s="3"/>
      <c r="L79" s="8">
        <f t="shared" si="14"/>
        <v>-100</v>
      </c>
      <c r="M79" s="3"/>
      <c r="N79" s="7">
        <f t="shared" si="15"/>
        <v>-1</v>
      </c>
      <c r="O79" s="12"/>
      <c r="P79" s="8"/>
      <c r="Q79" s="3"/>
      <c r="R79" s="7">
        <f t="shared" si="16"/>
        <v>0</v>
      </c>
      <c r="S79" s="3"/>
      <c r="T79" s="8">
        <v>100</v>
      </c>
      <c r="U79" s="3"/>
      <c r="V79" s="7">
        <f t="shared" si="17"/>
        <v>2.5883003853047486E-4</v>
      </c>
      <c r="W79" s="3"/>
      <c r="X79" s="8">
        <f t="shared" si="18"/>
        <v>-100</v>
      </c>
      <c r="Y79" s="3"/>
      <c r="Z79" s="7">
        <f t="shared" si="19"/>
        <v>-1</v>
      </c>
    </row>
    <row r="80" spans="1:26" s="69" customFormat="1" ht="15" hidden="1" customHeight="1" outlineLevel="2" x14ac:dyDescent="0.3">
      <c r="A80" s="25"/>
      <c r="B80" s="12" t="str">
        <f>CONCATENATE("          ","6373"," - ","MAINTENANCE CONTRACTS")</f>
        <v xml:space="preserve">          6373 - MAINTENANCE CONTRACTS</v>
      </c>
      <c r="C80" s="12"/>
      <c r="D80" s="8">
        <v>2102.46</v>
      </c>
      <c r="E80" s="3"/>
      <c r="F80" s="7">
        <f t="shared" si="12"/>
        <v>5.1963708201754315E-3</v>
      </c>
      <c r="G80" s="3"/>
      <c r="H80" s="8">
        <v>7503.81</v>
      </c>
      <c r="I80" s="3"/>
      <c r="J80" s="7">
        <f t="shared" si="13"/>
        <v>0.13080806707360443</v>
      </c>
      <c r="K80" s="3"/>
      <c r="L80" s="8">
        <f t="shared" si="14"/>
        <v>-5401.35</v>
      </c>
      <c r="M80" s="3"/>
      <c r="N80" s="7">
        <f t="shared" si="15"/>
        <v>-0.71981433431816633</v>
      </c>
      <c r="O80" s="12"/>
      <c r="P80" s="8">
        <v>17563.349999999999</v>
      </c>
      <c r="Q80" s="3"/>
      <c r="R80" s="7">
        <f t="shared" si="16"/>
        <v>1.256039236044431E-2</v>
      </c>
      <c r="S80" s="3"/>
      <c r="T80" s="8">
        <v>19481.849999999999</v>
      </c>
      <c r="U80" s="3"/>
      <c r="V80" s="7">
        <f t="shared" si="17"/>
        <v>5.0424879861449314E-2</v>
      </c>
      <c r="W80" s="3"/>
      <c r="X80" s="8">
        <f t="shared" si="18"/>
        <v>-1918.5</v>
      </c>
      <c r="Y80" s="3"/>
      <c r="Z80" s="7">
        <f t="shared" si="19"/>
        <v>-9.8476274070480999E-2</v>
      </c>
    </row>
    <row r="81" spans="1:26" s="69" customFormat="1" ht="15" hidden="1" customHeight="1" outlineLevel="2" x14ac:dyDescent="0.3">
      <c r="A81" s="25"/>
      <c r="B81" s="12" t="str">
        <f>CONCATENATE("          ","6375"," - ","OUTSIDE REPAIRS &amp; MAINTENANCE")</f>
        <v xml:space="preserve">          6375 - OUTSIDE REPAIRS &amp; MAINTENANCE</v>
      </c>
      <c r="C81" s="12"/>
      <c r="D81" s="8">
        <v>1742.93</v>
      </c>
      <c r="E81" s="3"/>
      <c r="F81" s="7">
        <f t="shared" si="12"/>
        <v>4.3077683254893629E-3</v>
      </c>
      <c r="G81" s="3"/>
      <c r="H81" s="8">
        <v>9872.35</v>
      </c>
      <c r="I81" s="3"/>
      <c r="J81" s="7">
        <f t="shared" si="13"/>
        <v>0.17209697753196024</v>
      </c>
      <c r="K81" s="3"/>
      <c r="L81" s="8">
        <f t="shared" si="14"/>
        <v>-8129.42</v>
      </c>
      <c r="M81" s="3"/>
      <c r="N81" s="7">
        <f t="shared" si="15"/>
        <v>-0.82345338242667654</v>
      </c>
      <c r="O81" s="12"/>
      <c r="P81" s="8">
        <v>47361.94</v>
      </c>
      <c r="Q81" s="3"/>
      <c r="R81" s="7">
        <f t="shared" si="16"/>
        <v>3.3870790558283119E-2</v>
      </c>
      <c r="S81" s="3"/>
      <c r="T81" s="8">
        <v>24396.21</v>
      </c>
      <c r="U81" s="3"/>
      <c r="V81" s="7">
        <f t="shared" si="17"/>
        <v>6.3144719742975558E-2</v>
      </c>
      <c r="W81" s="3"/>
      <c r="X81" s="8">
        <f t="shared" si="18"/>
        <v>22965.730000000003</v>
      </c>
      <c r="Y81" s="3"/>
      <c r="Z81" s="7">
        <f t="shared" si="19"/>
        <v>0.9413646627898351</v>
      </c>
    </row>
    <row r="82" spans="1:26" s="68" customFormat="1" ht="15" customHeight="1" outlineLevel="1" collapsed="1" x14ac:dyDescent="0.3">
      <c r="A82" s="26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2">
        <f>SUM(OSRRefD22_14x_0)</f>
        <v>583.67999999999995</v>
      </c>
      <c r="E82" s="2"/>
      <c r="F82" s="6">
        <f t="shared" si="12"/>
        <v>1.4426042447038211E-3</v>
      </c>
      <c r="G82" s="2"/>
      <c r="H82" s="2">
        <f>SUM(OSRRefH22_14x_0)</f>
        <v>0</v>
      </c>
      <c r="I82" s="2"/>
      <c r="J82" s="6">
        <f t="shared" si="13"/>
        <v>0</v>
      </c>
      <c r="K82" s="2"/>
      <c r="L82" s="2">
        <f t="shared" si="14"/>
        <v>583.67999999999995</v>
      </c>
      <c r="M82" s="2"/>
      <c r="N82" s="6">
        <f t="shared" si="15"/>
        <v>0</v>
      </c>
      <c r="O82" s="14"/>
      <c r="P82" s="2">
        <f>SUM(OSRRefP22_14x_0)</f>
        <v>4217.71</v>
      </c>
      <c r="Q82" s="2"/>
      <c r="R82" s="6">
        <f t="shared" si="16"/>
        <v>3.0162863270714055E-3</v>
      </c>
      <c r="S82" s="2"/>
      <c r="T82" s="2">
        <f>SUM(OSRRefT22_14x_0)</f>
        <v>185.7</v>
      </c>
      <c r="U82" s="2"/>
      <c r="V82" s="6">
        <f t="shared" si="17"/>
        <v>4.8064738155109178E-4</v>
      </c>
      <c r="W82" s="2"/>
      <c r="X82" s="2">
        <f t="shared" si="18"/>
        <v>4032.01</v>
      </c>
      <c r="Y82" s="2"/>
      <c r="Z82" s="6">
        <f t="shared" si="19"/>
        <v>21.712493268712979</v>
      </c>
    </row>
    <row r="83" spans="1:26" s="69" customFormat="1" ht="15" hidden="1" customHeight="1" outlineLevel="2" x14ac:dyDescent="0.3">
      <c r="A83" s="25"/>
      <c r="B83" s="12" t="str">
        <f>CONCATENATE("          ","6254"," - ","ROYALTY &amp; COMMISSIONS")</f>
        <v xml:space="preserve">          6254 - ROYALTY &amp; COMMISSIONS</v>
      </c>
      <c r="C83" s="12"/>
      <c r="D83" s="8">
        <v>583.67999999999995</v>
      </c>
      <c r="E83" s="3"/>
      <c r="F83" s="7">
        <f t="shared" si="12"/>
        <v>1.4426042447038211E-3</v>
      </c>
      <c r="G83" s="3"/>
      <c r="H83" s="8"/>
      <c r="I83" s="3"/>
      <c r="J83" s="7">
        <f t="shared" si="13"/>
        <v>0</v>
      </c>
      <c r="K83" s="3"/>
      <c r="L83" s="8">
        <f t="shared" si="14"/>
        <v>583.67999999999995</v>
      </c>
      <c r="M83" s="3"/>
      <c r="N83" s="7">
        <f t="shared" si="15"/>
        <v>0</v>
      </c>
      <c r="O83" s="12"/>
      <c r="P83" s="8">
        <v>4217.71</v>
      </c>
      <c r="Q83" s="3"/>
      <c r="R83" s="7">
        <f t="shared" si="16"/>
        <v>3.0162863270714055E-3</v>
      </c>
      <c r="S83" s="3"/>
      <c r="T83" s="8">
        <v>185.7</v>
      </c>
      <c r="U83" s="3"/>
      <c r="V83" s="7">
        <f t="shared" si="17"/>
        <v>4.8064738155109178E-4</v>
      </c>
      <c r="W83" s="3"/>
      <c r="X83" s="8">
        <f t="shared" si="18"/>
        <v>4032.01</v>
      </c>
      <c r="Y83" s="3"/>
      <c r="Z83" s="7">
        <f t="shared" si="19"/>
        <v>21.712493268712979</v>
      </c>
    </row>
    <row r="84" spans="1:26" s="68" customFormat="1" ht="15" customHeight="1" outlineLevel="1" collapsed="1" x14ac:dyDescent="0.3">
      <c r="A84" s="26"/>
      <c r="B84" s="14" t="str">
        <f>CONCATENATE("     ","Services                                          ")</f>
        <v xml:space="preserve">     Services                                          </v>
      </c>
      <c r="C84" s="14"/>
      <c r="D84" s="2">
        <f>SUM(OSRRefD22_15x_0)</f>
        <v>6501.8499999999995</v>
      </c>
      <c r="E84" s="2"/>
      <c r="F84" s="6">
        <f t="shared" si="12"/>
        <v>1.6069758101061437E-2</v>
      </c>
      <c r="G84" s="2"/>
      <c r="H84" s="2">
        <f>SUM(OSRRefH22_15x_0)</f>
        <v>-5528.9699999999993</v>
      </c>
      <c r="I84" s="2"/>
      <c r="J84" s="6">
        <f t="shared" si="13"/>
        <v>-9.6382221645796795E-2</v>
      </c>
      <c r="K84" s="2"/>
      <c r="L84" s="2">
        <f t="shared" si="14"/>
        <v>12030.82</v>
      </c>
      <c r="M84" s="2"/>
      <c r="N84" s="6">
        <f t="shared" si="15"/>
        <v>-2.1759604410948152</v>
      </c>
      <c r="O84" s="14"/>
      <c r="P84" s="2">
        <f>SUM(OSRRefP22_15x_0)</f>
        <v>72308.569999999992</v>
      </c>
      <c r="Q84" s="2"/>
      <c r="R84" s="6">
        <f t="shared" si="16"/>
        <v>5.1711319891857337E-2</v>
      </c>
      <c r="S84" s="2"/>
      <c r="T84" s="2">
        <f>SUM(OSRRefT22_15x_0)</f>
        <v>46422.07</v>
      </c>
      <c r="U84" s="2"/>
      <c r="V84" s="6">
        <f t="shared" si="17"/>
        <v>0.12015426166764401</v>
      </c>
      <c r="W84" s="2"/>
      <c r="X84" s="2">
        <f t="shared" si="18"/>
        <v>25886.499999999993</v>
      </c>
      <c r="Y84" s="2"/>
      <c r="Z84" s="6">
        <f t="shared" si="19"/>
        <v>0.55763347045920164</v>
      </c>
    </row>
    <row r="85" spans="1:26" s="69" customFormat="1" ht="15" hidden="1" customHeight="1" outlineLevel="2" x14ac:dyDescent="0.3">
      <c r="A85" s="25"/>
      <c r="B85" s="12" t="str">
        <f>CONCATENATE("          ","6282"," - ","JANITORIAL/EXTERMINATOR EXPENS")</f>
        <v xml:space="preserve">          6282 - JANITORIAL/EXTERMINATOR EXPENS</v>
      </c>
      <c r="C85" s="12"/>
      <c r="D85" s="8">
        <v>1694.9</v>
      </c>
      <c r="E85" s="3"/>
      <c r="F85" s="7">
        <f t="shared" si="12"/>
        <v>4.1890589609863398E-3</v>
      </c>
      <c r="G85" s="3"/>
      <c r="H85" s="8">
        <v>2022.27</v>
      </c>
      <c r="I85" s="3"/>
      <c r="J85" s="7">
        <f t="shared" si="13"/>
        <v>3.5252655624401205E-2</v>
      </c>
      <c r="K85" s="3"/>
      <c r="L85" s="8">
        <f t="shared" si="14"/>
        <v>-327.36999999999989</v>
      </c>
      <c r="M85" s="3"/>
      <c r="N85" s="7">
        <f t="shared" si="15"/>
        <v>-0.16188243904127533</v>
      </c>
      <c r="O85" s="12"/>
      <c r="P85" s="8">
        <v>12552.01</v>
      </c>
      <c r="Q85" s="3"/>
      <c r="R85" s="7">
        <f t="shared" si="16"/>
        <v>8.976543228496876E-3</v>
      </c>
      <c r="S85" s="3"/>
      <c r="T85" s="8">
        <v>10340.39</v>
      </c>
      <c r="U85" s="3"/>
      <c r="V85" s="7">
        <f t="shared" si="17"/>
        <v>2.6764035421201367E-2</v>
      </c>
      <c r="W85" s="3"/>
      <c r="X85" s="8">
        <f t="shared" si="18"/>
        <v>2211.6200000000008</v>
      </c>
      <c r="Y85" s="3"/>
      <c r="Z85" s="7">
        <f t="shared" si="19"/>
        <v>0.21388168144528408</v>
      </c>
    </row>
    <row r="86" spans="1:26" s="69" customFormat="1" ht="15" hidden="1" customHeight="1" outlineLevel="2" x14ac:dyDescent="0.3">
      <c r="A86" s="25"/>
      <c r="B86" s="12" t="str">
        <f>CONCATENATE("          ","6284"," - ","TRASH REMOVAL EXPENSE")</f>
        <v xml:space="preserve">          6284 - TRASH REMOVAL EXPENSE</v>
      </c>
      <c r="C86" s="12"/>
      <c r="D86" s="8"/>
      <c r="E86" s="3"/>
      <c r="F86" s="7">
        <f t="shared" si="12"/>
        <v>0</v>
      </c>
      <c r="G86" s="3"/>
      <c r="H86" s="8">
        <v>-9244</v>
      </c>
      <c r="I86" s="3"/>
      <c r="J86" s="7">
        <f t="shared" si="13"/>
        <v>-0.16114344206854905</v>
      </c>
      <c r="K86" s="3"/>
      <c r="L86" s="8">
        <f t="shared" si="14"/>
        <v>9244</v>
      </c>
      <c r="M86" s="3"/>
      <c r="N86" s="7">
        <f t="shared" si="15"/>
        <v>-1</v>
      </c>
      <c r="O86" s="12"/>
      <c r="P86" s="8"/>
      <c r="Q86" s="3"/>
      <c r="R86" s="7">
        <f t="shared" si="16"/>
        <v>0</v>
      </c>
      <c r="S86" s="3"/>
      <c r="T86" s="8">
        <v>21518</v>
      </c>
      <c r="U86" s="3"/>
      <c r="V86" s="7">
        <f t="shared" si="17"/>
        <v>5.5695047690987584E-2</v>
      </c>
      <c r="W86" s="3"/>
      <c r="X86" s="8">
        <f t="shared" si="18"/>
        <v>-21518</v>
      </c>
      <c r="Y86" s="3"/>
      <c r="Z86" s="7">
        <f t="shared" si="19"/>
        <v>-1</v>
      </c>
    </row>
    <row r="87" spans="1:26" s="69" customFormat="1" ht="15" hidden="1" customHeight="1" outlineLevel="2" x14ac:dyDescent="0.3">
      <c r="A87" s="25"/>
      <c r="B87" s="12" t="str">
        <f>CONCATENATE("          ","6285"," - ","JANITORIAL SERVICES")</f>
        <v xml:space="preserve">          6285 - JANITORIAL SERVICES</v>
      </c>
      <c r="C87" s="12"/>
      <c r="D87" s="8">
        <v>4117.1499999999996</v>
      </c>
      <c r="E87" s="3"/>
      <c r="F87" s="7">
        <f t="shared" si="12"/>
        <v>1.0175812202032512E-2</v>
      </c>
      <c r="G87" s="3"/>
      <c r="H87" s="8">
        <v>1692.76</v>
      </c>
      <c r="I87" s="3"/>
      <c r="J87" s="7">
        <f t="shared" si="13"/>
        <v>2.9508564798351049E-2</v>
      </c>
      <c r="K87" s="3"/>
      <c r="L87" s="8">
        <f t="shared" si="14"/>
        <v>2424.3899999999994</v>
      </c>
      <c r="M87" s="3"/>
      <c r="N87" s="7">
        <f t="shared" si="15"/>
        <v>1.4322112998889385</v>
      </c>
      <c r="O87" s="12"/>
      <c r="P87" s="8">
        <v>55547.02</v>
      </c>
      <c r="Q87" s="3"/>
      <c r="R87" s="7">
        <f t="shared" si="16"/>
        <v>3.9724333094395277E-2</v>
      </c>
      <c r="S87" s="3"/>
      <c r="T87" s="8">
        <v>13658.97</v>
      </c>
      <c r="U87" s="3"/>
      <c r="V87" s="7">
        <f t="shared" si="17"/>
        <v>3.5353517313866004E-2</v>
      </c>
      <c r="W87" s="3"/>
      <c r="X87" s="8">
        <f t="shared" si="18"/>
        <v>41888.049999999996</v>
      </c>
      <c r="Y87" s="3"/>
      <c r="Z87" s="7">
        <f t="shared" si="19"/>
        <v>3.066706347550364</v>
      </c>
    </row>
    <row r="88" spans="1:26" s="69" customFormat="1" ht="15" hidden="1" customHeight="1" outlineLevel="2" x14ac:dyDescent="0.3">
      <c r="A88" s="25"/>
      <c r="B88" s="12" t="str">
        <f>CONCATENATE("          ","6286"," - ","LAUNDRY EXPENSE")</f>
        <v xml:space="preserve">          6286 - LAUNDRY EXPENSE</v>
      </c>
      <c r="C88" s="12"/>
      <c r="D88" s="8">
        <v>689.8</v>
      </c>
      <c r="E88" s="3"/>
      <c r="F88" s="7">
        <f t="shared" si="12"/>
        <v>1.7048869380425847E-3</v>
      </c>
      <c r="G88" s="3"/>
      <c r="H88" s="8"/>
      <c r="I88" s="3"/>
      <c r="J88" s="7">
        <f t="shared" si="13"/>
        <v>0</v>
      </c>
      <c r="K88" s="3"/>
      <c r="L88" s="8">
        <f t="shared" si="14"/>
        <v>689.8</v>
      </c>
      <c r="M88" s="3"/>
      <c r="N88" s="7">
        <f t="shared" si="15"/>
        <v>0</v>
      </c>
      <c r="O88" s="12"/>
      <c r="P88" s="8">
        <v>4209.54</v>
      </c>
      <c r="Q88" s="3"/>
      <c r="R88" s="7">
        <f t="shared" si="16"/>
        <v>3.0104435689651886E-3</v>
      </c>
      <c r="S88" s="3"/>
      <c r="T88" s="8">
        <v>904.71</v>
      </c>
      <c r="U88" s="3"/>
      <c r="V88" s="7">
        <f t="shared" si="17"/>
        <v>2.3416612415890592E-3</v>
      </c>
      <c r="W88" s="3"/>
      <c r="X88" s="8">
        <f t="shared" si="18"/>
        <v>3304.83</v>
      </c>
      <c r="Y88" s="3"/>
      <c r="Z88" s="7">
        <f t="shared" si="19"/>
        <v>3.6529164041516062</v>
      </c>
    </row>
    <row r="89" spans="1:26" s="68" customFormat="1" ht="15" customHeight="1" outlineLevel="1" collapsed="1" x14ac:dyDescent="0.3">
      <c r="A89" s="26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2">
        <f>SUM(OSRRefD22_16x_0)</f>
        <v>691.54</v>
      </c>
      <c r="E89" s="2"/>
      <c r="F89" s="6">
        <f t="shared" si="12"/>
        <v>1.7091874646766728E-3</v>
      </c>
      <c r="G89" s="2"/>
      <c r="H89" s="2">
        <f>SUM(OSRRefH22_16x_0)</f>
        <v>119.07</v>
      </c>
      <c r="I89" s="2"/>
      <c r="J89" s="6">
        <f t="shared" si="13"/>
        <v>2.0756544404048178E-3</v>
      </c>
      <c r="K89" s="2"/>
      <c r="L89" s="2">
        <f t="shared" si="14"/>
        <v>572.47</v>
      </c>
      <c r="M89" s="2"/>
      <c r="N89" s="6">
        <f t="shared" si="15"/>
        <v>4.8078441253044435</v>
      </c>
      <c r="O89" s="14"/>
      <c r="P89" s="2">
        <f>SUM(OSRRefP22_16x_0)</f>
        <v>5846.9</v>
      </c>
      <c r="Q89" s="2"/>
      <c r="R89" s="6">
        <f t="shared" si="16"/>
        <v>4.1813980870552504E-3</v>
      </c>
      <c r="S89" s="2"/>
      <c r="T89" s="2">
        <f>SUM(OSRRefT22_16x_0)</f>
        <v>916.08</v>
      </c>
      <c r="U89" s="2"/>
      <c r="V89" s="6">
        <f t="shared" si="17"/>
        <v>2.3710902169699743E-3</v>
      </c>
      <c r="W89" s="2"/>
      <c r="X89" s="2">
        <f t="shared" si="18"/>
        <v>4930.82</v>
      </c>
      <c r="Y89" s="2"/>
      <c r="Z89" s="6">
        <f t="shared" si="19"/>
        <v>5.3825211771897647</v>
      </c>
    </row>
    <row r="90" spans="1:26" s="69" customFormat="1" ht="15" hidden="1" customHeight="1" outlineLevel="2" x14ac:dyDescent="0.3">
      <c r="A90" s="25"/>
      <c r="B90" s="12" t="str">
        <f>CONCATENATE("          ","6275"," - ","SUBSCRIPTIONS")</f>
        <v xml:space="preserve">          6275 - SUBSCRIPTIONS</v>
      </c>
      <c r="C90" s="12"/>
      <c r="D90" s="8">
        <v>691.54</v>
      </c>
      <c r="E90" s="3"/>
      <c r="F90" s="7">
        <f t="shared" si="12"/>
        <v>1.7091874646766728E-3</v>
      </c>
      <c r="G90" s="3"/>
      <c r="H90" s="8">
        <v>119.07</v>
      </c>
      <c r="I90" s="3"/>
      <c r="J90" s="7">
        <f t="shared" si="13"/>
        <v>2.0756544404048178E-3</v>
      </c>
      <c r="K90" s="3"/>
      <c r="L90" s="8">
        <f t="shared" si="14"/>
        <v>572.47</v>
      </c>
      <c r="M90" s="3"/>
      <c r="N90" s="7">
        <f t="shared" si="15"/>
        <v>4.8078441253044435</v>
      </c>
      <c r="O90" s="12"/>
      <c r="P90" s="8">
        <v>5846.9</v>
      </c>
      <c r="Q90" s="3"/>
      <c r="R90" s="7">
        <f t="shared" si="16"/>
        <v>4.1813980870552504E-3</v>
      </c>
      <c r="S90" s="3"/>
      <c r="T90" s="8">
        <v>916.08</v>
      </c>
      <c r="U90" s="3"/>
      <c r="V90" s="7">
        <f t="shared" si="17"/>
        <v>2.3710902169699743E-3</v>
      </c>
      <c r="W90" s="3"/>
      <c r="X90" s="8">
        <f t="shared" si="18"/>
        <v>4930.82</v>
      </c>
      <c r="Y90" s="3"/>
      <c r="Z90" s="7">
        <f t="shared" si="19"/>
        <v>5.3825211771897647</v>
      </c>
    </row>
    <row r="91" spans="1:26" s="68" customFormat="1" ht="15" customHeight="1" outlineLevel="1" collapsed="1" x14ac:dyDescent="0.3">
      <c r="A91" s="26"/>
      <c r="B91" s="14" t="str">
        <f>CONCATENATE("     ","Supplies                                          ")</f>
        <v xml:space="preserve">     Supplies                                          </v>
      </c>
      <c r="C91" s="14"/>
      <c r="D91" s="2">
        <f>SUM(OSRRefD22_17x_0)</f>
        <v>6235.9</v>
      </c>
      <c r="E91" s="2"/>
      <c r="F91" s="6">
        <f t="shared" si="12"/>
        <v>1.5412444849144322E-2</v>
      </c>
      <c r="G91" s="2"/>
      <c r="H91" s="2">
        <f>SUM(OSRRefH22_17x_0)</f>
        <v>94.92</v>
      </c>
      <c r="I91" s="2"/>
      <c r="J91" s="6">
        <f t="shared" si="13"/>
        <v>1.6546663263897314E-3</v>
      </c>
      <c r="K91" s="2"/>
      <c r="L91" s="2">
        <f t="shared" si="14"/>
        <v>6140.98</v>
      </c>
      <c r="M91" s="2"/>
      <c r="N91" s="6">
        <f t="shared" si="15"/>
        <v>64.696375895490931</v>
      </c>
      <c r="O91" s="14"/>
      <c r="P91" s="2">
        <f>SUM(OSRRefP22_17x_0)</f>
        <v>35353.279999999999</v>
      </c>
      <c r="Q91" s="2"/>
      <c r="R91" s="6">
        <f t="shared" si="16"/>
        <v>2.5282822925503882E-2</v>
      </c>
      <c r="S91" s="2"/>
      <c r="T91" s="2">
        <f>SUM(OSRRefT22_17x_0)</f>
        <v>-20157.850000000002</v>
      </c>
      <c r="U91" s="2"/>
      <c r="V91" s="6">
        <f t="shared" si="17"/>
        <v>-5.2174570921915332E-2</v>
      </c>
      <c r="W91" s="2"/>
      <c r="X91" s="2">
        <f t="shared" si="18"/>
        <v>55511.130000000005</v>
      </c>
      <c r="Y91" s="2"/>
      <c r="Z91" s="6">
        <f t="shared" si="19"/>
        <v>-2.7538219601792848</v>
      </c>
    </row>
    <row r="92" spans="1:26" s="69" customFormat="1" ht="15" hidden="1" customHeight="1" outlineLevel="2" x14ac:dyDescent="0.3">
      <c r="A92" s="25"/>
      <c r="B92" s="12" t="str">
        <f>CONCATENATE("          ","6234"," - ","EXPENDABLE SUPPLIES &amp; EQUIPMEN")</f>
        <v xml:space="preserve">          6234 - EXPENDABLE SUPPLIES &amp; EQUIPMEN</v>
      </c>
      <c r="C92" s="12"/>
      <c r="D92" s="8">
        <v>108.73</v>
      </c>
      <c r="E92" s="3"/>
      <c r="F92" s="7">
        <f t="shared" si="12"/>
        <v>2.6873348328989595E-4</v>
      </c>
      <c r="G92" s="3"/>
      <c r="H92" s="8"/>
      <c r="I92" s="3"/>
      <c r="J92" s="7">
        <f t="shared" si="13"/>
        <v>0</v>
      </c>
      <c r="K92" s="3"/>
      <c r="L92" s="8">
        <f t="shared" si="14"/>
        <v>108.73</v>
      </c>
      <c r="M92" s="3"/>
      <c r="N92" s="7">
        <f t="shared" si="15"/>
        <v>0</v>
      </c>
      <c r="O92" s="12"/>
      <c r="P92" s="8">
        <v>1361.39</v>
      </c>
      <c r="Q92" s="3"/>
      <c r="R92" s="7">
        <f t="shared" si="16"/>
        <v>9.7359516012521989E-4</v>
      </c>
      <c r="S92" s="3"/>
      <c r="T92" s="8">
        <v>627.58000000000004</v>
      </c>
      <c r="U92" s="3"/>
      <c r="V92" s="7">
        <f t="shared" si="17"/>
        <v>1.6243655558095542E-3</v>
      </c>
      <c r="W92" s="3"/>
      <c r="X92" s="8">
        <f t="shared" si="18"/>
        <v>733.81000000000006</v>
      </c>
      <c r="Y92" s="3"/>
      <c r="Z92" s="7">
        <f t="shared" si="19"/>
        <v>1.1692692565091303</v>
      </c>
    </row>
    <row r="93" spans="1:26" s="69" customFormat="1" ht="15" hidden="1" customHeight="1" outlineLevel="2" x14ac:dyDescent="0.3">
      <c r="A93" s="25"/>
      <c r="B93" s="12" t="str">
        <f>CONCATENATE("          ","6235"," - ","COVID-19 EXPENSES")</f>
        <v xml:space="preserve">          6235 - COVID-19 EXPENSES</v>
      </c>
      <c r="C93" s="12"/>
      <c r="D93" s="8">
        <v>178.61</v>
      </c>
      <c r="E93" s="3"/>
      <c r="F93" s="7">
        <f t="shared" si="12"/>
        <v>4.4144658742213119E-4</v>
      </c>
      <c r="G93" s="3"/>
      <c r="H93" s="8"/>
      <c r="I93" s="3"/>
      <c r="J93" s="7">
        <f t="shared" si="13"/>
        <v>0</v>
      </c>
      <c r="K93" s="3"/>
      <c r="L93" s="8">
        <f t="shared" si="14"/>
        <v>178.61</v>
      </c>
      <c r="M93" s="3"/>
      <c r="N93" s="7">
        <f t="shared" si="15"/>
        <v>0</v>
      </c>
      <c r="O93" s="12"/>
      <c r="P93" s="8">
        <v>690.53</v>
      </c>
      <c r="Q93" s="3"/>
      <c r="R93" s="7">
        <f t="shared" si="16"/>
        <v>4.9383105937407209E-4</v>
      </c>
      <c r="S93" s="3"/>
      <c r="T93" s="8">
        <v>7089.13</v>
      </c>
      <c r="U93" s="3"/>
      <c r="V93" s="7">
        <f t="shared" si="17"/>
        <v>1.8348797910475452E-2</v>
      </c>
      <c r="W93" s="3"/>
      <c r="X93" s="8">
        <f t="shared" si="18"/>
        <v>-6398.6</v>
      </c>
      <c r="Y93" s="3"/>
      <c r="Z93" s="7">
        <f t="shared" si="19"/>
        <v>-0.90259312496737965</v>
      </c>
    </row>
    <row r="94" spans="1:26" s="69" customFormat="1" ht="15" hidden="1" customHeight="1" outlineLevel="2" x14ac:dyDescent="0.3">
      <c r="A94" s="25"/>
      <c r="B94" s="12" t="str">
        <f>CONCATENATE("          ","6237"," - ","JANITORIAL SUPPLIES")</f>
        <v xml:space="preserve">          6237 - JANITORIAL SUPPLIES</v>
      </c>
      <c r="C94" s="12"/>
      <c r="D94" s="8">
        <v>616.29999999999995</v>
      </c>
      <c r="E94" s="3"/>
      <c r="F94" s="7">
        <f t="shared" si="12"/>
        <v>1.523226761257821E-3</v>
      </c>
      <c r="G94" s="3"/>
      <c r="H94" s="8"/>
      <c r="I94" s="3"/>
      <c r="J94" s="7">
        <f t="shared" si="13"/>
        <v>0</v>
      </c>
      <c r="K94" s="3"/>
      <c r="L94" s="8">
        <f t="shared" si="14"/>
        <v>616.29999999999995</v>
      </c>
      <c r="M94" s="3"/>
      <c r="N94" s="7">
        <f t="shared" si="15"/>
        <v>0</v>
      </c>
      <c r="O94" s="12"/>
      <c r="P94" s="8">
        <v>7763.31</v>
      </c>
      <c r="Q94" s="3"/>
      <c r="R94" s="7">
        <f t="shared" si="16"/>
        <v>5.551914618552891E-3</v>
      </c>
      <c r="S94" s="3"/>
      <c r="T94" s="8">
        <v>676.48</v>
      </c>
      <c r="U94" s="3"/>
      <c r="V94" s="7">
        <f t="shared" si="17"/>
        <v>1.7509334446509563E-3</v>
      </c>
      <c r="W94" s="3"/>
      <c r="X94" s="8">
        <f t="shared" si="18"/>
        <v>7086.83</v>
      </c>
      <c r="Y94" s="3"/>
      <c r="Z94" s="7">
        <f t="shared" si="19"/>
        <v>10.476037724692526</v>
      </c>
    </row>
    <row r="95" spans="1:26" s="69" customFormat="1" ht="15" hidden="1" customHeight="1" outlineLevel="2" x14ac:dyDescent="0.3">
      <c r="A95" s="25"/>
      <c r="B95" s="12" t="str">
        <f>CONCATENATE("          ","6239"," - ","KITCHEN SUPPLIES")</f>
        <v xml:space="preserve">          6239 - KITCHEN SUPPLIES</v>
      </c>
      <c r="C95" s="12"/>
      <c r="D95" s="8">
        <v>2501.89</v>
      </c>
      <c r="E95" s="3"/>
      <c r="F95" s="7">
        <f t="shared" si="12"/>
        <v>6.183588839401801E-3</v>
      </c>
      <c r="G95" s="3"/>
      <c r="H95" s="8"/>
      <c r="I95" s="3"/>
      <c r="J95" s="7">
        <f t="shared" si="13"/>
        <v>0</v>
      </c>
      <c r="K95" s="3"/>
      <c r="L95" s="8">
        <f t="shared" si="14"/>
        <v>2501.89</v>
      </c>
      <c r="M95" s="3"/>
      <c r="N95" s="7">
        <f t="shared" si="15"/>
        <v>0</v>
      </c>
      <c r="O95" s="12"/>
      <c r="P95" s="8">
        <v>7200.94</v>
      </c>
      <c r="Q95" s="3"/>
      <c r="R95" s="7">
        <f t="shared" si="16"/>
        <v>5.1497369103284882E-3</v>
      </c>
      <c r="S95" s="3"/>
      <c r="T95" s="8">
        <v>19.829999999999998</v>
      </c>
      <c r="U95" s="3"/>
      <c r="V95" s="7">
        <f t="shared" si="17"/>
        <v>5.1325996640593161E-5</v>
      </c>
      <c r="W95" s="3"/>
      <c r="X95" s="8">
        <f t="shared" si="18"/>
        <v>7181.11</v>
      </c>
      <c r="Y95" s="3"/>
      <c r="Z95" s="7">
        <f t="shared" si="19"/>
        <v>362.13363590519418</v>
      </c>
    </row>
    <row r="96" spans="1:26" s="69" customFormat="1" ht="15" hidden="1" customHeight="1" outlineLevel="2" x14ac:dyDescent="0.3">
      <c r="A96" s="25"/>
      <c r="B96" s="12" t="str">
        <f>CONCATENATE("          ","6241"," - ","OFFICE EXPENSE")</f>
        <v xml:space="preserve">          6241 - OFFICE EXPENSE</v>
      </c>
      <c r="C96" s="12"/>
      <c r="D96" s="8">
        <v>183.27</v>
      </c>
      <c r="E96" s="3"/>
      <c r="F96" s="7">
        <f t="shared" si="12"/>
        <v>4.5296408978698826E-4</v>
      </c>
      <c r="G96" s="3"/>
      <c r="H96" s="8"/>
      <c r="I96" s="3"/>
      <c r="J96" s="7">
        <f t="shared" si="13"/>
        <v>0</v>
      </c>
      <c r="K96" s="3"/>
      <c r="L96" s="8">
        <f t="shared" si="14"/>
        <v>183.27</v>
      </c>
      <c r="M96" s="3"/>
      <c r="N96" s="7">
        <f t="shared" si="15"/>
        <v>0</v>
      </c>
      <c r="O96" s="12"/>
      <c r="P96" s="8">
        <v>7992.03</v>
      </c>
      <c r="Q96" s="3"/>
      <c r="R96" s="7">
        <f t="shared" si="16"/>
        <v>5.7154832396121317E-3</v>
      </c>
      <c r="S96" s="3"/>
      <c r="T96" s="8">
        <v>-28852.560000000001</v>
      </c>
      <c r="U96" s="3"/>
      <c r="V96" s="7">
        <f t="shared" si="17"/>
        <v>-7.4679092165028382E-2</v>
      </c>
      <c r="W96" s="3"/>
      <c r="X96" s="8">
        <f t="shared" si="18"/>
        <v>36844.590000000004</v>
      </c>
      <c r="Y96" s="3"/>
      <c r="Z96" s="7">
        <f t="shared" si="19"/>
        <v>-1.2769955248338449</v>
      </c>
    </row>
    <row r="97" spans="1:26" s="69" customFormat="1" ht="15" hidden="1" customHeight="1" outlineLevel="2" x14ac:dyDescent="0.3">
      <c r="A97" s="25"/>
      <c r="B97" s="12" t="str">
        <f>CONCATENATE("          ","6243"," - ","PAPER SUPPLIES")</f>
        <v xml:space="preserve">          6243 - PAPER SUPPLIES</v>
      </c>
      <c r="C97" s="12"/>
      <c r="D97" s="8"/>
      <c r="E97" s="3"/>
      <c r="F97" s="7">
        <f t="shared" si="12"/>
        <v>0</v>
      </c>
      <c r="G97" s="3"/>
      <c r="H97" s="8">
        <v>94.92</v>
      </c>
      <c r="I97" s="3"/>
      <c r="J97" s="7">
        <f t="shared" si="13"/>
        <v>1.6546663263897314E-3</v>
      </c>
      <c r="K97" s="3"/>
      <c r="L97" s="8">
        <f t="shared" si="14"/>
        <v>-94.92</v>
      </c>
      <c r="M97" s="3"/>
      <c r="N97" s="7">
        <f t="shared" si="15"/>
        <v>-1</v>
      </c>
      <c r="O97" s="12"/>
      <c r="P97" s="8">
        <v>1866.29</v>
      </c>
      <c r="Q97" s="3"/>
      <c r="R97" s="7">
        <f t="shared" si="16"/>
        <v>1.3346733202022172E-3</v>
      </c>
      <c r="S97" s="3"/>
      <c r="T97" s="8">
        <v>160.41</v>
      </c>
      <c r="U97" s="3"/>
      <c r="V97" s="7">
        <f t="shared" si="17"/>
        <v>4.151892648067347E-4</v>
      </c>
      <c r="W97" s="3"/>
      <c r="X97" s="8">
        <f t="shared" si="18"/>
        <v>1705.8799999999999</v>
      </c>
      <c r="Y97" s="3"/>
      <c r="Z97" s="7">
        <f t="shared" si="19"/>
        <v>10.63449909606633</v>
      </c>
    </row>
    <row r="98" spans="1:26" s="69" customFormat="1" ht="15" hidden="1" customHeight="1" outlineLevel="2" x14ac:dyDescent="0.3">
      <c r="A98" s="25"/>
      <c r="B98" s="12" t="str">
        <f>CONCATENATE("          ","6245"," - ","PRINTING")</f>
        <v xml:space="preserve">          6245 - PRINTING</v>
      </c>
      <c r="C98" s="12"/>
      <c r="D98" s="8"/>
      <c r="E98" s="3"/>
      <c r="F98" s="7">
        <f t="shared" ref="F98:F109" si="20">IF(D$12=0,0,D98/D$12)</f>
        <v>0</v>
      </c>
      <c r="G98" s="3"/>
      <c r="H98" s="8"/>
      <c r="I98" s="3"/>
      <c r="J98" s="7">
        <f t="shared" ref="J98:J109" si="21">IF(H$12=0,0,H98/H$12)</f>
        <v>0</v>
      </c>
      <c r="K98" s="3"/>
      <c r="L98" s="8">
        <f t="shared" ref="L98:L109" si="22">+D98-H98</f>
        <v>0</v>
      </c>
      <c r="M98" s="3"/>
      <c r="N98" s="7">
        <f t="shared" ref="N98:N109" si="23">IF(H98=0,0,L98/H98)</f>
        <v>0</v>
      </c>
      <c r="O98" s="12"/>
      <c r="P98" s="8">
        <v>1071</v>
      </c>
      <c r="Q98" s="3"/>
      <c r="R98" s="7">
        <f t="shared" ref="R98:R109" si="24">IF(P$12=0,0,P98/P$12)</f>
        <v>7.659233698602975E-4</v>
      </c>
      <c r="S98" s="3"/>
      <c r="T98" s="8"/>
      <c r="U98" s="3"/>
      <c r="V98" s="7">
        <f t="shared" ref="V98:V109" si="25">IF(T$12=0,0,T98/T$12)</f>
        <v>0</v>
      </c>
      <c r="W98" s="3"/>
      <c r="X98" s="8">
        <f t="shared" ref="X98:X109" si="26">+P98-T98</f>
        <v>1071</v>
      </c>
      <c r="Y98" s="3"/>
      <c r="Z98" s="7">
        <f t="shared" ref="Z98:Z109" si="27">IF(T98=0,0,X98/T98)</f>
        <v>0</v>
      </c>
    </row>
    <row r="99" spans="1:26" s="69" customFormat="1" ht="15" hidden="1" customHeight="1" outlineLevel="2" x14ac:dyDescent="0.3">
      <c r="A99" s="25"/>
      <c r="B99" s="12" t="str">
        <f>CONCATENATE("          ","6247"," - ","STORE SUPPLIES")</f>
        <v xml:space="preserve">          6247 - STORE SUPPLIES</v>
      </c>
      <c r="C99" s="12"/>
      <c r="D99" s="8">
        <v>1981.6</v>
      </c>
      <c r="E99" s="3"/>
      <c r="F99" s="7">
        <f t="shared" si="20"/>
        <v>4.8976572287984712E-3</v>
      </c>
      <c r="G99" s="3"/>
      <c r="H99" s="8"/>
      <c r="I99" s="3"/>
      <c r="J99" s="7">
        <f t="shared" si="21"/>
        <v>0</v>
      </c>
      <c r="K99" s="3"/>
      <c r="L99" s="8">
        <f t="shared" si="22"/>
        <v>1981.6</v>
      </c>
      <c r="M99" s="3"/>
      <c r="N99" s="7">
        <f t="shared" si="23"/>
        <v>0</v>
      </c>
      <c r="O99" s="12"/>
      <c r="P99" s="8">
        <v>4617.79</v>
      </c>
      <c r="Q99" s="3"/>
      <c r="R99" s="7">
        <f t="shared" si="24"/>
        <v>3.3024026873082943E-3</v>
      </c>
      <c r="S99" s="3"/>
      <c r="T99" s="8">
        <v>121.28</v>
      </c>
      <c r="U99" s="3"/>
      <c r="V99" s="7">
        <f t="shared" si="25"/>
        <v>3.139090707297599E-4</v>
      </c>
      <c r="W99" s="3"/>
      <c r="X99" s="8">
        <f t="shared" si="26"/>
        <v>4496.51</v>
      </c>
      <c r="Y99" s="3"/>
      <c r="Z99" s="7">
        <f t="shared" si="27"/>
        <v>37.075445250659634</v>
      </c>
    </row>
    <row r="100" spans="1:26" s="69" customFormat="1" ht="15" hidden="1" customHeight="1" outlineLevel="2" x14ac:dyDescent="0.3">
      <c r="A100" s="25"/>
      <c r="B100" s="12" t="str">
        <f>CONCATENATE("          ","6248"," - ","UNIFORMS")</f>
        <v xml:space="preserve">          6248 - UNIFORMS</v>
      </c>
      <c r="C100" s="12"/>
      <c r="D100" s="8">
        <v>665.5</v>
      </c>
      <c r="E100" s="3"/>
      <c r="F100" s="7">
        <f t="shared" si="20"/>
        <v>1.644827859187214E-3</v>
      </c>
      <c r="G100" s="3"/>
      <c r="H100" s="8"/>
      <c r="I100" s="3"/>
      <c r="J100" s="7">
        <f t="shared" si="21"/>
        <v>0</v>
      </c>
      <c r="K100" s="3"/>
      <c r="L100" s="8">
        <f t="shared" si="22"/>
        <v>665.5</v>
      </c>
      <c r="M100" s="3"/>
      <c r="N100" s="7">
        <f t="shared" si="23"/>
        <v>0</v>
      </c>
      <c r="O100" s="12"/>
      <c r="P100" s="8">
        <v>2790</v>
      </c>
      <c r="Q100" s="3"/>
      <c r="R100" s="7">
        <f t="shared" si="24"/>
        <v>1.9952625601402708E-3</v>
      </c>
      <c r="S100" s="3"/>
      <c r="T100" s="8"/>
      <c r="U100" s="3"/>
      <c r="V100" s="7">
        <f t="shared" si="25"/>
        <v>0</v>
      </c>
      <c r="W100" s="3"/>
      <c r="X100" s="8">
        <f t="shared" si="26"/>
        <v>2790</v>
      </c>
      <c r="Y100" s="3"/>
      <c r="Z100" s="7">
        <f t="shared" si="27"/>
        <v>0</v>
      </c>
    </row>
    <row r="101" spans="1:26" s="68" customFormat="1" ht="15" customHeight="1" outlineLevel="1" collapsed="1" x14ac:dyDescent="0.3">
      <c r="A101" s="26"/>
      <c r="B101" s="14" t="str">
        <f>CONCATENATE("     ","Telephone/Data Lines                              ")</f>
        <v xml:space="preserve">     Telephone/Data Lines                              </v>
      </c>
      <c r="C101" s="14"/>
      <c r="D101" s="2">
        <f>SUM(OSRRefD22_18x_0)</f>
        <v>913.65</v>
      </c>
      <c r="E101" s="2"/>
      <c r="F101" s="6">
        <f t="shared" si="20"/>
        <v>2.2581472179510113E-3</v>
      </c>
      <c r="G101" s="2"/>
      <c r="H101" s="2">
        <f>SUM(OSRRefH22_18x_0)</f>
        <v>581.45000000000005</v>
      </c>
      <c r="I101" s="2"/>
      <c r="J101" s="6">
        <f t="shared" si="21"/>
        <v>1.0135964343439838E-2</v>
      </c>
      <c r="K101" s="2"/>
      <c r="L101" s="2">
        <f t="shared" si="22"/>
        <v>332.19999999999993</v>
      </c>
      <c r="M101" s="2"/>
      <c r="N101" s="6">
        <f t="shared" si="23"/>
        <v>0.57133029495227428</v>
      </c>
      <c r="O101" s="14"/>
      <c r="P101" s="2">
        <f>SUM(OSRRefP22_18x_0)</f>
        <v>7131.54</v>
      </c>
      <c r="Q101" s="2"/>
      <c r="R101" s="6">
        <f t="shared" si="24"/>
        <v>5.1001056480798378E-3</v>
      </c>
      <c r="S101" s="2"/>
      <c r="T101" s="2">
        <f>SUM(OSRRefT22_18x_0)</f>
        <v>8790.2999999999993</v>
      </c>
      <c r="U101" s="2"/>
      <c r="V101" s="6">
        <f t="shared" si="25"/>
        <v>2.275193687694433E-2</v>
      </c>
      <c r="W101" s="2"/>
      <c r="X101" s="2">
        <f t="shared" si="26"/>
        <v>-1658.7599999999993</v>
      </c>
      <c r="Y101" s="2"/>
      <c r="Z101" s="6">
        <f t="shared" si="27"/>
        <v>-0.18870345721989004</v>
      </c>
    </row>
    <row r="102" spans="1:26" s="69" customFormat="1" ht="15" hidden="1" customHeight="1" outlineLevel="2" x14ac:dyDescent="0.3">
      <c r="A102" s="25"/>
      <c r="B102" s="12" t="str">
        <f>CONCATENATE("          ","6309"," - ","TELEPHONE")</f>
        <v xml:space="preserve">          6309 - TELEPHONE</v>
      </c>
      <c r="C102" s="12"/>
      <c r="D102" s="8">
        <v>913.65</v>
      </c>
      <c r="E102" s="3"/>
      <c r="F102" s="7">
        <f t="shared" si="20"/>
        <v>2.2581472179510113E-3</v>
      </c>
      <c r="G102" s="3"/>
      <c r="H102" s="8">
        <v>581.45000000000005</v>
      </c>
      <c r="I102" s="3"/>
      <c r="J102" s="7">
        <f t="shared" si="21"/>
        <v>1.0135964343439838E-2</v>
      </c>
      <c r="K102" s="3"/>
      <c r="L102" s="8">
        <f t="shared" si="22"/>
        <v>332.19999999999993</v>
      </c>
      <c r="M102" s="3"/>
      <c r="N102" s="7">
        <f t="shared" si="23"/>
        <v>0.57133029495227428</v>
      </c>
      <c r="O102" s="12"/>
      <c r="P102" s="8">
        <v>7131.54</v>
      </c>
      <c r="Q102" s="3"/>
      <c r="R102" s="7">
        <f t="shared" si="24"/>
        <v>5.1001056480798378E-3</v>
      </c>
      <c r="S102" s="3"/>
      <c r="T102" s="8">
        <v>8790.2999999999993</v>
      </c>
      <c r="U102" s="3"/>
      <c r="V102" s="7">
        <f t="shared" si="25"/>
        <v>2.275193687694433E-2</v>
      </c>
      <c r="W102" s="3"/>
      <c r="X102" s="8">
        <f t="shared" si="26"/>
        <v>-1658.7599999999993</v>
      </c>
      <c r="Y102" s="3"/>
      <c r="Z102" s="7">
        <f t="shared" si="27"/>
        <v>-0.18870345721989004</v>
      </c>
    </row>
    <row r="103" spans="1:26" s="68" customFormat="1" ht="15" customHeight="1" outlineLevel="1" collapsed="1" x14ac:dyDescent="0.3">
      <c r="A103" s="26"/>
      <c r="B103" s="14" t="str">
        <f>CONCATENATE("     ","Training                                          ")</f>
        <v xml:space="preserve">     Training                                          </v>
      </c>
      <c r="C103" s="14"/>
      <c r="D103" s="2">
        <f>SUM(OSRRefD22_19x_0)</f>
        <v>0</v>
      </c>
      <c r="E103" s="2"/>
      <c r="F103" s="6">
        <f t="shared" si="20"/>
        <v>0</v>
      </c>
      <c r="G103" s="2"/>
      <c r="H103" s="2">
        <f>SUM(OSRRefH22_19x_0)</f>
        <v>0</v>
      </c>
      <c r="I103" s="2"/>
      <c r="J103" s="6">
        <f t="shared" si="21"/>
        <v>0</v>
      </c>
      <c r="K103" s="2"/>
      <c r="L103" s="2">
        <f t="shared" si="22"/>
        <v>0</v>
      </c>
      <c r="M103" s="2"/>
      <c r="N103" s="6">
        <f t="shared" si="23"/>
        <v>0</v>
      </c>
      <c r="O103" s="14"/>
      <c r="P103" s="2">
        <f>SUM(OSRRefP22_19x_0)</f>
        <v>800</v>
      </c>
      <c r="Q103" s="2"/>
      <c r="R103" s="6">
        <f t="shared" si="24"/>
        <v>5.7211829681441456E-4</v>
      </c>
      <c r="S103" s="2"/>
      <c r="T103" s="2">
        <f>SUM(OSRRefT22_19x_0)</f>
        <v>400</v>
      </c>
      <c r="U103" s="2"/>
      <c r="V103" s="6">
        <f t="shared" si="25"/>
        <v>1.0353201541218994E-3</v>
      </c>
      <c r="W103" s="2"/>
      <c r="X103" s="2">
        <f t="shared" si="26"/>
        <v>400</v>
      </c>
      <c r="Y103" s="2"/>
      <c r="Z103" s="6">
        <f t="shared" si="27"/>
        <v>1</v>
      </c>
    </row>
    <row r="104" spans="1:26" s="69" customFormat="1" ht="15" hidden="1" customHeight="1" outlineLevel="2" x14ac:dyDescent="0.3">
      <c r="A104" s="25"/>
      <c r="B104" s="12" t="str">
        <f>CONCATENATE("          ","6376"," - ","TRAINING")</f>
        <v xml:space="preserve">          6376 - TRAINING</v>
      </c>
      <c r="C104" s="12"/>
      <c r="D104" s="8"/>
      <c r="E104" s="3"/>
      <c r="F104" s="7">
        <f t="shared" si="20"/>
        <v>0</v>
      </c>
      <c r="G104" s="3"/>
      <c r="H104" s="8"/>
      <c r="I104" s="3"/>
      <c r="J104" s="7">
        <f t="shared" si="21"/>
        <v>0</v>
      </c>
      <c r="K104" s="3"/>
      <c r="L104" s="8">
        <f t="shared" si="22"/>
        <v>0</v>
      </c>
      <c r="M104" s="3"/>
      <c r="N104" s="7">
        <f t="shared" si="23"/>
        <v>0</v>
      </c>
      <c r="O104" s="12"/>
      <c r="P104" s="8">
        <v>800</v>
      </c>
      <c r="Q104" s="3"/>
      <c r="R104" s="7">
        <f t="shared" si="24"/>
        <v>5.7211829681441456E-4</v>
      </c>
      <c r="S104" s="3"/>
      <c r="T104" s="8">
        <v>400</v>
      </c>
      <c r="U104" s="3"/>
      <c r="V104" s="7">
        <f t="shared" si="25"/>
        <v>1.0353201541218994E-3</v>
      </c>
      <c r="W104" s="3"/>
      <c r="X104" s="8">
        <f t="shared" si="26"/>
        <v>400</v>
      </c>
      <c r="Y104" s="3"/>
      <c r="Z104" s="7">
        <f t="shared" si="27"/>
        <v>1</v>
      </c>
    </row>
    <row r="105" spans="1:26" s="68" customFormat="1" ht="15" customHeight="1" outlineLevel="1" collapsed="1" x14ac:dyDescent="0.3">
      <c r="A105" s="26"/>
      <c r="B105" s="14" t="str">
        <f>CONCATENATE("     ","Travel                                            ")</f>
        <v xml:space="preserve">     Travel                                            </v>
      </c>
      <c r="C105" s="14"/>
      <c r="D105" s="2">
        <f>SUM(OSRRefD22_20x_0)</f>
        <v>0</v>
      </c>
      <c r="E105" s="2"/>
      <c r="F105" s="6">
        <f t="shared" si="20"/>
        <v>0</v>
      </c>
      <c r="G105" s="2"/>
      <c r="H105" s="2">
        <f>SUM(OSRRefH22_20x_0)</f>
        <v>0</v>
      </c>
      <c r="I105" s="2"/>
      <c r="J105" s="6">
        <f t="shared" si="21"/>
        <v>0</v>
      </c>
      <c r="K105" s="2"/>
      <c r="L105" s="2">
        <f t="shared" si="22"/>
        <v>0</v>
      </c>
      <c r="M105" s="2"/>
      <c r="N105" s="6">
        <f t="shared" si="23"/>
        <v>0</v>
      </c>
      <c r="O105" s="14"/>
      <c r="P105" s="2">
        <f>SUM(OSRRefP22_20x_0)</f>
        <v>141.24</v>
      </c>
      <c r="Q105" s="2"/>
      <c r="R105" s="6">
        <f t="shared" si="24"/>
        <v>1.0100748530258491E-4</v>
      </c>
      <c r="S105" s="2"/>
      <c r="T105" s="2">
        <f>SUM(OSRRefT22_20x_0)</f>
        <v>332.21</v>
      </c>
      <c r="U105" s="2"/>
      <c r="V105" s="6">
        <f t="shared" si="25"/>
        <v>8.5985927100209049E-4</v>
      </c>
      <c r="W105" s="2"/>
      <c r="X105" s="2">
        <f t="shared" si="26"/>
        <v>-190.96999999999997</v>
      </c>
      <c r="Y105" s="2"/>
      <c r="Z105" s="6">
        <f t="shared" si="27"/>
        <v>-0.5748472351825652</v>
      </c>
    </row>
    <row r="106" spans="1:26" s="69" customFormat="1" ht="15" hidden="1" customHeight="1" outlineLevel="2" x14ac:dyDescent="0.3">
      <c r="A106" s="25"/>
      <c r="B106" s="12" t="str">
        <f>CONCATENATE("          ","6292"," - ","TRAVEL/CONFERENCE")</f>
        <v xml:space="preserve">          6292 - TRAVEL/CONFERENCE</v>
      </c>
      <c r="C106" s="12"/>
      <c r="D106" s="8"/>
      <c r="E106" s="3"/>
      <c r="F106" s="7">
        <f t="shared" si="20"/>
        <v>0</v>
      </c>
      <c r="G106" s="3"/>
      <c r="H106" s="8"/>
      <c r="I106" s="3"/>
      <c r="J106" s="7">
        <f t="shared" si="21"/>
        <v>0</v>
      </c>
      <c r="K106" s="3"/>
      <c r="L106" s="8">
        <f t="shared" si="22"/>
        <v>0</v>
      </c>
      <c r="M106" s="3"/>
      <c r="N106" s="7">
        <f t="shared" si="23"/>
        <v>0</v>
      </c>
      <c r="O106" s="12"/>
      <c r="P106" s="8">
        <v>18.59</v>
      </c>
      <c r="Q106" s="3"/>
      <c r="R106" s="7">
        <f t="shared" si="24"/>
        <v>1.3294598922224959E-5</v>
      </c>
      <c r="S106" s="3"/>
      <c r="T106" s="8"/>
      <c r="U106" s="3"/>
      <c r="V106" s="7">
        <f t="shared" si="25"/>
        <v>0</v>
      </c>
      <c r="W106" s="3"/>
      <c r="X106" s="8">
        <f t="shared" si="26"/>
        <v>18.59</v>
      </c>
      <c r="Y106" s="3"/>
      <c r="Z106" s="7">
        <f t="shared" si="27"/>
        <v>0</v>
      </c>
    </row>
    <row r="107" spans="1:26" s="69" customFormat="1" ht="15" hidden="1" customHeight="1" outlineLevel="2" x14ac:dyDescent="0.3">
      <c r="A107" s="25"/>
      <c r="B107" s="12" t="str">
        <f>CONCATENATE("          ","6298"," - ","VEHICLE MILEAGE")</f>
        <v xml:space="preserve">          6298 - VEHICLE MILEAGE</v>
      </c>
      <c r="C107" s="12"/>
      <c r="D107" s="8"/>
      <c r="E107" s="3"/>
      <c r="F107" s="7">
        <f t="shared" si="20"/>
        <v>0</v>
      </c>
      <c r="G107" s="3"/>
      <c r="H107" s="8"/>
      <c r="I107" s="3"/>
      <c r="J107" s="7">
        <f t="shared" si="21"/>
        <v>0</v>
      </c>
      <c r="K107" s="3"/>
      <c r="L107" s="8">
        <f t="shared" si="22"/>
        <v>0</v>
      </c>
      <c r="M107" s="3"/>
      <c r="N107" s="7">
        <f t="shared" si="23"/>
        <v>0</v>
      </c>
      <c r="O107" s="12"/>
      <c r="P107" s="8">
        <v>122.65</v>
      </c>
      <c r="Q107" s="3"/>
      <c r="R107" s="7">
        <f t="shared" si="24"/>
        <v>8.7712886380359942E-5</v>
      </c>
      <c r="S107" s="3"/>
      <c r="T107" s="8">
        <v>332.21</v>
      </c>
      <c r="U107" s="3"/>
      <c r="V107" s="7">
        <f t="shared" si="25"/>
        <v>8.5985927100209049E-4</v>
      </c>
      <c r="W107" s="3"/>
      <c r="X107" s="8">
        <f t="shared" si="26"/>
        <v>-209.55999999999997</v>
      </c>
      <c r="Y107" s="3"/>
      <c r="Z107" s="7">
        <f t="shared" si="27"/>
        <v>-0.63080581559856708</v>
      </c>
    </row>
    <row r="108" spans="1:26" s="68" customFormat="1" ht="15" customHeight="1" outlineLevel="1" collapsed="1" x14ac:dyDescent="0.3">
      <c r="A108" s="26"/>
      <c r="B108" s="14" t="str">
        <f>CONCATENATE("     ","Utilities                                         ")</f>
        <v xml:space="preserve">     Utilities                                         </v>
      </c>
      <c r="C108" s="14"/>
      <c r="D108" s="2">
        <f>SUM(OSRRefD22_21x_0)</f>
        <v>8250</v>
      </c>
      <c r="E108" s="2"/>
      <c r="F108" s="6">
        <f t="shared" si="20"/>
        <v>2.0390428006453066E-2</v>
      </c>
      <c r="G108" s="2"/>
      <c r="H108" s="2">
        <f>SUM(OSRRefH22_21x_0)</f>
        <v>-10954</v>
      </c>
      <c r="I108" s="2"/>
      <c r="J108" s="6">
        <f t="shared" si="21"/>
        <v>-0.19095253834042475</v>
      </c>
      <c r="K108" s="2"/>
      <c r="L108" s="2">
        <f t="shared" si="22"/>
        <v>19204</v>
      </c>
      <c r="M108" s="2"/>
      <c r="N108" s="6">
        <f t="shared" si="23"/>
        <v>-1.7531495344166514</v>
      </c>
      <c r="O108" s="14"/>
      <c r="P108" s="2">
        <f>SUM(OSRRefP22_21x_0)</f>
        <v>71850</v>
      </c>
      <c r="Q108" s="2"/>
      <c r="R108" s="6">
        <f t="shared" si="24"/>
        <v>5.1383374532644611E-2</v>
      </c>
      <c r="S108" s="2"/>
      <c r="T108" s="2">
        <f>SUM(OSRRefT22_21x_0)</f>
        <v>3188</v>
      </c>
      <c r="U108" s="2"/>
      <c r="V108" s="6">
        <f t="shared" si="25"/>
        <v>8.2515016283515388E-3</v>
      </c>
      <c r="W108" s="2"/>
      <c r="X108" s="2">
        <f t="shared" si="26"/>
        <v>68662</v>
      </c>
      <c r="Y108" s="2"/>
      <c r="Z108" s="6">
        <f t="shared" si="27"/>
        <v>21.537641154328732</v>
      </c>
    </row>
    <row r="109" spans="1:26" s="69" customFormat="1" ht="15" hidden="1" customHeight="1" outlineLevel="2" x14ac:dyDescent="0.3">
      <c r="A109" s="25"/>
      <c r="B109" s="12" t="str">
        <f>CONCATENATE("          ","6274"," - ","UTILITIES")</f>
        <v xml:space="preserve">          6274 - UTILITIES</v>
      </c>
      <c r="C109" s="12"/>
      <c r="D109" s="8">
        <v>8250</v>
      </c>
      <c r="E109" s="3"/>
      <c r="F109" s="7">
        <f t="shared" si="20"/>
        <v>2.0390428006453066E-2</v>
      </c>
      <c r="G109" s="3"/>
      <c r="H109" s="8">
        <v>-10954</v>
      </c>
      <c r="I109" s="3"/>
      <c r="J109" s="7">
        <f t="shared" si="21"/>
        <v>-0.19095253834042475</v>
      </c>
      <c r="K109" s="3"/>
      <c r="L109" s="8">
        <f t="shared" si="22"/>
        <v>19204</v>
      </c>
      <c r="M109" s="3"/>
      <c r="N109" s="7">
        <f t="shared" si="23"/>
        <v>-1.7531495344166514</v>
      </c>
      <c r="O109" s="12"/>
      <c r="P109" s="8">
        <v>71850</v>
      </c>
      <c r="Q109" s="3"/>
      <c r="R109" s="7">
        <f t="shared" si="24"/>
        <v>5.1383374532644611E-2</v>
      </c>
      <c r="S109" s="3"/>
      <c r="T109" s="8">
        <v>3188</v>
      </c>
      <c r="U109" s="3"/>
      <c r="V109" s="7">
        <f t="shared" si="25"/>
        <v>8.2515016283515388E-3</v>
      </c>
      <c r="W109" s="3"/>
      <c r="X109" s="8">
        <f t="shared" si="26"/>
        <v>68662</v>
      </c>
      <c r="Y109" s="3"/>
      <c r="Z109" s="7">
        <f t="shared" si="27"/>
        <v>21.537641154328732</v>
      </c>
    </row>
    <row r="110" spans="1:26" s="64" customFormat="1" ht="15" customHeight="1" x14ac:dyDescent="0.3">
      <c r="A110" s="36"/>
      <c r="B110" s="36"/>
      <c r="C110" s="36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O110" s="36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62" customFormat="1" ht="15" customHeight="1" collapsed="1" x14ac:dyDescent="0.3">
      <c r="A111" s="11"/>
      <c r="B111" s="28" t="s">
        <v>290</v>
      </c>
      <c r="C111" s="11"/>
      <c r="D111" s="5">
        <f>SUM(OSRRefD25x_0)</f>
        <v>25319.38</v>
      </c>
      <c r="E111" s="5"/>
      <c r="F111" s="13">
        <f>IF(D$12=0,0,D111/D$12)</f>
        <v>6.2578544855518503E-2</v>
      </c>
      <c r="G111" s="5"/>
      <c r="H111" s="5">
        <f>SUM(OSRRefH25x_0)</f>
        <v>3116.44</v>
      </c>
      <c r="I111" s="5"/>
      <c r="J111" s="13">
        <f>IF(H$12=0,0,H111/H$12)</f>
        <v>5.4326467827791977E-2</v>
      </c>
      <c r="K111" s="5"/>
      <c r="L111" s="5">
        <f>+D111-H111</f>
        <v>22202.940000000002</v>
      </c>
      <c r="M111" s="5"/>
      <c r="N111" s="13">
        <f>IF(H111=0,0,L111/H111)</f>
        <v>7.1244561101769976</v>
      </c>
      <c r="O111" s="11"/>
      <c r="P111" s="5">
        <f>SUM(OSRRefP25x_0)</f>
        <v>168534.85</v>
      </c>
      <c r="Q111" s="5"/>
      <c r="R111" s="13">
        <f>IF(P$12=0,0,P111/P$12)</f>
        <v>0.12052733916984106</v>
      </c>
      <c r="S111" s="5"/>
      <c r="T111" s="5">
        <f>SUM(OSRRefT25x_0)</f>
        <v>20865.659999999996</v>
      </c>
      <c r="U111" s="5"/>
      <c r="V111" s="13">
        <f>IF(T$12=0,0,T111/T$12)</f>
        <v>5.4006595817637872E-2</v>
      </c>
      <c r="W111" s="5"/>
      <c r="X111" s="5">
        <f>+P111-T111</f>
        <v>147669.19</v>
      </c>
      <c r="Y111" s="5"/>
      <c r="Z111" s="13">
        <f>IF(T111=0,0,X111/T111)</f>
        <v>7.07713966392628</v>
      </c>
    </row>
    <row r="112" spans="1:26" s="69" customFormat="1" ht="15" hidden="1" customHeight="1" outlineLevel="1" x14ac:dyDescent="0.3">
      <c r="A112" s="42"/>
      <c r="B112" s="12" t="str">
        <f>CONCATENATE("          ","9150"," - ","MISC. INCOME")</f>
        <v xml:space="preserve">          9150 - MISC. INCOME</v>
      </c>
      <c r="C112" s="12"/>
      <c r="D112" s="3">
        <f>--25319.38</f>
        <v>25319.38</v>
      </c>
      <c r="E112" s="3"/>
      <c r="F112" s="20">
        <f>IF(D$12=0,0,D112/D$12)</f>
        <v>6.2578544855518503E-2</v>
      </c>
      <c r="G112" s="3"/>
      <c r="H112" s="3">
        <f>--3116.44</f>
        <v>3116.44</v>
      </c>
      <c r="I112" s="3"/>
      <c r="J112" s="20">
        <f>IF(H$12=0,0,H112/H$12)</f>
        <v>5.4326467827791977E-2</v>
      </c>
      <c r="K112" s="3"/>
      <c r="L112" s="3">
        <f>+D112-H112</f>
        <v>22202.940000000002</v>
      </c>
      <c r="M112" s="3"/>
      <c r="N112" s="20">
        <f>IF(H112=0,0,L112/H112)</f>
        <v>7.1244561101769976</v>
      </c>
      <c r="O112" s="12"/>
      <c r="P112" s="3">
        <f>--168534.85</f>
        <v>168534.85</v>
      </c>
      <c r="Q112" s="3"/>
      <c r="R112" s="20">
        <f>IF(P$12=0,0,P112/P$12)</f>
        <v>0.12052733916984106</v>
      </c>
      <c r="S112" s="3"/>
      <c r="T112" s="3">
        <f>--4844.49</f>
        <v>4844.49</v>
      </c>
      <c r="U112" s="3"/>
      <c r="V112" s="20">
        <f>IF(T$12=0,0,T112/T$12)</f>
        <v>1.2538995333605002E-2</v>
      </c>
      <c r="W112" s="3"/>
      <c r="X112" s="3">
        <f>+P112-T112</f>
        <v>163690.36000000002</v>
      </c>
      <c r="Y112" s="3"/>
      <c r="Z112" s="20">
        <f>IF(T112=0,0,X112/T112)</f>
        <v>33.788976755035108</v>
      </c>
    </row>
    <row r="113" spans="1:26" s="69" customFormat="1" ht="15" hidden="1" customHeight="1" outlineLevel="1" x14ac:dyDescent="0.3">
      <c r="A113" s="42"/>
      <c r="B113" s="12" t="str">
        <f>CONCATENATE("          ","9160"," - ","MISC. INCOME")</f>
        <v xml:space="preserve">          9160 -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f>0</f>
        <v>0</v>
      </c>
      <c r="I113" s="3"/>
      <c r="J113" s="20">
        <f>IF(H$12=0,0,H113/H$12)</f>
        <v>0</v>
      </c>
      <c r="K113" s="3"/>
      <c r="L113" s="3">
        <f>+D113-H113</f>
        <v>0</v>
      </c>
      <c r="M113" s="3"/>
      <c r="N113" s="20">
        <f>IF(H113=0,0,L113/H113)</f>
        <v>0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f>--12882.96</f>
        <v>12882.96</v>
      </c>
      <c r="U113" s="3"/>
      <c r="V113" s="20">
        <f>IF(T$12=0,0,T113/T$12)</f>
        <v>3.3344970331865662E-2</v>
      </c>
      <c r="W113" s="3"/>
      <c r="X113" s="3">
        <f>+P113-T113</f>
        <v>-12882.96</v>
      </c>
      <c r="Y113" s="3"/>
      <c r="Z113" s="20">
        <f>IF(T113=0,0,X113/T113)</f>
        <v>-1</v>
      </c>
    </row>
    <row r="114" spans="1:26" s="69" customFormat="1" ht="15" hidden="1" customHeight="1" outlineLevel="1" x14ac:dyDescent="0.3">
      <c r="A114" s="42"/>
      <c r="B114" s="12" t="str">
        <f>CONCATENATE("          ","9165"," - ","OTHER INCOME")</f>
        <v xml:space="preserve">          9165 - OTHER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>
        <f>0</f>
        <v>0</v>
      </c>
      <c r="I114" s="3"/>
      <c r="J114" s="20">
        <f>IF(H$12=0,0,H114/H$12)</f>
        <v>0</v>
      </c>
      <c r="K114" s="3"/>
      <c r="L114" s="3">
        <f>+D114-H114</f>
        <v>0</v>
      </c>
      <c r="M114" s="3"/>
      <c r="N114" s="20">
        <f>IF(H114=0,0,L114/H114)</f>
        <v>0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>
        <f>--3138.21</f>
        <v>3138.21</v>
      </c>
      <c r="U114" s="3"/>
      <c r="V114" s="20">
        <f>IF(T$12=0,0,T114/T$12)</f>
        <v>8.1226301521672151E-3</v>
      </c>
      <c r="W114" s="3"/>
      <c r="X114" s="3">
        <f>+P114-T114</f>
        <v>-3138.21</v>
      </c>
      <c r="Y114" s="3"/>
      <c r="Z114" s="20">
        <f>IF(T114=0,0,X114/T114)</f>
        <v>-1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2" customFormat="1" ht="15" customHeight="1" x14ac:dyDescent="0.3">
      <c r="A116" s="11"/>
      <c r="B116" s="27" t="s">
        <v>291</v>
      </c>
      <c r="C116" s="27"/>
      <c r="D116" s="22">
        <f>+D32-D34+D111</f>
        <v>14427.89000000001</v>
      </c>
      <c r="E116" s="15"/>
      <c r="F116" s="21">
        <f>IF(D$12=0,0,D116/D$12)</f>
        <v>3.565949725212416E-2</v>
      </c>
      <c r="G116" s="15"/>
      <c r="H116" s="22">
        <f>+H32-H34+H111</f>
        <v>-45704.900000000016</v>
      </c>
      <c r="I116" s="15"/>
      <c r="J116" s="21">
        <f>IF(H$12=0,0,H116/H$12)</f>
        <v>-0.79673787379909466</v>
      </c>
      <c r="K116" s="17"/>
      <c r="L116" s="22">
        <f>+D116-H116</f>
        <v>60132.790000000023</v>
      </c>
      <c r="M116" s="17"/>
      <c r="N116" s="21">
        <f>IF(H116=0,0,L116/H116)</f>
        <v>-1.3156749057540877</v>
      </c>
      <c r="O116" s="28"/>
      <c r="P116" s="22">
        <f>+P32-P34+P111</f>
        <v>-909396.90000000049</v>
      </c>
      <c r="Q116" s="15"/>
      <c r="R116" s="21">
        <f>IF(P$12=0,0,P116/P$12)</f>
        <v>-0.65035325694538593</v>
      </c>
      <c r="S116" s="15"/>
      <c r="T116" s="22">
        <f>+T32-T34+T111</f>
        <v>-840559.66999999993</v>
      </c>
      <c r="U116" s="15"/>
      <c r="V116" s="21">
        <f>IF(T$12=0,0,T116/T$12)</f>
        <v>-2.175620917732632</v>
      </c>
      <c r="W116" s="17"/>
      <c r="X116" s="22">
        <f>+P116-T116</f>
        <v>-68837.230000000563</v>
      </c>
      <c r="Y116" s="17"/>
      <c r="Z116" s="21">
        <f>IF(T116=0,0,X116/T116)</f>
        <v>8.1894519160074106E-2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3">
      <c r="A118" s="48"/>
      <c r="B118" s="11" t="s">
        <v>292</v>
      </c>
      <c r="C118" s="11"/>
      <c r="D118" s="5">
        <v>42847.46</v>
      </c>
      <c r="E118" s="5"/>
      <c r="F118" s="13">
        <f>IF(D$12=0,0,D118/D$12)</f>
        <v>0.10590036950174271</v>
      </c>
      <c r="G118" s="5"/>
      <c r="H118" s="5">
        <v>14472.7</v>
      </c>
      <c r="I118" s="5"/>
      <c r="J118" s="13">
        <f>IF(H$12=0,0,H118/H$12)</f>
        <v>0.25229129100232478</v>
      </c>
      <c r="K118" s="5"/>
      <c r="L118" s="5">
        <f>+D118-H118</f>
        <v>28374.76</v>
      </c>
      <c r="M118" s="5"/>
      <c r="N118" s="13">
        <f>IF(H118=0,0,L118/H118)</f>
        <v>1.9605712824835724</v>
      </c>
      <c r="O118" s="11"/>
      <c r="P118" s="5">
        <v>166885.12</v>
      </c>
      <c r="Q118" s="5"/>
      <c r="R118" s="13">
        <f>IF(P$12=0,0,P118/P$12)</f>
        <v>0.1193475382725865</v>
      </c>
      <c r="S118" s="5"/>
      <c r="T118" s="5">
        <v>79624.27</v>
      </c>
      <c r="U118" s="5"/>
      <c r="V118" s="13">
        <f>IF(T$12=0,0,T118/T$12)</f>
        <v>0.20609152872060935</v>
      </c>
      <c r="W118" s="5"/>
      <c r="X118" s="5">
        <f>+P118-T118</f>
        <v>87260.849999999991</v>
      </c>
      <c r="Y118" s="5"/>
      <c r="Z118" s="13">
        <f>IF(T118=0,0,X118/T118)</f>
        <v>1.0959076924661286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2" customFormat="1" ht="15" customHeight="1" x14ac:dyDescent="0.3">
      <c r="A120" s="11"/>
      <c r="B120" s="27" t="s">
        <v>293</v>
      </c>
      <c r="C120" s="27"/>
      <c r="D120" s="34">
        <f>+D116-D118</f>
        <v>-28419.569999999989</v>
      </c>
      <c r="E120" s="15"/>
      <c r="F120" s="33">
        <f>IF(D$12=0,0,D120/D$12)</f>
        <v>-7.0240872249618558E-2</v>
      </c>
      <c r="G120" s="15"/>
      <c r="H120" s="34">
        <f>+H116-H118</f>
        <v>-60177.60000000002</v>
      </c>
      <c r="I120" s="15"/>
      <c r="J120" s="33">
        <f>IF(H$12=0,0,H120/H$12)</f>
        <v>-1.0490291648014194</v>
      </c>
      <c r="K120" s="17"/>
      <c r="L120" s="34">
        <f>D120-H120</f>
        <v>31758.030000000032</v>
      </c>
      <c r="M120" s="17"/>
      <c r="N120" s="33">
        <f>IF(H120=0,0,L120/H120)</f>
        <v>-0.5277383943527163</v>
      </c>
      <c r="O120" s="28"/>
      <c r="P120" s="34">
        <f>+P116-P118</f>
        <v>-1076282.0200000005</v>
      </c>
      <c r="Q120" s="15"/>
      <c r="R120" s="33">
        <f>IF(P$12=0,0,P120/P$12)</f>
        <v>-0.76970079521797252</v>
      </c>
      <c r="S120" s="15"/>
      <c r="T120" s="34">
        <f>+T116-T118</f>
        <v>-920183.94</v>
      </c>
      <c r="U120" s="15"/>
      <c r="V120" s="33">
        <f>IF(T$12=0,0,T120/T$12)</f>
        <v>-2.3817124464532418</v>
      </c>
      <c r="W120" s="17"/>
      <c r="X120" s="34">
        <f>P120-T120</f>
        <v>-156098.08000000054</v>
      </c>
      <c r="Y120" s="17"/>
      <c r="Z120" s="33">
        <f>IF(T120=0,0,X120/T120)</f>
        <v>0.16963790956838537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3">
      <c r="A123" s="11"/>
      <c r="B123" s="27" t="s">
        <v>296</v>
      </c>
      <c r="C123" s="27"/>
      <c r="D123" s="31">
        <f>SUM(D120:D122)</f>
        <v>-28419.569999999989</v>
      </c>
      <c r="E123" s="15"/>
      <c r="F123" s="32">
        <f>IF(D$12=0,0,D123/D$12)</f>
        <v>-7.0240872249618558E-2</v>
      </c>
      <c r="G123" s="15"/>
      <c r="H123" s="31">
        <f>SUM(H120:H122)</f>
        <v>-60177.60000000002</v>
      </c>
      <c r="I123" s="15"/>
      <c r="J123" s="32">
        <f>IF(H$12=0,0,H123/H$12)</f>
        <v>-1.0490291648014194</v>
      </c>
      <c r="K123" s="17"/>
      <c r="L123" s="31">
        <f>+D123-H123</f>
        <v>31758.030000000032</v>
      </c>
      <c r="M123" s="17"/>
      <c r="N123" s="32">
        <f>IF(H123=0,0,L123/H123)</f>
        <v>-0.5277383943527163</v>
      </c>
      <c r="O123" s="28"/>
      <c r="P123" s="31">
        <f>SUM(P120:P122)</f>
        <v>-1076282.0200000005</v>
      </c>
      <c r="Q123" s="15"/>
      <c r="R123" s="32">
        <f>IF(P$12=0,0,P123/P$12)</f>
        <v>-0.76970079521797252</v>
      </c>
      <c r="S123" s="15"/>
      <c r="T123" s="31">
        <f>SUM(T120:T122)</f>
        <v>-920183.94</v>
      </c>
      <c r="U123" s="15"/>
      <c r="V123" s="32">
        <f>IF(T$12=0,0,T123/T$12)</f>
        <v>-2.3817124464532418</v>
      </c>
      <c r="W123" s="17"/>
      <c r="X123" s="31">
        <f>+P123-T123</f>
        <v>-156098.08000000054</v>
      </c>
      <c r="Y123" s="17"/>
      <c r="Z123" s="32">
        <f>IF(T123=0,0,X123/T123)</f>
        <v>0.16963790956838537</v>
      </c>
    </row>
    <row r="124" spans="1:26" ht="15" customHeight="1" x14ac:dyDescent="0.3">
      <c r="A124" s="10"/>
      <c r="C124" s="10"/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  <row r="125" spans="1:26" ht="15" customHeight="1" x14ac:dyDescent="0.3">
      <c r="A125" s="10"/>
      <c r="B125" s="56">
        <v>44663.038536539352</v>
      </c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A126" s="10"/>
      <c r="B126" s="57" t="s">
        <v>297</v>
      </c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  <row r="127" spans="1:26" ht="15" customHeight="1" x14ac:dyDescent="0.3">
      <c r="A127" s="10"/>
      <c r="B127" s="58"/>
      <c r="D127" s="19"/>
      <c r="E127" s="19"/>
      <c r="G127" s="19"/>
      <c r="H127" s="19"/>
      <c r="I127" s="19"/>
      <c r="J127" s="40"/>
      <c r="K127" s="19"/>
      <c r="L127" s="19"/>
      <c r="M127" s="19"/>
      <c r="P127" s="19"/>
      <c r="Q127" s="19"/>
      <c r="R127" s="40"/>
      <c r="S127" s="19"/>
      <c r="T127" s="19"/>
      <c r="U127" s="19"/>
      <c r="V127" s="40"/>
      <c r="W127" s="19"/>
      <c r="X127" s="19"/>
    </row>
    <row r="128" spans="1:26" ht="15" customHeight="1" x14ac:dyDescent="0.3">
      <c r="D128" s="19"/>
      <c r="E128" s="19"/>
      <c r="G128" s="19"/>
      <c r="H128" s="19"/>
      <c r="I128" s="19"/>
      <c r="J128" s="40"/>
      <c r="K128" s="19"/>
      <c r="L128" s="19"/>
      <c r="M128" s="19"/>
      <c r="P128" s="19"/>
      <c r="Q128" s="19"/>
      <c r="R128" s="40"/>
      <c r="S128" s="19"/>
      <c r="T128" s="19"/>
      <c r="U128" s="19"/>
      <c r="V128" s="40"/>
      <c r="W128" s="19"/>
      <c r="X12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6AE44-5AD2-BA0F-F39C-5D7AACCF6945}">
  <sheetPr>
    <tabColor rgb="FFFFFF00"/>
    <outlinePr summaryBelow="0" summaryRight="0"/>
  </sheetPr>
  <dimension ref="A2:Z11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311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271668.8</v>
      </c>
      <c r="E12" s="5"/>
      <c r="F12" s="13"/>
      <c r="G12" s="5"/>
      <c r="H12" s="5">
        <f>SUM(OSRRefH13x_0)</f>
        <v>57264.49</v>
      </c>
      <c r="I12" s="5"/>
      <c r="J12" s="13"/>
      <c r="K12" s="5"/>
      <c r="L12" s="5">
        <f t="shared" ref="L12:L17" si="0">+D12-H12</f>
        <v>214404.31</v>
      </c>
      <c r="M12" s="5"/>
      <c r="N12" s="13">
        <f t="shared" ref="N12:N17" si="1">IF(H12=0,0,L12/H12)</f>
        <v>3.7441058149649113</v>
      </c>
      <c r="O12" s="11"/>
      <c r="P12" s="5">
        <f>SUM(OSRRefP13x_0)</f>
        <v>1090272.48</v>
      </c>
      <c r="Q12" s="5"/>
      <c r="R12" s="13"/>
      <c r="S12" s="5"/>
      <c r="T12" s="5">
        <f>SUM(OSRRefT13x_0)</f>
        <v>383532.89999999997</v>
      </c>
      <c r="U12" s="5"/>
      <c r="V12" s="13"/>
      <c r="W12" s="5"/>
      <c r="X12" s="5">
        <f t="shared" ref="X12:X17" si="2">+P12-T12</f>
        <v>706739.58000000007</v>
      </c>
      <c r="Y12" s="5"/>
      <c r="Z12" s="13">
        <f t="shared" ref="Z12:Z17" si="3">IF(T12=0,0,X12/T12)</f>
        <v>1.8427091391638113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--58129.76</f>
        <v>58129.760000000002</v>
      </c>
      <c r="E13" s="3"/>
      <c r="F13" s="20"/>
      <c r="G13" s="3"/>
      <c r="H13" s="3">
        <f>--2604.58</f>
        <v>2604.58</v>
      </c>
      <c r="I13" s="3"/>
      <c r="J13" s="20"/>
      <c r="K13" s="3"/>
      <c r="L13" s="3">
        <f t="shared" si="0"/>
        <v>55525.18</v>
      </c>
      <c r="M13" s="3"/>
      <c r="N13" s="20">
        <f t="shared" si="1"/>
        <v>21.318285481728342</v>
      </c>
      <c r="O13" s="12"/>
      <c r="P13" s="3">
        <f>--263794.88</f>
        <v>263794.88</v>
      </c>
      <c r="Q13" s="3"/>
      <c r="R13" s="20"/>
      <c r="S13" s="3"/>
      <c r="T13" s="3">
        <f>--25569.06</f>
        <v>25569.06</v>
      </c>
      <c r="U13" s="3"/>
      <c r="V13" s="20"/>
      <c r="W13" s="3"/>
      <c r="X13" s="3">
        <f t="shared" si="2"/>
        <v>238225.82</v>
      </c>
      <c r="Y13" s="3"/>
      <c r="Z13" s="20">
        <f t="shared" si="3"/>
        <v>9.3169565091559878</v>
      </c>
    </row>
    <row r="14" spans="1:26" s="69" customFormat="1" ht="15" hidden="1" customHeight="1" outlineLevel="1" x14ac:dyDescent="0.3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--51782.31</f>
        <v>51782.31</v>
      </c>
      <c r="I14" s="3"/>
      <c r="J14" s="20"/>
      <c r="K14" s="3"/>
      <c r="L14" s="3">
        <f t="shared" si="0"/>
        <v>-51782.31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--331940.11</f>
        <v>331940.11</v>
      </c>
      <c r="U14" s="3"/>
      <c r="V14" s="20"/>
      <c r="W14" s="3"/>
      <c r="X14" s="3">
        <f t="shared" si="2"/>
        <v>-331940.11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--2334.69</f>
        <v>2334.69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2334.69</v>
      </c>
      <c r="M15" s="3"/>
      <c r="N15" s="20">
        <f t="shared" si="1"/>
        <v>0</v>
      </c>
      <c r="O15" s="12"/>
      <c r="P15" s="3">
        <f>--16870.43</f>
        <v>16870.43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16870.43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","4058"," - ","TAXABLE SALES-FOOD")</f>
        <v xml:space="preserve">          4058 -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--974.91</f>
        <v>974.91</v>
      </c>
      <c r="U16" s="3"/>
      <c r="V16" s="20"/>
      <c r="W16" s="3"/>
      <c r="X16" s="3">
        <f t="shared" si="2"/>
        <v>-974.91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--211204.35</f>
        <v>211204.35</v>
      </c>
      <c r="E17" s="3"/>
      <c r="F17" s="20"/>
      <c r="G17" s="3"/>
      <c r="H17" s="3">
        <f>--2877.6</f>
        <v>2877.6</v>
      </c>
      <c r="I17" s="3"/>
      <c r="J17" s="20"/>
      <c r="K17" s="3"/>
      <c r="L17" s="3">
        <f t="shared" si="0"/>
        <v>208326.75</v>
      </c>
      <c r="M17" s="3"/>
      <c r="N17" s="20">
        <f t="shared" si="1"/>
        <v>72.396007089241039</v>
      </c>
      <c r="O17" s="12"/>
      <c r="P17" s="3">
        <f>--809607.17</f>
        <v>809607.17</v>
      </c>
      <c r="Q17" s="3"/>
      <c r="R17" s="20"/>
      <c r="S17" s="3"/>
      <c r="T17" s="3">
        <f>--25048.82</f>
        <v>25048.82</v>
      </c>
      <c r="U17" s="3"/>
      <c r="V17" s="20"/>
      <c r="W17" s="3"/>
      <c r="X17" s="3">
        <f t="shared" si="2"/>
        <v>784558.35000000009</v>
      </c>
      <c r="Y17" s="3"/>
      <c r="Z17" s="20">
        <f t="shared" si="3"/>
        <v>31.321170019186535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collapsed="1" x14ac:dyDescent="0.3">
      <c r="A19" s="11"/>
      <c r="B19" s="28" t="s">
        <v>287</v>
      </c>
      <c r="C19" s="11"/>
      <c r="D19" s="5">
        <f>SUM(OSRRefD16x_0)</f>
        <v>101614.43</v>
      </c>
      <c r="E19" s="5"/>
      <c r="F19" s="13">
        <f>IF(D$12=0,0,D19/D$12)</f>
        <v>0.37403790939555809</v>
      </c>
      <c r="G19" s="5"/>
      <c r="H19" s="5">
        <f>SUM(OSRRefH16x_0)</f>
        <v>-6210.29</v>
      </c>
      <c r="I19" s="5"/>
      <c r="J19" s="13">
        <f>IF(H$12=0,0,H19/H$12)</f>
        <v>-0.10844923267455975</v>
      </c>
      <c r="K19" s="5"/>
      <c r="L19" s="5">
        <f>+D19-H19</f>
        <v>107824.71999999999</v>
      </c>
      <c r="M19" s="5"/>
      <c r="N19" s="13">
        <f>IF(H19=0,0,L19/H19)</f>
        <v>-17.362268106642361</v>
      </c>
      <c r="O19" s="11"/>
      <c r="P19" s="5">
        <f>SUM(OSRRefP16x_0)</f>
        <v>422544.6</v>
      </c>
      <c r="Q19" s="5"/>
      <c r="R19" s="13">
        <f>IF(P$12=0,0,P19/P$12)</f>
        <v>0.38755871376300355</v>
      </c>
      <c r="S19" s="5"/>
      <c r="T19" s="5">
        <f>SUM(OSRRefT16x_0)</f>
        <v>9643.9500000000007</v>
      </c>
      <c r="U19" s="5"/>
      <c r="V19" s="13">
        <f>IF(T$12=0,0,T19/T$12)</f>
        <v>2.514503970845787E-2</v>
      </c>
      <c r="W19" s="5"/>
      <c r="X19" s="5">
        <f>+P19-T19</f>
        <v>412900.64999999997</v>
      </c>
      <c r="Y19" s="5"/>
      <c r="Z19" s="13">
        <f>IF(T19=0,0,X19/T19)</f>
        <v>42.814474359572571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78261.679999999993</v>
      </c>
      <c r="E20" s="3"/>
      <c r="F20" s="20">
        <f>IF(D$12=0,0,D20/D$12)</f>
        <v>0.2880775414769749</v>
      </c>
      <c r="G20" s="3"/>
      <c r="H20" s="3">
        <v>-5711.29</v>
      </c>
      <c r="I20" s="3"/>
      <c r="J20" s="20">
        <f>IF(H$12=0,0,H20/H$12)</f>
        <v>-9.9735280974300136E-2</v>
      </c>
      <c r="K20" s="3"/>
      <c r="L20" s="3">
        <f>+D20-H20</f>
        <v>83972.969999999987</v>
      </c>
      <c r="M20" s="3"/>
      <c r="N20" s="20">
        <f>IF(H20=0,0,L20/H20)</f>
        <v>-14.702977786104363</v>
      </c>
      <c r="O20" s="12"/>
      <c r="P20" s="3">
        <v>375493.36</v>
      </c>
      <c r="Q20" s="3"/>
      <c r="R20" s="20">
        <f>IF(P$12=0,0,P20/P$12)</f>
        <v>0.3444032266135893</v>
      </c>
      <c r="S20" s="3"/>
      <c r="T20" s="3">
        <v>4393.87</v>
      </c>
      <c r="U20" s="3"/>
      <c r="V20" s="20">
        <f>IF(T$12=0,0,T20/T$12)</f>
        <v>1.1456305313051371E-2</v>
      </c>
      <c r="W20" s="3"/>
      <c r="X20" s="3">
        <f>+P20-T20</f>
        <v>371099.49</v>
      </c>
      <c r="Y20" s="3"/>
      <c r="Z20" s="20">
        <f>IF(T20=0,0,X20/T20)</f>
        <v>84.458459171527608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23352.75</v>
      </c>
      <c r="E21" s="3"/>
      <c r="F21" s="20">
        <f>IF(D$12=0,0,D21/D$12)</f>
        <v>8.5960367918583219E-2</v>
      </c>
      <c r="G21" s="3"/>
      <c r="H21" s="3">
        <v>-499</v>
      </c>
      <c r="I21" s="3"/>
      <c r="J21" s="20">
        <f>IF(H$12=0,0,H21/H$12)</f>
        <v>-8.7139517002596204E-3</v>
      </c>
      <c r="K21" s="3"/>
      <c r="L21" s="3">
        <f>+D21-H21</f>
        <v>23851.75</v>
      </c>
      <c r="M21" s="3"/>
      <c r="N21" s="20">
        <f>IF(H21=0,0,L21/H21)</f>
        <v>-47.799098196392784</v>
      </c>
      <c r="O21" s="12"/>
      <c r="P21" s="3">
        <v>47051.24</v>
      </c>
      <c r="Q21" s="3"/>
      <c r="R21" s="20">
        <f>IF(P$12=0,0,P21/P$12)</f>
        <v>4.3155487149414244E-2</v>
      </c>
      <c r="S21" s="3"/>
      <c r="T21" s="3">
        <v>5250.08</v>
      </c>
      <c r="U21" s="3"/>
      <c r="V21" s="20">
        <f>IF(T$12=0,0,T21/T$12)</f>
        <v>1.3688734395406497E-2</v>
      </c>
      <c r="W21" s="3"/>
      <c r="X21" s="3">
        <f>+P21-T21</f>
        <v>41801.159999999996</v>
      </c>
      <c r="Y21" s="3"/>
      <c r="Z21" s="20">
        <f>IF(T21=0,0,X21/T21)</f>
        <v>7.9620043885045559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7" t="s">
        <v>288</v>
      </c>
      <c r="C23" s="27"/>
      <c r="D23" s="22">
        <f>D12-D19</f>
        <v>170054.37</v>
      </c>
      <c r="E23" s="15"/>
      <c r="F23" s="21">
        <f>IF(D$12=0,0,D23/D$12)</f>
        <v>0.62596209060444186</v>
      </c>
      <c r="G23" s="15"/>
      <c r="H23" s="22">
        <f>H12-H19</f>
        <v>63474.78</v>
      </c>
      <c r="I23" s="15"/>
      <c r="J23" s="21">
        <f>IF(H$12=0,0,H23/H$12)</f>
        <v>1.1084492326745599</v>
      </c>
      <c r="K23" s="17"/>
      <c r="L23" s="22">
        <f>+D23-H23</f>
        <v>106579.59</v>
      </c>
      <c r="M23" s="17"/>
      <c r="N23" s="21">
        <f>IF(H23=0,0,L23/H23)</f>
        <v>1.6790856147906301</v>
      </c>
      <c r="O23" s="28"/>
      <c r="P23" s="22">
        <f>P12-P19</f>
        <v>667727.88</v>
      </c>
      <c r="Q23" s="15"/>
      <c r="R23" s="21">
        <f>IF(P$12=0,0,P23/P$12)</f>
        <v>0.61244128623699645</v>
      </c>
      <c r="S23" s="15"/>
      <c r="T23" s="22">
        <f>T12-T19</f>
        <v>373888.94999999995</v>
      </c>
      <c r="U23" s="15"/>
      <c r="V23" s="21">
        <f>IF(T$12=0,0,T23/T$12)</f>
        <v>0.97485496029154206</v>
      </c>
      <c r="W23" s="17"/>
      <c r="X23" s="22">
        <f>+P23-T23</f>
        <v>293838.93000000005</v>
      </c>
      <c r="Y23" s="17"/>
      <c r="Z23" s="21">
        <f>IF(T23=0,0,X23/T23)</f>
        <v>0.78589894138353134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8" t="s">
        <v>289</v>
      </c>
      <c r="C25" s="11"/>
      <c r="D25" s="23" cm="1">
        <f t="array" ref="D25">SUM(OSRRefD22x_0)</f>
        <v>210446.30000000005</v>
      </c>
      <c r="E25" s="23"/>
      <c r="F25" s="35">
        <f t="shared" ref="F25:F56" si="4">IF(D$12=0,0,D25/D$12)</f>
        <v>0.77464287397006959</v>
      </c>
      <c r="G25" s="23"/>
      <c r="H25" s="23" cm="1">
        <f t="array" ref="H25">SUM(OSRRefH22x_0)</f>
        <v>98262.280000000028</v>
      </c>
      <c r="I25" s="23"/>
      <c r="J25" s="35">
        <f t="shared" ref="J25:J56" si="5">IF(H$12=0,0,H25/H$12)</f>
        <v>1.715937398551878</v>
      </c>
      <c r="K25" s="5"/>
      <c r="L25" s="23">
        <f t="shared" ref="L25:L56" si="6">+D25-H25</f>
        <v>112184.02000000002</v>
      </c>
      <c r="M25" s="5"/>
      <c r="N25" s="35">
        <f t="shared" ref="N25:N56" si="7">IF(H25=0,0,L25/H25)</f>
        <v>1.1416793911152885</v>
      </c>
      <c r="O25" s="11"/>
      <c r="P25" s="23" cm="1">
        <f t="array" ref="P25">SUM(OSRRefP22x_0)</f>
        <v>1648550.94</v>
      </c>
      <c r="Q25" s="23"/>
      <c r="R25" s="35">
        <f t="shared" ref="R25:R56" si="8">IF(P$12=0,0,P25/P$12)</f>
        <v>1.5120540692726647</v>
      </c>
      <c r="S25" s="23"/>
      <c r="T25" s="23" cm="1">
        <f t="array" ref="T25">SUM(OSRRefT22x_0)</f>
        <v>992385.04</v>
      </c>
      <c r="U25" s="23"/>
      <c r="V25" s="35">
        <f t="shared" ref="V25:V56" si="9">IF(T$12=0,0,T25/T$12)</f>
        <v>2.5874834727346729</v>
      </c>
      <c r="W25" s="5"/>
      <c r="X25" s="23">
        <f t="shared" ref="X25:X56" si="10">+P25-T25</f>
        <v>656165.89999999991</v>
      </c>
      <c r="Y25" s="5"/>
      <c r="Z25" s="35">
        <f t="shared" ref="Z25:Z56" si="11">IF(T25=0,0,X25/T25)</f>
        <v>0.66120091854669627</v>
      </c>
    </row>
    <row r="26" spans="1:26" s="68" customFormat="1" ht="15" customHeight="1" outlineLevel="1" collapsed="1" x14ac:dyDescent="0.3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30872.3</v>
      </c>
      <c r="E26" s="2"/>
      <c r="F26" s="6">
        <f t="shared" si="4"/>
        <v>0.11363947571454654</v>
      </c>
      <c r="G26" s="2"/>
      <c r="H26" s="2">
        <f>SUM(OSRRefH22_0x_0)</f>
        <v>18745.780000000002</v>
      </c>
      <c r="I26" s="2"/>
      <c r="J26" s="6">
        <f t="shared" si="5"/>
        <v>0.32735435171080723</v>
      </c>
      <c r="K26" s="2"/>
      <c r="L26" s="2">
        <f t="shared" si="6"/>
        <v>12126.519999999997</v>
      </c>
      <c r="M26" s="2"/>
      <c r="N26" s="6">
        <f t="shared" si="7"/>
        <v>0.64689332745823303</v>
      </c>
      <c r="O26" s="14"/>
      <c r="P26" s="2">
        <f>SUM(OSRRefP22_0x_0)</f>
        <v>275776.11</v>
      </c>
      <c r="Q26" s="2"/>
      <c r="R26" s="6">
        <f t="shared" si="8"/>
        <v>0.25294237455209362</v>
      </c>
      <c r="S26" s="2"/>
      <c r="T26" s="2">
        <f>SUM(OSRRefT22_0x_0)</f>
        <v>186815.97</v>
      </c>
      <c r="U26" s="2"/>
      <c r="V26" s="6">
        <f t="shared" si="9"/>
        <v>0.48709242414405651</v>
      </c>
      <c r="W26" s="2"/>
      <c r="X26" s="2">
        <f t="shared" si="10"/>
        <v>88960.139999999985</v>
      </c>
      <c r="Y26" s="2"/>
      <c r="Z26" s="6">
        <f t="shared" si="11"/>
        <v>0.47619130206052507</v>
      </c>
    </row>
    <row r="27" spans="1:26" s="69" customFormat="1" ht="15" hidden="1" customHeight="1" outlineLevel="2" x14ac:dyDescent="0.3">
      <c r="A27" s="25"/>
      <c r="B27" s="12" t="str">
        <f>CONCATENATE("          ","6111"," - ","F.I.C.A.")</f>
        <v xml:space="preserve">          6111 - F.I.C.A.</v>
      </c>
      <c r="C27" s="12"/>
      <c r="D27" s="8">
        <v>5062.03</v>
      </c>
      <c r="E27" s="3"/>
      <c r="F27" s="7">
        <f t="shared" si="4"/>
        <v>1.8633092942583026E-2</v>
      </c>
      <c r="G27" s="3"/>
      <c r="H27" s="8">
        <v>2329.63</v>
      </c>
      <c r="I27" s="3"/>
      <c r="J27" s="7">
        <f t="shared" si="5"/>
        <v>4.0681930459871382E-2</v>
      </c>
      <c r="K27" s="3"/>
      <c r="L27" s="8">
        <f t="shared" si="6"/>
        <v>2732.3999999999996</v>
      </c>
      <c r="M27" s="3"/>
      <c r="N27" s="7">
        <f t="shared" si="7"/>
        <v>1.1728901155977556</v>
      </c>
      <c r="O27" s="12"/>
      <c r="P27" s="8">
        <v>39759.56</v>
      </c>
      <c r="Q27" s="3"/>
      <c r="R27" s="7">
        <f t="shared" si="8"/>
        <v>3.646754433350459E-2</v>
      </c>
      <c r="S27" s="3"/>
      <c r="T27" s="8">
        <v>22070.04</v>
      </c>
      <c r="U27" s="3"/>
      <c r="V27" s="7">
        <f t="shared" si="9"/>
        <v>5.7544059453569704E-2</v>
      </c>
      <c r="W27" s="3"/>
      <c r="X27" s="8">
        <f t="shared" si="10"/>
        <v>17689.519999999997</v>
      </c>
      <c r="Y27" s="3"/>
      <c r="Z27" s="7">
        <f t="shared" si="11"/>
        <v>0.80151735112396694</v>
      </c>
    </row>
    <row r="28" spans="1:26" s="69" customFormat="1" ht="15" hidden="1" customHeight="1" outlineLevel="2" x14ac:dyDescent="0.3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3109.84</v>
      </c>
      <c r="E28" s="3"/>
      <c r="F28" s="7">
        <f t="shared" si="4"/>
        <v>1.1447173911763147E-2</v>
      </c>
      <c r="G28" s="3"/>
      <c r="H28" s="8">
        <v>611.25</v>
      </c>
      <c r="I28" s="3"/>
      <c r="J28" s="7">
        <f t="shared" si="5"/>
        <v>1.0674154262091569E-2</v>
      </c>
      <c r="K28" s="3"/>
      <c r="L28" s="8">
        <f t="shared" si="6"/>
        <v>2498.59</v>
      </c>
      <c r="M28" s="3"/>
      <c r="N28" s="7">
        <f t="shared" si="7"/>
        <v>4.0876728016359918</v>
      </c>
      <c r="O28" s="12"/>
      <c r="P28" s="8">
        <v>19002.45</v>
      </c>
      <c r="Q28" s="3"/>
      <c r="R28" s="7">
        <f t="shared" si="8"/>
        <v>1.7429083415918194E-2</v>
      </c>
      <c r="S28" s="3"/>
      <c r="T28" s="8">
        <v>6403.47</v>
      </c>
      <c r="U28" s="3"/>
      <c r="V28" s="7">
        <f t="shared" si="9"/>
        <v>1.6696012258661515E-2</v>
      </c>
      <c r="W28" s="3"/>
      <c r="X28" s="8">
        <f t="shared" si="10"/>
        <v>12598.98</v>
      </c>
      <c r="Y28" s="3"/>
      <c r="Z28" s="7">
        <f t="shared" si="11"/>
        <v>1.9675238581581547</v>
      </c>
    </row>
    <row r="29" spans="1:26" s="69" customFormat="1" ht="15" hidden="1" customHeight="1" outlineLevel="2" x14ac:dyDescent="0.3">
      <c r="A29" s="25"/>
      <c r="B29" s="12" t="str">
        <f>CONCATENATE("          ","6113"," - ","GROUP INSURANCE")</f>
        <v xml:space="preserve">          6113 - GROUP INSURANCE</v>
      </c>
      <c r="C29" s="12"/>
      <c r="D29" s="8">
        <v>11880.48</v>
      </c>
      <c r="E29" s="3"/>
      <c r="F29" s="7">
        <f t="shared" si="4"/>
        <v>4.3731484807972058E-2</v>
      </c>
      <c r="G29" s="3"/>
      <c r="H29" s="8">
        <v>8554.93</v>
      </c>
      <c r="I29" s="3"/>
      <c r="J29" s="7">
        <f t="shared" si="5"/>
        <v>0.14939328019860126</v>
      </c>
      <c r="K29" s="3"/>
      <c r="L29" s="8">
        <f t="shared" si="6"/>
        <v>3325.5499999999993</v>
      </c>
      <c r="M29" s="3"/>
      <c r="N29" s="7">
        <f t="shared" si="7"/>
        <v>0.38872907200877144</v>
      </c>
      <c r="O29" s="12"/>
      <c r="P29" s="8">
        <v>110573</v>
      </c>
      <c r="Q29" s="3"/>
      <c r="R29" s="7">
        <f t="shared" si="8"/>
        <v>0.10141776668526019</v>
      </c>
      <c r="S29" s="3"/>
      <c r="T29" s="8">
        <v>86596.64</v>
      </c>
      <c r="U29" s="3"/>
      <c r="V29" s="7">
        <f t="shared" si="9"/>
        <v>0.22578673172497069</v>
      </c>
      <c r="W29" s="3"/>
      <c r="X29" s="8">
        <f t="shared" si="10"/>
        <v>23976.36</v>
      </c>
      <c r="Y29" s="3"/>
      <c r="Z29" s="7">
        <f t="shared" si="11"/>
        <v>0.2768740219020045</v>
      </c>
    </row>
    <row r="30" spans="1:26" s="69" customFormat="1" ht="15" hidden="1" customHeight="1" outlineLevel="2" x14ac:dyDescent="0.3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254.72</v>
      </c>
      <c r="E30" s="3"/>
      <c r="F30" s="7">
        <f t="shared" si="4"/>
        <v>9.3761226905702828E-4</v>
      </c>
      <c r="G30" s="3"/>
      <c r="H30" s="8">
        <v>78.73</v>
      </c>
      <c r="I30" s="3"/>
      <c r="J30" s="7">
        <f t="shared" si="5"/>
        <v>1.3748485317864527E-3</v>
      </c>
      <c r="K30" s="3"/>
      <c r="L30" s="8">
        <f t="shared" si="6"/>
        <v>175.99</v>
      </c>
      <c r="M30" s="3"/>
      <c r="N30" s="7">
        <f t="shared" si="7"/>
        <v>2.2353613616156482</v>
      </c>
      <c r="O30" s="12"/>
      <c r="P30" s="8">
        <v>1654.37</v>
      </c>
      <c r="Q30" s="3"/>
      <c r="R30" s="7">
        <f t="shared" si="8"/>
        <v>1.517391322213324E-3</v>
      </c>
      <c r="S30" s="3"/>
      <c r="T30" s="8">
        <v>833.25</v>
      </c>
      <c r="U30" s="3"/>
      <c r="V30" s="7">
        <f t="shared" si="9"/>
        <v>2.1725645961532896E-3</v>
      </c>
      <c r="W30" s="3"/>
      <c r="X30" s="8">
        <f t="shared" si="10"/>
        <v>821.11999999999989</v>
      </c>
      <c r="Y30" s="3"/>
      <c r="Z30" s="7">
        <f t="shared" si="11"/>
        <v>0.98544254425442535</v>
      </c>
    </row>
    <row r="31" spans="1:26" s="69" customFormat="1" ht="15" hidden="1" customHeight="1" outlineLevel="2" x14ac:dyDescent="0.3">
      <c r="A31" s="25"/>
      <c r="B31" s="12" t="str">
        <f>CONCATENATE("          ","6115"," - ","P.E.R.S.")</f>
        <v xml:space="preserve">          6115 - P.E.R.S.</v>
      </c>
      <c r="C31" s="12"/>
      <c r="D31" s="8">
        <v>3081.52</v>
      </c>
      <c r="E31" s="3"/>
      <c r="F31" s="7">
        <f t="shared" si="4"/>
        <v>1.1342929331597888E-2</v>
      </c>
      <c r="G31" s="3"/>
      <c r="H31" s="8">
        <v>2783.65</v>
      </c>
      <c r="I31" s="3"/>
      <c r="J31" s="7">
        <f t="shared" si="5"/>
        <v>4.8610404109073531E-2</v>
      </c>
      <c r="K31" s="3"/>
      <c r="L31" s="8">
        <f t="shared" si="6"/>
        <v>297.86999999999989</v>
      </c>
      <c r="M31" s="3"/>
      <c r="N31" s="7">
        <f t="shared" si="7"/>
        <v>0.10700698722899786</v>
      </c>
      <c r="O31" s="12"/>
      <c r="P31" s="8">
        <v>30442.65</v>
      </c>
      <c r="Q31" s="3"/>
      <c r="R31" s="7">
        <f t="shared" si="8"/>
        <v>2.7922056695405172E-2</v>
      </c>
      <c r="S31" s="3"/>
      <c r="T31" s="8">
        <v>29710.1</v>
      </c>
      <c r="U31" s="3"/>
      <c r="V31" s="7">
        <f t="shared" si="9"/>
        <v>7.7464280117820403E-2</v>
      </c>
      <c r="W31" s="3"/>
      <c r="X31" s="8">
        <f t="shared" si="10"/>
        <v>732.55000000000291</v>
      </c>
      <c r="Y31" s="3"/>
      <c r="Z31" s="7">
        <f t="shared" si="11"/>
        <v>2.4656598261197468E-2</v>
      </c>
    </row>
    <row r="32" spans="1:26" s="69" customFormat="1" ht="15" hidden="1" customHeight="1" outlineLevel="2" x14ac:dyDescent="0.3">
      <c r="A32" s="25"/>
      <c r="B32" s="12" t="str">
        <f>CONCATENATE("          ","6117"," - ","RETIREMENT STAFF HOURLY")</f>
        <v xml:space="preserve">          6117 - RETIREMENT STAFF HOURLY</v>
      </c>
      <c r="C32" s="12"/>
      <c r="D32" s="8">
        <v>136.52000000000001</v>
      </c>
      <c r="E32" s="3"/>
      <c r="F32" s="7">
        <f t="shared" si="4"/>
        <v>5.025236611638878E-4</v>
      </c>
      <c r="G32" s="3"/>
      <c r="H32" s="8"/>
      <c r="I32" s="3"/>
      <c r="J32" s="7">
        <f t="shared" si="5"/>
        <v>0</v>
      </c>
      <c r="K32" s="3"/>
      <c r="L32" s="8">
        <f t="shared" si="6"/>
        <v>136.52000000000001</v>
      </c>
      <c r="M32" s="3"/>
      <c r="N32" s="7">
        <f t="shared" si="7"/>
        <v>0</v>
      </c>
      <c r="O32" s="12"/>
      <c r="P32" s="8">
        <v>136.52000000000001</v>
      </c>
      <c r="Q32" s="3"/>
      <c r="R32" s="7">
        <f t="shared" si="8"/>
        <v>1.2521640461841247E-4</v>
      </c>
      <c r="S32" s="3"/>
      <c r="T32" s="8"/>
      <c r="U32" s="3"/>
      <c r="V32" s="7">
        <f t="shared" si="9"/>
        <v>0</v>
      </c>
      <c r="W32" s="3"/>
      <c r="X32" s="8">
        <f t="shared" si="10"/>
        <v>136.52000000000001</v>
      </c>
      <c r="Y32" s="3"/>
      <c r="Z32" s="7">
        <f t="shared" si="11"/>
        <v>0</v>
      </c>
    </row>
    <row r="33" spans="1:26" s="69" customFormat="1" ht="15" hidden="1" customHeight="1" outlineLevel="2" x14ac:dyDescent="0.3">
      <c r="A33" s="25"/>
      <c r="B33" s="12" t="str">
        <f>CONCATENATE("          ","6118"," - ","VACATION")</f>
        <v xml:space="preserve">          6118 - VACATION</v>
      </c>
      <c r="C33" s="12"/>
      <c r="D33" s="8">
        <v>3126.34</v>
      </c>
      <c r="E33" s="3"/>
      <c r="F33" s="7">
        <f t="shared" si="4"/>
        <v>1.1507909631139094E-2</v>
      </c>
      <c r="G33" s="3"/>
      <c r="H33" s="8">
        <v>2462.92</v>
      </c>
      <c r="I33" s="3"/>
      <c r="J33" s="7">
        <f t="shared" si="5"/>
        <v>4.3009550945097043E-2</v>
      </c>
      <c r="K33" s="3"/>
      <c r="L33" s="8">
        <f t="shared" si="6"/>
        <v>663.42000000000007</v>
      </c>
      <c r="M33" s="3"/>
      <c r="N33" s="7">
        <f t="shared" si="7"/>
        <v>0.26936319490685856</v>
      </c>
      <c r="O33" s="12"/>
      <c r="P33" s="8">
        <v>31967.279999999999</v>
      </c>
      <c r="Q33" s="3"/>
      <c r="R33" s="7">
        <f t="shared" si="8"/>
        <v>2.9320450241943189E-2</v>
      </c>
      <c r="S33" s="3"/>
      <c r="T33" s="8">
        <v>23434.92</v>
      </c>
      <c r="U33" s="3"/>
      <c r="V33" s="7">
        <f t="shared" si="9"/>
        <v>6.1102763283149897E-2</v>
      </c>
      <c r="W33" s="3"/>
      <c r="X33" s="8">
        <f t="shared" si="10"/>
        <v>8532.36</v>
      </c>
      <c r="Y33" s="3"/>
      <c r="Z33" s="7">
        <f t="shared" si="11"/>
        <v>0.36408743874525712</v>
      </c>
    </row>
    <row r="34" spans="1:26" s="69" customFormat="1" ht="15" hidden="1" customHeight="1" outlineLevel="2" x14ac:dyDescent="0.3">
      <c r="A34" s="25"/>
      <c r="B34" s="12" t="str">
        <f>CONCATENATE("          ","6119"," - ","SICK LEAVE")</f>
        <v xml:space="preserve">          6119 - SICK LEAVE</v>
      </c>
      <c r="C34" s="12"/>
      <c r="D34" s="8">
        <v>2205.6</v>
      </c>
      <c r="E34" s="3"/>
      <c r="F34" s="7">
        <f t="shared" si="4"/>
        <v>8.1187092518537271E-3</v>
      </c>
      <c r="G34" s="3"/>
      <c r="H34" s="8">
        <v>1382.86</v>
      </c>
      <c r="I34" s="3"/>
      <c r="J34" s="7">
        <f t="shared" si="5"/>
        <v>2.4148647792026086E-2</v>
      </c>
      <c r="K34" s="3"/>
      <c r="L34" s="8">
        <f t="shared" si="6"/>
        <v>822.74</v>
      </c>
      <c r="M34" s="3"/>
      <c r="N34" s="7">
        <f t="shared" si="7"/>
        <v>0.59495538232359024</v>
      </c>
      <c r="O34" s="12"/>
      <c r="P34" s="8">
        <v>27970.81</v>
      </c>
      <c r="Q34" s="3"/>
      <c r="R34" s="7">
        <f t="shared" si="8"/>
        <v>2.5654880328631245E-2</v>
      </c>
      <c r="S34" s="3"/>
      <c r="T34" s="8">
        <v>13508.14</v>
      </c>
      <c r="U34" s="3"/>
      <c r="V34" s="7">
        <f t="shared" si="9"/>
        <v>3.5220290097668285E-2</v>
      </c>
      <c r="W34" s="3"/>
      <c r="X34" s="8">
        <f t="shared" si="10"/>
        <v>14462.670000000002</v>
      </c>
      <c r="Y34" s="3"/>
      <c r="Z34" s="7">
        <f t="shared" si="11"/>
        <v>1.0706633185619931</v>
      </c>
    </row>
    <row r="35" spans="1:26" s="69" customFormat="1" ht="15" hidden="1" customHeight="1" outlineLevel="2" x14ac:dyDescent="0.3">
      <c r="A35" s="25"/>
      <c r="B35" s="12" t="str">
        <f>CONCATENATE("          ","6156"," - ","EMPLOYEE MEALS")</f>
        <v xml:space="preserve">          6156 - EMPLOYEE MEALS</v>
      </c>
      <c r="C35" s="12"/>
      <c r="D35" s="8">
        <v>2015.25</v>
      </c>
      <c r="E35" s="3"/>
      <c r="F35" s="7">
        <f t="shared" si="4"/>
        <v>7.4180399074166787E-3</v>
      </c>
      <c r="G35" s="3"/>
      <c r="H35" s="8">
        <v>541.80999999999995</v>
      </c>
      <c r="I35" s="3"/>
      <c r="J35" s="7">
        <f t="shared" si="5"/>
        <v>9.4615354122598479E-3</v>
      </c>
      <c r="K35" s="3"/>
      <c r="L35" s="8">
        <f t="shared" si="6"/>
        <v>1473.44</v>
      </c>
      <c r="M35" s="3"/>
      <c r="N35" s="7">
        <f t="shared" si="7"/>
        <v>2.7194773075432352</v>
      </c>
      <c r="O35" s="12"/>
      <c r="P35" s="8">
        <v>14269.47</v>
      </c>
      <c r="Q35" s="3"/>
      <c r="R35" s="7">
        <f t="shared" si="8"/>
        <v>1.308798512459931E-2</v>
      </c>
      <c r="S35" s="3"/>
      <c r="T35" s="8">
        <v>4259.41</v>
      </c>
      <c r="U35" s="3"/>
      <c r="V35" s="7">
        <f t="shared" si="9"/>
        <v>1.1105722612062746E-2</v>
      </c>
      <c r="W35" s="3"/>
      <c r="X35" s="8">
        <f t="shared" si="10"/>
        <v>10010.06</v>
      </c>
      <c r="Y35" s="3"/>
      <c r="Z35" s="7">
        <f t="shared" si="11"/>
        <v>2.3501048267248281</v>
      </c>
    </row>
    <row r="36" spans="1:26" s="68" customFormat="1" ht="15" customHeight="1" outlineLevel="1" collapsed="1" x14ac:dyDescent="0.3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96922.94</v>
      </c>
      <c r="E36" s="2"/>
      <c r="F36" s="6">
        <f t="shared" si="4"/>
        <v>0.35676875666252439</v>
      </c>
      <c r="G36" s="2"/>
      <c r="H36" s="2">
        <f>SUM(OSRRefH22_1x_0)</f>
        <v>27420.030000000002</v>
      </c>
      <c r="I36" s="2"/>
      <c r="J36" s="6">
        <f t="shared" si="5"/>
        <v>0.47883129667268498</v>
      </c>
      <c r="K36" s="2"/>
      <c r="L36" s="2">
        <f t="shared" si="6"/>
        <v>69502.91</v>
      </c>
      <c r="M36" s="2"/>
      <c r="N36" s="6">
        <f t="shared" si="7"/>
        <v>2.5347495972834455</v>
      </c>
      <c r="O36" s="14"/>
      <c r="P36" s="2">
        <f>SUM(OSRRefP22_1x_0)</f>
        <v>626213.82999999996</v>
      </c>
      <c r="Q36" s="2"/>
      <c r="R36" s="6">
        <f t="shared" si="8"/>
        <v>0.57436452032614815</v>
      </c>
      <c r="S36" s="2"/>
      <c r="T36" s="2">
        <f>SUM(OSRRefT22_1x_0)</f>
        <v>260924.32</v>
      </c>
      <c r="U36" s="2"/>
      <c r="V36" s="6">
        <f t="shared" si="9"/>
        <v>0.68031795968481457</v>
      </c>
      <c r="W36" s="2"/>
      <c r="X36" s="2">
        <f t="shared" si="10"/>
        <v>365289.50999999995</v>
      </c>
      <c r="Y36" s="2"/>
      <c r="Z36" s="6">
        <f t="shared" si="11"/>
        <v>1.3999826079838014</v>
      </c>
    </row>
    <row r="37" spans="1:26" s="69" customFormat="1" ht="15" hidden="1" customHeight="1" outlineLevel="2" x14ac:dyDescent="0.3">
      <c r="A37" s="25"/>
      <c r="B37" s="12" t="str">
        <f>CONCATENATE("          ","6001"," - ","ADMINISTRATIVE SALARIES")</f>
        <v xml:space="preserve">          6001 - ADMINISTRATIVE SALARIES</v>
      </c>
      <c r="C37" s="12"/>
      <c r="D37" s="8">
        <v>11512.06</v>
      </c>
      <c r="E37" s="3"/>
      <c r="F37" s="7">
        <f t="shared" si="4"/>
        <v>4.2375348218124421E-2</v>
      </c>
      <c r="G37" s="3"/>
      <c r="H37" s="8">
        <v>10037.35</v>
      </c>
      <c r="I37" s="3"/>
      <c r="J37" s="7">
        <f t="shared" si="5"/>
        <v>0.1752805272517052</v>
      </c>
      <c r="K37" s="3"/>
      <c r="L37" s="8">
        <f t="shared" si="6"/>
        <v>1474.7099999999991</v>
      </c>
      <c r="M37" s="3"/>
      <c r="N37" s="7">
        <f t="shared" si="7"/>
        <v>0.14692224541338092</v>
      </c>
      <c r="O37" s="12"/>
      <c r="P37" s="8">
        <v>100708.35</v>
      </c>
      <c r="Q37" s="3"/>
      <c r="R37" s="7">
        <f t="shared" si="8"/>
        <v>9.2369890873518157E-2</v>
      </c>
      <c r="S37" s="3"/>
      <c r="T37" s="8">
        <v>97219.25</v>
      </c>
      <c r="U37" s="3"/>
      <c r="V37" s="7">
        <f t="shared" si="9"/>
        <v>0.25348346908439928</v>
      </c>
      <c r="W37" s="3"/>
      <c r="X37" s="8">
        <f t="shared" si="10"/>
        <v>3489.1000000000058</v>
      </c>
      <c r="Y37" s="3"/>
      <c r="Z37" s="7">
        <f t="shared" si="11"/>
        <v>3.5888982891762754E-2</v>
      </c>
    </row>
    <row r="38" spans="1:26" s="69" customFormat="1" ht="15" hidden="1" customHeight="1" outlineLevel="2" x14ac:dyDescent="0.3">
      <c r="A38" s="25"/>
      <c r="B38" s="12" t="str">
        <f>CONCATENATE("          ","6002"," - ","STAFF SALARIES")</f>
        <v xml:space="preserve">          6002 - STAFF SALARIES</v>
      </c>
      <c r="C38" s="12"/>
      <c r="D38" s="8">
        <v>21494.53</v>
      </c>
      <c r="E38" s="3"/>
      <c r="F38" s="7">
        <f t="shared" si="4"/>
        <v>7.9120348011991068E-2</v>
      </c>
      <c r="G38" s="3"/>
      <c r="H38" s="8">
        <v>14052.4</v>
      </c>
      <c r="I38" s="3"/>
      <c r="J38" s="7">
        <f t="shared" si="5"/>
        <v>0.24539465906358374</v>
      </c>
      <c r="K38" s="3"/>
      <c r="L38" s="8">
        <f t="shared" si="6"/>
        <v>7442.1299999999992</v>
      </c>
      <c r="M38" s="3"/>
      <c r="N38" s="7">
        <f t="shared" si="7"/>
        <v>0.52959850274686171</v>
      </c>
      <c r="O38" s="12"/>
      <c r="P38" s="8">
        <v>201682.97</v>
      </c>
      <c r="Q38" s="3"/>
      <c r="R38" s="7">
        <f t="shared" si="8"/>
        <v>0.18498400509934912</v>
      </c>
      <c r="S38" s="3"/>
      <c r="T38" s="8">
        <v>135312.99</v>
      </c>
      <c r="U38" s="3"/>
      <c r="V38" s="7">
        <f t="shared" si="9"/>
        <v>0.35280673444181715</v>
      </c>
      <c r="W38" s="3"/>
      <c r="X38" s="8">
        <f t="shared" si="10"/>
        <v>66369.98000000001</v>
      </c>
      <c r="Y38" s="3"/>
      <c r="Z38" s="7">
        <f t="shared" si="11"/>
        <v>0.49049230232810626</v>
      </c>
    </row>
    <row r="39" spans="1:26" s="69" customFormat="1" ht="15" hidden="1" customHeight="1" outlineLevel="2" x14ac:dyDescent="0.3">
      <c r="A39" s="25"/>
      <c r="B39" s="12" t="str">
        <f>CONCATENATE("          ","6004"," - ","STAFF HOURLY")</f>
        <v xml:space="preserve">          6004 - STAFF HOURLY</v>
      </c>
      <c r="C39" s="12"/>
      <c r="D39" s="8">
        <v>9723.27</v>
      </c>
      <c r="E39" s="3"/>
      <c r="F39" s="7">
        <f t="shared" si="4"/>
        <v>3.579089685676088E-2</v>
      </c>
      <c r="G39" s="3"/>
      <c r="H39" s="8">
        <v>2789.95</v>
      </c>
      <c r="I39" s="3"/>
      <c r="J39" s="7">
        <f t="shared" si="5"/>
        <v>4.872041993214294E-2</v>
      </c>
      <c r="K39" s="3"/>
      <c r="L39" s="8">
        <f t="shared" si="6"/>
        <v>6933.3200000000006</v>
      </c>
      <c r="M39" s="3"/>
      <c r="N39" s="7">
        <f t="shared" si="7"/>
        <v>2.4851054678399258</v>
      </c>
      <c r="O39" s="12"/>
      <c r="P39" s="8">
        <v>90453.43</v>
      </c>
      <c r="Q39" s="3"/>
      <c r="R39" s="7">
        <f t="shared" si="8"/>
        <v>8.2964058672745727E-2</v>
      </c>
      <c r="S39" s="3"/>
      <c r="T39" s="8">
        <v>24559.33</v>
      </c>
      <c r="U39" s="3"/>
      <c r="V39" s="7">
        <f t="shared" si="9"/>
        <v>6.4034480483942849E-2</v>
      </c>
      <c r="W39" s="3"/>
      <c r="X39" s="8">
        <f t="shared" si="10"/>
        <v>65894.099999999991</v>
      </c>
      <c r="Y39" s="3"/>
      <c r="Z39" s="7">
        <f t="shared" si="11"/>
        <v>2.6830577218515321</v>
      </c>
    </row>
    <row r="40" spans="1:26" s="69" customFormat="1" ht="15" hidden="1" customHeight="1" outlineLevel="2" x14ac:dyDescent="0.3">
      <c r="A40" s="25"/>
      <c r="B40" s="12" t="str">
        <f>CONCATENATE("          ","6005"," - ","TEMPORARY WAGES-HOURLY")</f>
        <v xml:space="preserve">          6005 - TEMPORARY WAGES-HOURLY</v>
      </c>
      <c r="C40" s="12"/>
      <c r="D40" s="8">
        <v>14098.88</v>
      </c>
      <c r="E40" s="3"/>
      <c r="F40" s="7">
        <f t="shared" si="4"/>
        <v>5.1897310254250761E-2</v>
      </c>
      <c r="G40" s="3"/>
      <c r="H40" s="8">
        <v>172.33</v>
      </c>
      <c r="I40" s="3"/>
      <c r="J40" s="7">
        <f t="shared" si="5"/>
        <v>3.0093693316748304E-3</v>
      </c>
      <c r="K40" s="3"/>
      <c r="L40" s="8">
        <f t="shared" si="6"/>
        <v>13926.55</v>
      </c>
      <c r="M40" s="3"/>
      <c r="N40" s="7">
        <f t="shared" si="7"/>
        <v>80.813265246909992</v>
      </c>
      <c r="O40" s="12"/>
      <c r="P40" s="8">
        <v>95156.72</v>
      </c>
      <c r="Q40" s="3"/>
      <c r="R40" s="7">
        <f t="shared" si="8"/>
        <v>8.7277925239386031E-2</v>
      </c>
      <c r="S40" s="3"/>
      <c r="T40" s="8">
        <v>2909.04</v>
      </c>
      <c r="U40" s="3"/>
      <c r="V40" s="7">
        <f t="shared" si="9"/>
        <v>7.5848512604785668E-3</v>
      </c>
      <c r="W40" s="3"/>
      <c r="X40" s="8">
        <f t="shared" si="10"/>
        <v>92247.680000000008</v>
      </c>
      <c r="Y40" s="3"/>
      <c r="Z40" s="7">
        <f t="shared" si="11"/>
        <v>31.710694937161403</v>
      </c>
    </row>
    <row r="41" spans="1:26" s="69" customFormat="1" ht="15" hidden="1" customHeight="1" outlineLevel="2" x14ac:dyDescent="0.3">
      <c r="A41" s="25"/>
      <c r="B41" s="12" t="str">
        <f>CONCATENATE("          ","6007"," - ","STUDENT HOURLY")</f>
        <v xml:space="preserve">          6007 - STUDENT HOURLY</v>
      </c>
      <c r="C41" s="12"/>
      <c r="D41" s="8">
        <v>38000.68</v>
      </c>
      <c r="E41" s="3"/>
      <c r="F41" s="7">
        <f t="shared" si="4"/>
        <v>0.13987870524697721</v>
      </c>
      <c r="G41" s="3"/>
      <c r="H41" s="8">
        <v>368</v>
      </c>
      <c r="I41" s="3"/>
      <c r="J41" s="7">
        <f t="shared" si="5"/>
        <v>6.4263210935782368E-3</v>
      </c>
      <c r="K41" s="3"/>
      <c r="L41" s="8">
        <f t="shared" si="6"/>
        <v>37632.68</v>
      </c>
      <c r="M41" s="3"/>
      <c r="N41" s="7">
        <f t="shared" si="7"/>
        <v>102.26271739130435</v>
      </c>
      <c r="O41" s="12"/>
      <c r="P41" s="8">
        <v>134977.24</v>
      </c>
      <c r="Q41" s="3"/>
      <c r="R41" s="7">
        <f t="shared" si="8"/>
        <v>0.12380138220126403</v>
      </c>
      <c r="S41" s="3"/>
      <c r="T41" s="8">
        <v>923.71</v>
      </c>
      <c r="U41" s="3"/>
      <c r="V41" s="7">
        <f t="shared" si="9"/>
        <v>2.4084244141767243E-3</v>
      </c>
      <c r="W41" s="3"/>
      <c r="X41" s="8">
        <f t="shared" si="10"/>
        <v>134053.53</v>
      </c>
      <c r="Y41" s="3"/>
      <c r="Z41" s="7">
        <f t="shared" si="11"/>
        <v>145.12512585118705</v>
      </c>
    </row>
    <row r="42" spans="1:26" s="69" customFormat="1" ht="15" hidden="1" customHeight="1" outlineLevel="2" x14ac:dyDescent="0.3">
      <c r="A42" s="25"/>
      <c r="B42" s="12" t="str">
        <f>CONCATENATE("          ","6008"," - ","STUDENT HOURLY-FICA EXEMPT")</f>
        <v xml:space="preserve">          6008 - STUDENT HOURLY-FICA EXEMPT</v>
      </c>
      <c r="C42" s="12"/>
      <c r="D42" s="8">
        <v>2093.52</v>
      </c>
      <c r="E42" s="3"/>
      <c r="F42" s="7">
        <f t="shared" si="4"/>
        <v>7.7061480744200295E-3</v>
      </c>
      <c r="G42" s="3"/>
      <c r="H42" s="8"/>
      <c r="I42" s="3"/>
      <c r="J42" s="7">
        <f t="shared" si="5"/>
        <v>0</v>
      </c>
      <c r="K42" s="3"/>
      <c r="L42" s="8">
        <f t="shared" si="6"/>
        <v>2093.52</v>
      </c>
      <c r="M42" s="3"/>
      <c r="N42" s="7">
        <f t="shared" si="7"/>
        <v>0</v>
      </c>
      <c r="O42" s="12"/>
      <c r="P42" s="8">
        <v>3235.12</v>
      </c>
      <c r="Q42" s="3"/>
      <c r="R42" s="7">
        <f t="shared" si="8"/>
        <v>2.9672582398851339E-3</v>
      </c>
      <c r="S42" s="3"/>
      <c r="T42" s="8"/>
      <c r="U42" s="3"/>
      <c r="V42" s="7">
        <f t="shared" si="9"/>
        <v>0</v>
      </c>
      <c r="W42" s="3"/>
      <c r="X42" s="8">
        <f t="shared" si="10"/>
        <v>3235.12</v>
      </c>
      <c r="Y42" s="3"/>
      <c r="Z42" s="7">
        <f t="shared" si="11"/>
        <v>0</v>
      </c>
    </row>
    <row r="43" spans="1:26" s="68" customFormat="1" ht="15" customHeight="1" outlineLevel="1" collapsed="1" x14ac:dyDescent="0.3">
      <c r="A43" s="26"/>
      <c r="B43" s="14" t="str">
        <f>CONCATENATE("     ","Advertising/Promo                                 ")</f>
        <v xml:space="preserve">     Advertising/Promo                                 </v>
      </c>
      <c r="C43" s="14"/>
      <c r="D43" s="2">
        <f>SUM(OSRRefD22_2x_0)</f>
        <v>213.04</v>
      </c>
      <c r="E43" s="2"/>
      <c r="F43" s="6">
        <f t="shared" si="4"/>
        <v>7.8419016096069924E-4</v>
      </c>
      <c r="G43" s="2"/>
      <c r="H43" s="2">
        <f>SUM(OSRRefH22_2x_0)</f>
        <v>155.19</v>
      </c>
      <c r="I43" s="2"/>
      <c r="J43" s="6">
        <f t="shared" si="5"/>
        <v>2.7100564416098006E-3</v>
      </c>
      <c r="K43" s="2"/>
      <c r="L43" s="2">
        <f t="shared" si="6"/>
        <v>57.849999999999994</v>
      </c>
      <c r="M43" s="2"/>
      <c r="N43" s="6">
        <f t="shared" si="7"/>
        <v>0.37276886397319414</v>
      </c>
      <c r="O43" s="14"/>
      <c r="P43" s="2">
        <f>SUM(OSRRefP22_2x_0)</f>
        <v>1541.88</v>
      </c>
      <c r="Q43" s="2"/>
      <c r="R43" s="6">
        <f t="shared" si="8"/>
        <v>1.4142152794684867E-3</v>
      </c>
      <c r="S43" s="2"/>
      <c r="T43" s="2">
        <f>SUM(OSRRefT22_2x_0)</f>
        <v>373.02</v>
      </c>
      <c r="U43" s="2"/>
      <c r="V43" s="6">
        <f t="shared" si="9"/>
        <v>9.7258931371989213E-4</v>
      </c>
      <c r="W43" s="2"/>
      <c r="X43" s="2">
        <f t="shared" si="10"/>
        <v>1168.8600000000001</v>
      </c>
      <c r="Y43" s="2"/>
      <c r="Z43" s="6">
        <f t="shared" si="11"/>
        <v>3.1335049059031692</v>
      </c>
    </row>
    <row r="44" spans="1:26" s="69" customFormat="1" ht="15" hidden="1" customHeight="1" outlineLevel="2" x14ac:dyDescent="0.3">
      <c r="A44" s="25"/>
      <c r="B44" s="12" t="str">
        <f>CONCATENATE("          ","6362"," - ","ADVERTISING EXPENSE")</f>
        <v xml:space="preserve">          6362 - ADVERTISING EXPENSE</v>
      </c>
      <c r="C44" s="12"/>
      <c r="D44" s="8">
        <v>213.04</v>
      </c>
      <c r="E44" s="3"/>
      <c r="F44" s="7">
        <f t="shared" si="4"/>
        <v>7.8419016096069924E-4</v>
      </c>
      <c r="G44" s="3"/>
      <c r="H44" s="8">
        <v>155.19</v>
      </c>
      <c r="I44" s="3"/>
      <c r="J44" s="7">
        <f t="shared" si="5"/>
        <v>2.7100564416098006E-3</v>
      </c>
      <c r="K44" s="3"/>
      <c r="L44" s="8">
        <f t="shared" si="6"/>
        <v>57.849999999999994</v>
      </c>
      <c r="M44" s="3"/>
      <c r="N44" s="7">
        <f t="shared" si="7"/>
        <v>0.37276886397319414</v>
      </c>
      <c r="O44" s="12"/>
      <c r="P44" s="8">
        <v>1541.88</v>
      </c>
      <c r="Q44" s="3"/>
      <c r="R44" s="7">
        <f t="shared" si="8"/>
        <v>1.4142152794684867E-3</v>
      </c>
      <c r="S44" s="3"/>
      <c r="T44" s="8">
        <v>373.02</v>
      </c>
      <c r="U44" s="3"/>
      <c r="V44" s="7">
        <f t="shared" si="9"/>
        <v>9.7258931371989213E-4</v>
      </c>
      <c r="W44" s="3"/>
      <c r="X44" s="8">
        <f t="shared" si="10"/>
        <v>1168.8600000000001</v>
      </c>
      <c r="Y44" s="3"/>
      <c r="Z44" s="7">
        <f t="shared" si="11"/>
        <v>3.1335049059031692</v>
      </c>
    </row>
    <row r="45" spans="1:26" s="68" customFormat="1" ht="15" customHeight="1" outlineLevel="1" collapsed="1" x14ac:dyDescent="0.3">
      <c r="A45" s="26"/>
      <c r="B45" s="14" t="str">
        <f>CONCATENATE("     ","Bad Debts/Over/Short                              ")</f>
        <v xml:space="preserve">     Bad Debts/Over/Short                              </v>
      </c>
      <c r="C45" s="14"/>
      <c r="D45" s="2">
        <f>SUM(OSRRefD22_3x_0)</f>
        <v>52.57</v>
      </c>
      <c r="E45" s="2"/>
      <c r="F45" s="6">
        <f t="shared" si="4"/>
        <v>1.9350768288445343E-4</v>
      </c>
      <c r="G45" s="2"/>
      <c r="H45" s="2">
        <f>SUM(OSRRefH22_3x_0)</f>
        <v>-0.39</v>
      </c>
      <c r="I45" s="2"/>
      <c r="J45" s="6">
        <f t="shared" si="5"/>
        <v>-6.8105033328682402E-6</v>
      </c>
      <c r="K45" s="2"/>
      <c r="L45" s="2">
        <f t="shared" si="6"/>
        <v>52.96</v>
      </c>
      <c r="M45" s="2"/>
      <c r="N45" s="6">
        <f t="shared" si="7"/>
        <v>-135.7948717948718</v>
      </c>
      <c r="O45" s="14"/>
      <c r="P45" s="2">
        <f>SUM(OSRRefP22_3x_0)</f>
        <v>-28.82</v>
      </c>
      <c r="Q45" s="2"/>
      <c r="R45" s="6">
        <f t="shared" si="8"/>
        <v>-2.6433759017745729E-5</v>
      </c>
      <c r="S45" s="2"/>
      <c r="T45" s="2">
        <f>SUM(OSRRefT22_3x_0)</f>
        <v>8.4</v>
      </c>
      <c r="U45" s="2"/>
      <c r="V45" s="6">
        <f t="shared" si="9"/>
        <v>2.1901641293354499E-5</v>
      </c>
      <c r="W45" s="2"/>
      <c r="X45" s="2">
        <f t="shared" si="10"/>
        <v>-37.22</v>
      </c>
      <c r="Y45" s="2"/>
      <c r="Z45" s="6">
        <f t="shared" si="11"/>
        <v>-4.4309523809523803</v>
      </c>
    </row>
    <row r="46" spans="1:26" s="69" customFormat="1" ht="15" hidden="1" customHeight="1" outlineLevel="2" x14ac:dyDescent="0.3">
      <c r="A46" s="25"/>
      <c r="B46" s="12" t="str">
        <f>CONCATENATE("          ","6272"," - ","CASH (OVER/SHORT)")</f>
        <v xml:space="preserve">          6272 - CASH (OVER/SHORT)</v>
      </c>
      <c r="C46" s="12"/>
      <c r="D46" s="8">
        <v>52.57</v>
      </c>
      <c r="E46" s="3"/>
      <c r="F46" s="7">
        <f t="shared" si="4"/>
        <v>1.9350768288445343E-4</v>
      </c>
      <c r="G46" s="3"/>
      <c r="H46" s="8">
        <v>-0.39</v>
      </c>
      <c r="I46" s="3"/>
      <c r="J46" s="7">
        <f t="shared" si="5"/>
        <v>-6.8105033328682402E-6</v>
      </c>
      <c r="K46" s="3"/>
      <c r="L46" s="8">
        <f t="shared" si="6"/>
        <v>52.96</v>
      </c>
      <c r="M46" s="3"/>
      <c r="N46" s="7">
        <f t="shared" si="7"/>
        <v>-135.7948717948718</v>
      </c>
      <c r="O46" s="12"/>
      <c r="P46" s="8">
        <v>-28.82</v>
      </c>
      <c r="Q46" s="3"/>
      <c r="R46" s="7">
        <f t="shared" si="8"/>
        <v>-2.6433759017745729E-5</v>
      </c>
      <c r="S46" s="3"/>
      <c r="T46" s="8">
        <v>8.4</v>
      </c>
      <c r="U46" s="3"/>
      <c r="V46" s="7">
        <f t="shared" si="9"/>
        <v>2.1901641293354499E-5</v>
      </c>
      <c r="W46" s="3"/>
      <c r="X46" s="8">
        <f t="shared" si="10"/>
        <v>-37.22</v>
      </c>
      <c r="Y46" s="3"/>
      <c r="Z46" s="7">
        <f t="shared" si="11"/>
        <v>-4.4309523809523803</v>
      </c>
    </row>
    <row r="47" spans="1:26" s="68" customFormat="1" ht="15" customHeight="1" outlineLevel="1" collapsed="1" x14ac:dyDescent="0.3">
      <c r="A47" s="26"/>
      <c r="B47" s="14" t="str">
        <f>CONCATENATE("     ","Bank/card Fees                                    ")</f>
        <v xml:space="preserve">     Bank/card Fees                                    </v>
      </c>
      <c r="C47" s="14"/>
      <c r="D47" s="2">
        <f>SUM(OSRRefD22_4x_0)</f>
        <v>9440.35</v>
      </c>
      <c r="E47" s="2"/>
      <c r="F47" s="6">
        <f t="shared" si="4"/>
        <v>3.4749481721861326E-2</v>
      </c>
      <c r="G47" s="2"/>
      <c r="H47" s="2">
        <f>SUM(OSRRefH22_4x_0)</f>
        <v>649.46</v>
      </c>
      <c r="I47" s="2"/>
      <c r="J47" s="6">
        <f t="shared" si="5"/>
        <v>1.1341408960422071E-2</v>
      </c>
      <c r="K47" s="2"/>
      <c r="L47" s="2">
        <f t="shared" si="6"/>
        <v>8790.89</v>
      </c>
      <c r="M47" s="2"/>
      <c r="N47" s="6">
        <f t="shared" si="7"/>
        <v>13.53569118960367</v>
      </c>
      <c r="O47" s="14"/>
      <c r="P47" s="2">
        <f>SUM(OSRRefP22_4x_0)</f>
        <v>38774.01</v>
      </c>
      <c r="Q47" s="2"/>
      <c r="R47" s="6">
        <f t="shared" si="8"/>
        <v>3.5563595992077139E-2</v>
      </c>
      <c r="S47" s="2"/>
      <c r="T47" s="2">
        <f>SUM(OSRRefT22_4x_0)</f>
        <v>5357.85</v>
      </c>
      <c r="U47" s="2"/>
      <c r="V47" s="6">
        <f t="shared" si="9"/>
        <v>1.3969727238523738E-2</v>
      </c>
      <c r="W47" s="2"/>
      <c r="X47" s="2">
        <f t="shared" si="10"/>
        <v>33416.160000000003</v>
      </c>
      <c r="Y47" s="2"/>
      <c r="Z47" s="6">
        <f t="shared" si="11"/>
        <v>6.2368599344886473</v>
      </c>
    </row>
    <row r="48" spans="1:26" s="69" customFormat="1" ht="15" hidden="1" customHeight="1" outlineLevel="2" x14ac:dyDescent="0.3">
      <c r="A48" s="25"/>
      <c r="B48" s="12" t="str">
        <f>CONCATENATE("          ","6381"," - ","BANK/CREDIT CARD FEES")</f>
        <v xml:space="preserve">          6381 - BANK/CREDIT CARD FEES</v>
      </c>
      <c r="C48" s="12"/>
      <c r="D48" s="8">
        <v>9440.35</v>
      </c>
      <c r="E48" s="3"/>
      <c r="F48" s="7">
        <f t="shared" si="4"/>
        <v>3.4749481721861326E-2</v>
      </c>
      <c r="G48" s="3"/>
      <c r="H48" s="8">
        <v>649.46</v>
      </c>
      <c r="I48" s="3"/>
      <c r="J48" s="7">
        <f t="shared" si="5"/>
        <v>1.1341408960422071E-2</v>
      </c>
      <c r="K48" s="3"/>
      <c r="L48" s="8">
        <f t="shared" si="6"/>
        <v>8790.89</v>
      </c>
      <c r="M48" s="3"/>
      <c r="N48" s="7">
        <f t="shared" si="7"/>
        <v>13.53569118960367</v>
      </c>
      <c r="O48" s="12"/>
      <c r="P48" s="8">
        <v>38774.01</v>
      </c>
      <c r="Q48" s="3"/>
      <c r="R48" s="7">
        <f t="shared" si="8"/>
        <v>3.5563595992077139E-2</v>
      </c>
      <c r="S48" s="3"/>
      <c r="T48" s="8">
        <v>5357.85</v>
      </c>
      <c r="U48" s="3"/>
      <c r="V48" s="7">
        <f t="shared" si="9"/>
        <v>1.3969727238523738E-2</v>
      </c>
      <c r="W48" s="3"/>
      <c r="X48" s="8">
        <f t="shared" si="10"/>
        <v>33416.160000000003</v>
      </c>
      <c r="Y48" s="3"/>
      <c r="Z48" s="7">
        <f t="shared" si="11"/>
        <v>6.2368599344886473</v>
      </c>
    </row>
    <row r="49" spans="1:26" s="68" customFormat="1" ht="15" customHeight="1" outlineLevel="1" collapsed="1" x14ac:dyDescent="0.3">
      <c r="A49" s="26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SUM(OSRRefD22_5x_0)</f>
        <v>32207.24</v>
      </c>
      <c r="E49" s="2"/>
      <c r="F49" s="6">
        <f t="shared" si="4"/>
        <v>0.11855332669780264</v>
      </c>
      <c r="G49" s="2"/>
      <c r="H49" s="2">
        <f>SUM(OSRRefH22_5x_0)</f>
        <v>36720.76</v>
      </c>
      <c r="I49" s="2"/>
      <c r="J49" s="6">
        <f t="shared" si="5"/>
        <v>0.6412483547832174</v>
      </c>
      <c r="K49" s="2"/>
      <c r="L49" s="2">
        <f t="shared" si="6"/>
        <v>-4513.5200000000004</v>
      </c>
      <c r="M49" s="2"/>
      <c r="N49" s="6">
        <f t="shared" si="7"/>
        <v>-0.12291466734348636</v>
      </c>
      <c r="O49" s="14"/>
      <c r="P49" s="2">
        <f>SUM(OSRRefP22_5x_0)</f>
        <v>294551.7</v>
      </c>
      <c r="Q49" s="2"/>
      <c r="R49" s="6">
        <f t="shared" si="8"/>
        <v>0.27016338154293323</v>
      </c>
      <c r="S49" s="2"/>
      <c r="T49" s="2">
        <f>SUM(OSRRefT22_5x_0)</f>
        <v>333310.36</v>
      </c>
      <c r="U49" s="2"/>
      <c r="V49" s="6">
        <f t="shared" si="9"/>
        <v>0.86905285048557768</v>
      </c>
      <c r="W49" s="2"/>
      <c r="X49" s="2">
        <f t="shared" si="10"/>
        <v>-38758.659999999974</v>
      </c>
      <c r="Y49" s="2"/>
      <c r="Z49" s="6">
        <f t="shared" si="11"/>
        <v>-0.11628399429288659</v>
      </c>
    </row>
    <row r="50" spans="1:26" s="69" customFormat="1" ht="15" hidden="1" customHeight="1" outlineLevel="2" x14ac:dyDescent="0.3">
      <c r="A50" s="25"/>
      <c r="B50" s="12" t="str">
        <f>CONCATENATE("          ","6321"," - ","BUILDING DEPRECIATION")</f>
        <v xml:space="preserve">          6321 - BUILDING DEPRECIATION</v>
      </c>
      <c r="C50" s="12"/>
      <c r="D50" s="8">
        <v>23539.4</v>
      </c>
      <c r="E50" s="3"/>
      <c r="F50" s="7">
        <f t="shared" si="4"/>
        <v>8.6647417738069304E-2</v>
      </c>
      <c r="G50" s="3"/>
      <c r="H50" s="8">
        <v>23583.49</v>
      </c>
      <c r="I50" s="3"/>
      <c r="J50" s="7">
        <f t="shared" si="5"/>
        <v>0.41183445447606365</v>
      </c>
      <c r="K50" s="3"/>
      <c r="L50" s="8">
        <f t="shared" si="6"/>
        <v>-44.090000000000146</v>
      </c>
      <c r="M50" s="3"/>
      <c r="N50" s="7">
        <f t="shared" si="7"/>
        <v>-1.8695282165616769E-3</v>
      </c>
      <c r="O50" s="12"/>
      <c r="P50" s="8">
        <v>211942.74</v>
      </c>
      <c r="Q50" s="3"/>
      <c r="R50" s="7">
        <f t="shared" si="8"/>
        <v>0.19439428572938022</v>
      </c>
      <c r="S50" s="3"/>
      <c r="T50" s="8">
        <v>213035.6</v>
      </c>
      <c r="U50" s="3"/>
      <c r="V50" s="7">
        <f t="shared" si="9"/>
        <v>0.55545586832316085</v>
      </c>
      <c r="W50" s="3"/>
      <c r="X50" s="8">
        <f t="shared" si="10"/>
        <v>-1092.8600000000151</v>
      </c>
      <c r="Y50" s="3"/>
      <c r="Z50" s="7">
        <f t="shared" si="11"/>
        <v>-5.129940723522337E-3</v>
      </c>
    </row>
    <row r="51" spans="1:26" s="69" customFormat="1" ht="15" hidden="1" customHeight="1" outlineLevel="2" x14ac:dyDescent="0.3">
      <c r="A51" s="25"/>
      <c r="B51" s="12" t="str">
        <f>CONCATENATE("          ","6322"," - ","EQUIPMENT DEPRECIATION EXPENSE")</f>
        <v xml:space="preserve">          6322 - EQUIPMENT DEPRECIATION EXPENSE</v>
      </c>
      <c r="C51" s="12"/>
      <c r="D51" s="8">
        <v>8667.84</v>
      </c>
      <c r="E51" s="3"/>
      <c r="F51" s="7">
        <f t="shared" si="4"/>
        <v>3.1905908959733324E-2</v>
      </c>
      <c r="G51" s="3"/>
      <c r="H51" s="8">
        <v>13137.27</v>
      </c>
      <c r="I51" s="3"/>
      <c r="J51" s="7">
        <f t="shared" si="5"/>
        <v>0.22941390030715372</v>
      </c>
      <c r="K51" s="3"/>
      <c r="L51" s="8">
        <f t="shared" si="6"/>
        <v>-4469.43</v>
      </c>
      <c r="M51" s="3"/>
      <c r="N51" s="7">
        <f t="shared" si="7"/>
        <v>-0.34020995229602496</v>
      </c>
      <c r="O51" s="12"/>
      <c r="P51" s="8">
        <v>82608.960000000006</v>
      </c>
      <c r="Q51" s="3"/>
      <c r="R51" s="7">
        <f t="shared" si="8"/>
        <v>7.576909581355297E-2</v>
      </c>
      <c r="S51" s="3"/>
      <c r="T51" s="8">
        <v>120274.76</v>
      </c>
      <c r="U51" s="3"/>
      <c r="V51" s="7">
        <f t="shared" si="9"/>
        <v>0.31359698216241683</v>
      </c>
      <c r="W51" s="3"/>
      <c r="X51" s="8">
        <f t="shared" si="10"/>
        <v>-37665.799999999988</v>
      </c>
      <c r="Y51" s="3"/>
      <c r="Z51" s="7">
        <f t="shared" si="11"/>
        <v>-0.31316462406576401</v>
      </c>
    </row>
    <row r="52" spans="1:26" s="68" customFormat="1" ht="15" customHeight="1" outlineLevel="1" collapsed="1" x14ac:dyDescent="0.3">
      <c r="A52" s="26"/>
      <c r="B52" s="14" t="str">
        <f>CONCATENATE("     ","Employees' Appreciation                           ")</f>
        <v xml:space="preserve">     Employees' Appreciation                           </v>
      </c>
      <c r="C52" s="14"/>
      <c r="D52" s="2">
        <f>SUM(OSRRefD22_6x_0)</f>
        <v>0</v>
      </c>
      <c r="E52" s="2"/>
      <c r="F52" s="6">
        <f t="shared" si="4"/>
        <v>0</v>
      </c>
      <c r="G52" s="2"/>
      <c r="H52" s="2">
        <f>SUM(OSRRefH22_6x_0)</f>
        <v>0</v>
      </c>
      <c r="I52" s="2"/>
      <c r="J52" s="6">
        <f t="shared" si="5"/>
        <v>0</v>
      </c>
      <c r="K52" s="2"/>
      <c r="L52" s="2">
        <f t="shared" si="6"/>
        <v>0</v>
      </c>
      <c r="M52" s="2"/>
      <c r="N52" s="6">
        <f t="shared" si="7"/>
        <v>0</v>
      </c>
      <c r="O52" s="14"/>
      <c r="P52" s="2">
        <f>SUM(OSRRefP22_6x_0)</f>
        <v>314.87</v>
      </c>
      <c r="Q52" s="2"/>
      <c r="R52" s="6">
        <f t="shared" si="8"/>
        <v>2.8879936509082575E-4</v>
      </c>
      <c r="S52" s="2"/>
      <c r="T52" s="2">
        <f>SUM(OSRRefT22_6x_0)</f>
        <v>10</v>
      </c>
      <c r="U52" s="2"/>
      <c r="V52" s="6">
        <f t="shared" si="9"/>
        <v>2.6073382492088687E-5</v>
      </c>
      <c r="W52" s="2"/>
      <c r="X52" s="2">
        <f t="shared" si="10"/>
        <v>304.87</v>
      </c>
      <c r="Y52" s="2"/>
      <c r="Z52" s="6">
        <f t="shared" si="11"/>
        <v>30.487000000000002</v>
      </c>
    </row>
    <row r="53" spans="1:26" s="69" customFormat="1" ht="15" hidden="1" customHeight="1" outlineLevel="2" x14ac:dyDescent="0.3">
      <c r="A53" s="25"/>
      <c r="B53" s="12" t="str">
        <f>CONCATENATE("          ","6277"," - ","EMPLOYEE APPRECIATION")</f>
        <v xml:space="preserve">          6277 - EMPLOYEE APPRECIATION</v>
      </c>
      <c r="C53" s="12"/>
      <c r="D53" s="8"/>
      <c r="E53" s="3"/>
      <c r="F53" s="7">
        <f t="shared" si="4"/>
        <v>0</v>
      </c>
      <c r="G53" s="3"/>
      <c r="H53" s="8"/>
      <c r="I53" s="3"/>
      <c r="J53" s="7">
        <f t="shared" si="5"/>
        <v>0</v>
      </c>
      <c r="K53" s="3"/>
      <c r="L53" s="8">
        <f t="shared" si="6"/>
        <v>0</v>
      </c>
      <c r="M53" s="3"/>
      <c r="N53" s="7">
        <f t="shared" si="7"/>
        <v>0</v>
      </c>
      <c r="O53" s="12"/>
      <c r="P53" s="8">
        <v>314.87</v>
      </c>
      <c r="Q53" s="3"/>
      <c r="R53" s="7">
        <f t="shared" si="8"/>
        <v>2.8879936509082575E-4</v>
      </c>
      <c r="S53" s="3"/>
      <c r="T53" s="8">
        <v>10</v>
      </c>
      <c r="U53" s="3"/>
      <c r="V53" s="7">
        <f t="shared" si="9"/>
        <v>2.6073382492088687E-5</v>
      </c>
      <c r="W53" s="3"/>
      <c r="X53" s="8">
        <f t="shared" si="10"/>
        <v>304.87</v>
      </c>
      <c r="Y53" s="3"/>
      <c r="Z53" s="7">
        <f t="shared" si="11"/>
        <v>30.487000000000002</v>
      </c>
    </row>
    <row r="54" spans="1:26" s="68" customFormat="1" ht="15" customHeight="1" outlineLevel="1" collapsed="1" x14ac:dyDescent="0.3">
      <c r="A54" s="26"/>
      <c r="B54" s="14" t="str">
        <f>CONCATENATE("     ","Equipment Rental                                  ")</f>
        <v xml:space="preserve">     Equipment Rental                                  </v>
      </c>
      <c r="C54" s="14"/>
      <c r="D54" s="2">
        <f>SUM(OSRRefD22_7x_0)</f>
        <v>632.67999999999995</v>
      </c>
      <c r="E54" s="2"/>
      <c r="F54" s="6">
        <f t="shared" si="4"/>
        <v>2.3288651475620314E-3</v>
      </c>
      <c r="G54" s="2"/>
      <c r="H54" s="2">
        <f>SUM(OSRRefH22_7x_0)</f>
        <v>163.80000000000001</v>
      </c>
      <c r="I54" s="2"/>
      <c r="J54" s="6">
        <f t="shared" si="5"/>
        <v>2.8604113998046609E-3</v>
      </c>
      <c r="K54" s="2"/>
      <c r="L54" s="2">
        <f t="shared" si="6"/>
        <v>468.87999999999994</v>
      </c>
      <c r="M54" s="2"/>
      <c r="N54" s="6">
        <f t="shared" si="7"/>
        <v>2.8625152625152621</v>
      </c>
      <c r="O54" s="14"/>
      <c r="P54" s="2">
        <f>SUM(OSRRefP22_7x_0)</f>
        <v>8023.34</v>
      </c>
      <c r="Q54" s="2"/>
      <c r="R54" s="6">
        <f t="shared" si="8"/>
        <v>7.3590227646578776E-3</v>
      </c>
      <c r="S54" s="2"/>
      <c r="T54" s="2">
        <f>SUM(OSRRefT22_7x_0)</f>
        <v>4884.2299999999996</v>
      </c>
      <c r="U54" s="2"/>
      <c r="V54" s="6">
        <f t="shared" si="9"/>
        <v>1.2734839696933431E-2</v>
      </c>
      <c r="W54" s="2"/>
      <c r="X54" s="2">
        <f t="shared" si="10"/>
        <v>3139.1100000000006</v>
      </c>
      <c r="Y54" s="2"/>
      <c r="Z54" s="6">
        <f t="shared" si="11"/>
        <v>0.64270314870511847</v>
      </c>
    </row>
    <row r="55" spans="1:26" s="69" customFormat="1" ht="15" hidden="1" customHeight="1" outlineLevel="2" x14ac:dyDescent="0.3">
      <c r="A55" s="25"/>
      <c r="B55" s="12" t="str">
        <f>CONCATENATE("          ","6351"," - ","EQUIPMENT RENTAL")</f>
        <v xml:space="preserve">          6351 - EQUIPMENT RENTAL</v>
      </c>
      <c r="C55" s="12"/>
      <c r="D55" s="8">
        <v>632.67999999999995</v>
      </c>
      <c r="E55" s="3"/>
      <c r="F55" s="7">
        <f t="shared" si="4"/>
        <v>2.3288651475620314E-3</v>
      </c>
      <c r="G55" s="3"/>
      <c r="H55" s="8">
        <v>163.80000000000001</v>
      </c>
      <c r="I55" s="3"/>
      <c r="J55" s="7">
        <f t="shared" si="5"/>
        <v>2.8604113998046609E-3</v>
      </c>
      <c r="K55" s="3"/>
      <c r="L55" s="8">
        <f t="shared" si="6"/>
        <v>468.87999999999994</v>
      </c>
      <c r="M55" s="3"/>
      <c r="N55" s="7">
        <f t="shared" si="7"/>
        <v>2.8625152625152621</v>
      </c>
      <c r="O55" s="12"/>
      <c r="P55" s="8">
        <v>8023.34</v>
      </c>
      <c r="Q55" s="3"/>
      <c r="R55" s="7">
        <f t="shared" si="8"/>
        <v>7.3590227646578776E-3</v>
      </c>
      <c r="S55" s="3"/>
      <c r="T55" s="8">
        <v>4884.2299999999996</v>
      </c>
      <c r="U55" s="3"/>
      <c r="V55" s="7">
        <f t="shared" si="9"/>
        <v>1.2734839696933431E-2</v>
      </c>
      <c r="W55" s="3"/>
      <c r="X55" s="8">
        <f t="shared" si="10"/>
        <v>3139.1100000000006</v>
      </c>
      <c r="Y55" s="3"/>
      <c r="Z55" s="7">
        <f t="shared" si="11"/>
        <v>0.64270314870511847</v>
      </c>
    </row>
    <row r="56" spans="1:26" s="68" customFormat="1" ht="15" customHeight="1" outlineLevel="1" collapsed="1" x14ac:dyDescent="0.3">
      <c r="A56" s="26"/>
      <c r="B56" s="14" t="str">
        <f>CONCATENATE("     ","Freight out/Postage                               ")</f>
        <v xml:space="preserve">     Freight out/Postage                               </v>
      </c>
      <c r="C56" s="14"/>
      <c r="D56" s="2">
        <f>SUM(OSRRefD22_8x_0)</f>
        <v>0</v>
      </c>
      <c r="E56" s="2"/>
      <c r="F56" s="6">
        <f t="shared" si="4"/>
        <v>0</v>
      </c>
      <c r="G56" s="2"/>
      <c r="H56" s="2">
        <f>SUM(OSRRefH22_8x_0)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SUM(OSRRefP22_8x_0)</f>
        <v>0</v>
      </c>
      <c r="Q56" s="2"/>
      <c r="R56" s="6">
        <f t="shared" si="8"/>
        <v>0</v>
      </c>
      <c r="S56" s="2"/>
      <c r="T56" s="2">
        <f>SUM(OSRRefT22_8x_0)</f>
        <v>-5.41</v>
      </c>
      <c r="U56" s="2"/>
      <c r="V56" s="6">
        <f t="shared" si="9"/>
        <v>-1.410569992821998E-5</v>
      </c>
      <c r="W56" s="2"/>
      <c r="X56" s="2">
        <f t="shared" si="10"/>
        <v>5.41</v>
      </c>
      <c r="Y56" s="2"/>
      <c r="Z56" s="6">
        <f t="shared" si="11"/>
        <v>-1</v>
      </c>
    </row>
    <row r="57" spans="1:26" s="69" customFormat="1" ht="15" hidden="1" customHeight="1" outlineLevel="2" x14ac:dyDescent="0.3">
      <c r="A57" s="25"/>
      <c r="B57" s="12" t="str">
        <f>CONCATENATE("          ","6307"," - ","POSTAGE")</f>
        <v xml:space="preserve">          6307 - POSTAGE</v>
      </c>
      <c r="C57" s="12"/>
      <c r="D57" s="8"/>
      <c r="E57" s="3"/>
      <c r="F57" s="7">
        <f t="shared" ref="F57:F88" si="12">IF(D$12=0,0,D57/D$12)</f>
        <v>0</v>
      </c>
      <c r="G57" s="3"/>
      <c r="H57" s="8"/>
      <c r="I57" s="3"/>
      <c r="J57" s="7">
        <f t="shared" ref="J57:J88" si="13">IF(H$12=0,0,H57/H$12)</f>
        <v>0</v>
      </c>
      <c r="K57" s="3"/>
      <c r="L57" s="8">
        <f t="shared" ref="L57:L88" si="14">+D57-H57</f>
        <v>0</v>
      </c>
      <c r="M57" s="3"/>
      <c r="N57" s="7">
        <f t="shared" ref="N57:N88" si="15">IF(H57=0,0,L57/H57)</f>
        <v>0</v>
      </c>
      <c r="O57" s="12"/>
      <c r="P57" s="8"/>
      <c r="Q57" s="3"/>
      <c r="R57" s="7">
        <f t="shared" ref="R57:R88" si="16">IF(P$12=0,0,P57/P$12)</f>
        <v>0</v>
      </c>
      <c r="S57" s="3"/>
      <c r="T57" s="8">
        <v>-5.41</v>
      </c>
      <c r="U57" s="3"/>
      <c r="V57" s="7">
        <f t="shared" ref="V57:V88" si="17">IF(T$12=0,0,T57/T$12)</f>
        <v>-1.410569992821998E-5</v>
      </c>
      <c r="W57" s="3"/>
      <c r="X57" s="8">
        <f t="shared" ref="X57:X88" si="18">+P57-T57</f>
        <v>5.41</v>
      </c>
      <c r="Y57" s="3"/>
      <c r="Z57" s="7">
        <f t="shared" ref="Z57:Z88" si="19">IF(T57=0,0,X57/T57)</f>
        <v>-1</v>
      </c>
    </row>
    <row r="58" spans="1:26" s="68" customFormat="1" ht="15" customHeight="1" outlineLevel="1" collapsed="1" x14ac:dyDescent="0.3">
      <c r="A58" s="26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SUM(OSRRefD22_9x_0)</f>
        <v>1494.65</v>
      </c>
      <c r="E58" s="2"/>
      <c r="F58" s="6">
        <f t="shared" si="12"/>
        <v>5.5017359372883457E-3</v>
      </c>
      <c r="G58" s="2"/>
      <c r="H58" s="2">
        <f>SUM(OSRRefH22_9x_0)</f>
        <v>455</v>
      </c>
      <c r="I58" s="2"/>
      <c r="J58" s="6">
        <f t="shared" si="13"/>
        <v>7.9455872216796144E-3</v>
      </c>
      <c r="K58" s="2"/>
      <c r="L58" s="2">
        <f t="shared" si="14"/>
        <v>1039.6500000000001</v>
      </c>
      <c r="M58" s="2"/>
      <c r="N58" s="6">
        <f t="shared" si="15"/>
        <v>2.2849450549450552</v>
      </c>
      <c r="O58" s="14"/>
      <c r="P58" s="2">
        <f>SUM(OSRRefP22_9x_0)</f>
        <v>19956.09</v>
      </c>
      <c r="Q58" s="2"/>
      <c r="R58" s="6">
        <f t="shared" si="16"/>
        <v>1.8303763844429055E-2</v>
      </c>
      <c r="S58" s="2"/>
      <c r="T58" s="2">
        <f>SUM(OSRRefT22_9x_0)</f>
        <v>7425.48</v>
      </c>
      <c r="U58" s="2"/>
      <c r="V58" s="6">
        <f t="shared" si="17"/>
        <v>1.9360738022735469E-2</v>
      </c>
      <c r="W58" s="2"/>
      <c r="X58" s="2">
        <f t="shared" si="18"/>
        <v>12530.61</v>
      </c>
      <c r="Y58" s="2"/>
      <c r="Z58" s="6">
        <f t="shared" si="19"/>
        <v>1.6875151505357231</v>
      </c>
    </row>
    <row r="59" spans="1:26" s="69" customFormat="1" ht="15" hidden="1" customHeight="1" outlineLevel="2" x14ac:dyDescent="0.3">
      <c r="A59" s="25"/>
      <c r="B59" s="12" t="str">
        <f>CONCATENATE("          ","6279"," - ","GENERAL EXPENSE")</f>
        <v xml:space="preserve">          6279 - GENERAL EXPENSE</v>
      </c>
      <c r="C59" s="12"/>
      <c r="D59" s="8">
        <v>1494.65</v>
      </c>
      <c r="E59" s="3"/>
      <c r="F59" s="7">
        <f t="shared" si="12"/>
        <v>5.5017359372883457E-3</v>
      </c>
      <c r="G59" s="3"/>
      <c r="H59" s="8">
        <v>455</v>
      </c>
      <c r="I59" s="3"/>
      <c r="J59" s="7">
        <f t="shared" si="13"/>
        <v>7.9455872216796144E-3</v>
      </c>
      <c r="K59" s="3"/>
      <c r="L59" s="8">
        <f t="shared" si="14"/>
        <v>1039.6500000000001</v>
      </c>
      <c r="M59" s="3"/>
      <c r="N59" s="7">
        <f t="shared" si="15"/>
        <v>2.2849450549450552</v>
      </c>
      <c r="O59" s="12"/>
      <c r="P59" s="8">
        <v>19956.09</v>
      </c>
      <c r="Q59" s="3"/>
      <c r="R59" s="7">
        <f t="shared" si="16"/>
        <v>1.8303763844429055E-2</v>
      </c>
      <c r="S59" s="3"/>
      <c r="T59" s="8">
        <v>7425.48</v>
      </c>
      <c r="U59" s="3"/>
      <c r="V59" s="7">
        <f t="shared" si="17"/>
        <v>1.9360738022735469E-2</v>
      </c>
      <c r="W59" s="3"/>
      <c r="X59" s="8">
        <f t="shared" si="18"/>
        <v>12530.61</v>
      </c>
      <c r="Y59" s="3"/>
      <c r="Z59" s="7">
        <f t="shared" si="19"/>
        <v>1.6875151505357231</v>
      </c>
    </row>
    <row r="60" spans="1:26" s="68" customFormat="1" ht="15" customHeight="1" outlineLevel="1" collapsed="1" x14ac:dyDescent="0.3">
      <c r="A60" s="26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SUM(OSRRefD22_10x_0)</f>
        <v>5756.21</v>
      </c>
      <c r="E60" s="2"/>
      <c r="F60" s="6">
        <f t="shared" si="12"/>
        <v>2.1188336680546312E-2</v>
      </c>
      <c r="G60" s="2"/>
      <c r="H60" s="2">
        <f>SUM(OSRRefH22_10x_0)</f>
        <v>4240.13</v>
      </c>
      <c r="I60" s="2"/>
      <c r="J60" s="6">
        <f t="shared" si="13"/>
        <v>7.4044665376396437E-2</v>
      </c>
      <c r="K60" s="2"/>
      <c r="L60" s="2">
        <f t="shared" si="14"/>
        <v>1516.08</v>
      </c>
      <c r="M60" s="2"/>
      <c r="N60" s="6">
        <f t="shared" si="15"/>
        <v>0.35755507496232425</v>
      </c>
      <c r="O60" s="14"/>
      <c r="P60" s="2">
        <f>SUM(OSRRefP22_10x_0)</f>
        <v>58688.89</v>
      </c>
      <c r="Q60" s="2"/>
      <c r="R60" s="6">
        <f t="shared" si="16"/>
        <v>5.3829561945835776E-2</v>
      </c>
      <c r="S60" s="2"/>
      <c r="T60" s="2">
        <f>SUM(OSRRefT22_10x_0)</f>
        <v>44273.17</v>
      </c>
      <c r="U60" s="2"/>
      <c r="V60" s="6">
        <f t="shared" si="17"/>
        <v>0.1154351295547266</v>
      </c>
      <c r="W60" s="2"/>
      <c r="X60" s="2">
        <f t="shared" si="18"/>
        <v>14415.720000000001</v>
      </c>
      <c r="Y60" s="2"/>
      <c r="Z60" s="6">
        <f t="shared" si="19"/>
        <v>0.32560848929498387</v>
      </c>
    </row>
    <row r="61" spans="1:26" s="69" customFormat="1" ht="15" hidden="1" customHeight="1" outlineLevel="2" x14ac:dyDescent="0.3">
      <c r="A61" s="25"/>
      <c r="B61" s="12" t="str">
        <f>CONCATENATE("          ","6314"," - ","LIABILITY INSURANCE")</f>
        <v xml:space="preserve">          6314 - LIABILITY INSURANCE</v>
      </c>
      <c r="C61" s="12"/>
      <c r="D61" s="8">
        <v>5756.21</v>
      </c>
      <c r="E61" s="3"/>
      <c r="F61" s="7">
        <f t="shared" si="12"/>
        <v>2.1188336680546312E-2</v>
      </c>
      <c r="G61" s="3"/>
      <c r="H61" s="8">
        <v>4240.13</v>
      </c>
      <c r="I61" s="3"/>
      <c r="J61" s="7">
        <f t="shared" si="13"/>
        <v>7.4044665376396437E-2</v>
      </c>
      <c r="K61" s="3"/>
      <c r="L61" s="8">
        <f t="shared" si="14"/>
        <v>1516.08</v>
      </c>
      <c r="M61" s="3"/>
      <c r="N61" s="7">
        <f t="shared" si="15"/>
        <v>0.35755507496232425</v>
      </c>
      <c r="O61" s="12"/>
      <c r="P61" s="8">
        <v>58688.89</v>
      </c>
      <c r="Q61" s="3"/>
      <c r="R61" s="7">
        <f t="shared" si="16"/>
        <v>5.3829561945835776E-2</v>
      </c>
      <c r="S61" s="3"/>
      <c r="T61" s="8">
        <v>44273.17</v>
      </c>
      <c r="U61" s="3"/>
      <c r="V61" s="7">
        <f t="shared" si="17"/>
        <v>0.1154351295547266</v>
      </c>
      <c r="W61" s="3"/>
      <c r="X61" s="8">
        <f t="shared" si="18"/>
        <v>14415.720000000001</v>
      </c>
      <c r="Y61" s="3"/>
      <c r="Z61" s="7">
        <f t="shared" si="19"/>
        <v>0.32560848929498387</v>
      </c>
    </row>
    <row r="62" spans="1:26" s="68" customFormat="1" ht="15" customHeight="1" outlineLevel="1" collapsed="1" x14ac:dyDescent="0.3">
      <c r="A62" s="26"/>
      <c r="B62" s="14" t="str">
        <f>CONCATENATE("     ","Interest                                          ")</f>
        <v xml:space="preserve">     Interest                                          </v>
      </c>
      <c r="C62" s="14"/>
      <c r="D62" s="2">
        <f>SUM(OSRRefD22_11x_0)</f>
        <v>7253</v>
      </c>
      <c r="E62" s="2"/>
      <c r="F62" s="6">
        <f t="shared" si="12"/>
        <v>2.6697949856590086E-2</v>
      </c>
      <c r="G62" s="2"/>
      <c r="H62" s="2">
        <f>SUM(OSRRefH22_11x_0)</f>
        <v>7510</v>
      </c>
      <c r="I62" s="2"/>
      <c r="J62" s="6">
        <f t="shared" si="13"/>
        <v>0.13114584623036021</v>
      </c>
      <c r="K62" s="2"/>
      <c r="L62" s="2">
        <f t="shared" si="14"/>
        <v>-257</v>
      </c>
      <c r="M62" s="2"/>
      <c r="N62" s="6">
        <f t="shared" si="15"/>
        <v>-3.4221038615179764E-2</v>
      </c>
      <c r="O62" s="14"/>
      <c r="P62" s="2">
        <f>SUM(OSRRefP22_11x_0)</f>
        <v>64763</v>
      </c>
      <c r="Q62" s="2"/>
      <c r="R62" s="6">
        <f t="shared" si="16"/>
        <v>5.9400747233388854E-2</v>
      </c>
      <c r="S62" s="2"/>
      <c r="T62" s="2">
        <f>SUM(OSRRefT22_11x_0)</f>
        <v>67103.149999999994</v>
      </c>
      <c r="U62" s="2"/>
      <c r="V62" s="6">
        <f t="shared" si="17"/>
        <v>0.17496060963740007</v>
      </c>
      <c r="W62" s="2"/>
      <c r="X62" s="2">
        <f t="shared" si="18"/>
        <v>-2340.1499999999942</v>
      </c>
      <c r="Y62" s="2"/>
      <c r="Z62" s="6">
        <f t="shared" si="19"/>
        <v>-3.4873921716044545E-2</v>
      </c>
    </row>
    <row r="63" spans="1:26" s="69" customFormat="1" ht="15" hidden="1" customHeight="1" outlineLevel="2" x14ac:dyDescent="0.3">
      <c r="A63" s="25"/>
      <c r="B63" s="12" t="str">
        <f>CONCATENATE("          ","6401"," - ","INTEREST EXPENSE")</f>
        <v xml:space="preserve">          6401 - INTEREST EXPENSE</v>
      </c>
      <c r="C63" s="12"/>
      <c r="D63" s="8">
        <v>7253</v>
      </c>
      <c r="E63" s="3"/>
      <c r="F63" s="7">
        <f t="shared" si="12"/>
        <v>2.6697949856590086E-2</v>
      </c>
      <c r="G63" s="3"/>
      <c r="H63" s="8">
        <v>7510</v>
      </c>
      <c r="I63" s="3"/>
      <c r="J63" s="7">
        <f t="shared" si="13"/>
        <v>0.13114584623036021</v>
      </c>
      <c r="K63" s="3"/>
      <c r="L63" s="8">
        <f t="shared" si="14"/>
        <v>-257</v>
      </c>
      <c r="M63" s="3"/>
      <c r="N63" s="7">
        <f t="shared" si="15"/>
        <v>-3.4221038615179764E-2</v>
      </c>
      <c r="O63" s="12"/>
      <c r="P63" s="8">
        <v>64763</v>
      </c>
      <c r="Q63" s="3"/>
      <c r="R63" s="7">
        <f t="shared" si="16"/>
        <v>5.9400747233388854E-2</v>
      </c>
      <c r="S63" s="3"/>
      <c r="T63" s="8">
        <v>67103.149999999994</v>
      </c>
      <c r="U63" s="3"/>
      <c r="V63" s="7">
        <f t="shared" si="17"/>
        <v>0.17496060963740007</v>
      </c>
      <c r="W63" s="3"/>
      <c r="X63" s="8">
        <f t="shared" si="18"/>
        <v>-2340.1499999999942</v>
      </c>
      <c r="Y63" s="3"/>
      <c r="Z63" s="7">
        <f t="shared" si="19"/>
        <v>-3.4873921716044545E-2</v>
      </c>
    </row>
    <row r="64" spans="1:26" s="68" customFormat="1" ht="15" customHeight="1" outlineLevel="1" collapsed="1" x14ac:dyDescent="0.3">
      <c r="A64" s="26"/>
      <c r="B64" s="14" t="str">
        <f>CONCATENATE("     ","Rent                                              ")</f>
        <v xml:space="preserve">     Rent                                              </v>
      </c>
      <c r="C64" s="14"/>
      <c r="D64" s="2">
        <f>SUM(OSRRefD22_12x_0)</f>
        <v>1850</v>
      </c>
      <c r="E64" s="2"/>
      <c r="F64" s="6">
        <f t="shared" si="12"/>
        <v>6.8097624754848551E-3</v>
      </c>
      <c r="G64" s="2"/>
      <c r="H64" s="2">
        <f>SUM(OSRRefH22_12x_0)</f>
        <v>0</v>
      </c>
      <c r="I64" s="2"/>
      <c r="J64" s="6">
        <f t="shared" si="13"/>
        <v>0</v>
      </c>
      <c r="K64" s="2"/>
      <c r="L64" s="2">
        <f t="shared" si="14"/>
        <v>1850</v>
      </c>
      <c r="M64" s="2"/>
      <c r="N64" s="6">
        <f t="shared" si="15"/>
        <v>0</v>
      </c>
      <c r="O64" s="14"/>
      <c r="P64" s="2">
        <f>SUM(OSRRefP22_12x_0)</f>
        <v>16650</v>
      </c>
      <c r="Q64" s="2"/>
      <c r="R64" s="6">
        <f t="shared" si="16"/>
        <v>1.5271411785061291E-2</v>
      </c>
      <c r="S64" s="2"/>
      <c r="T64" s="2">
        <f>SUM(OSRRefT22_12x_0)</f>
        <v>11100</v>
      </c>
      <c r="U64" s="2"/>
      <c r="V64" s="6">
        <f t="shared" si="17"/>
        <v>2.8941454566218442E-2</v>
      </c>
      <c r="W64" s="2"/>
      <c r="X64" s="2">
        <f t="shared" si="18"/>
        <v>5550</v>
      </c>
      <c r="Y64" s="2"/>
      <c r="Z64" s="6">
        <f t="shared" si="19"/>
        <v>0.5</v>
      </c>
    </row>
    <row r="65" spans="1:26" s="69" customFormat="1" ht="15" hidden="1" customHeight="1" outlineLevel="2" x14ac:dyDescent="0.3">
      <c r="A65" s="25"/>
      <c r="B65" s="12" t="str">
        <f>CONCATENATE("          ","6273"," - ","RENT")</f>
        <v xml:space="preserve">          6273 - RENT</v>
      </c>
      <c r="C65" s="12"/>
      <c r="D65" s="8">
        <v>1850</v>
      </c>
      <c r="E65" s="3"/>
      <c r="F65" s="7">
        <f t="shared" si="12"/>
        <v>6.8097624754848551E-3</v>
      </c>
      <c r="G65" s="3"/>
      <c r="H65" s="8"/>
      <c r="I65" s="3"/>
      <c r="J65" s="7">
        <f t="shared" si="13"/>
        <v>0</v>
      </c>
      <c r="K65" s="3"/>
      <c r="L65" s="8">
        <f t="shared" si="14"/>
        <v>1850</v>
      </c>
      <c r="M65" s="3"/>
      <c r="N65" s="7">
        <f t="shared" si="15"/>
        <v>0</v>
      </c>
      <c r="O65" s="12"/>
      <c r="P65" s="8">
        <v>16650</v>
      </c>
      <c r="Q65" s="3"/>
      <c r="R65" s="7">
        <f t="shared" si="16"/>
        <v>1.5271411785061291E-2</v>
      </c>
      <c r="S65" s="3"/>
      <c r="T65" s="8">
        <v>11100</v>
      </c>
      <c r="U65" s="3"/>
      <c r="V65" s="7">
        <f t="shared" si="17"/>
        <v>2.8941454566218442E-2</v>
      </c>
      <c r="W65" s="3"/>
      <c r="X65" s="8">
        <f t="shared" si="18"/>
        <v>5550</v>
      </c>
      <c r="Y65" s="3"/>
      <c r="Z65" s="7">
        <f t="shared" si="19"/>
        <v>0.5</v>
      </c>
    </row>
    <row r="66" spans="1:26" s="68" customFormat="1" ht="15" customHeight="1" outlineLevel="1" collapsed="1" x14ac:dyDescent="0.3">
      <c r="A66" s="26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SUM(OSRRefD22_13x_0)</f>
        <v>4021.2799999999997</v>
      </c>
      <c r="E66" s="2"/>
      <c r="F66" s="6">
        <f t="shared" si="12"/>
        <v>1.4802141431036616E-2</v>
      </c>
      <c r="G66" s="2"/>
      <c r="H66" s="2">
        <f>SUM(OSRRefH22_13x_0)</f>
        <v>17049.71</v>
      </c>
      <c r="I66" s="2"/>
      <c r="J66" s="6">
        <f t="shared" si="13"/>
        <v>0.29773617122932555</v>
      </c>
      <c r="K66" s="2"/>
      <c r="L66" s="2">
        <f t="shared" si="14"/>
        <v>-13028.43</v>
      </c>
      <c r="M66" s="2"/>
      <c r="N66" s="6">
        <f t="shared" si="15"/>
        <v>-0.76414378895594126</v>
      </c>
      <c r="O66" s="14"/>
      <c r="P66" s="2">
        <f>SUM(OSRRefP22_13x_0)</f>
        <v>65875.64</v>
      </c>
      <c r="Q66" s="2"/>
      <c r="R66" s="6">
        <f t="shared" si="16"/>
        <v>6.0421262765432728E-2</v>
      </c>
      <c r="S66" s="2"/>
      <c r="T66" s="2">
        <f>SUM(OSRRefT22_13x_0)</f>
        <v>41854.03</v>
      </c>
      <c r="U66" s="2"/>
      <c r="V66" s="6">
        <f t="shared" si="17"/>
        <v>0.10912761330253547</v>
      </c>
      <c r="W66" s="2"/>
      <c r="X66" s="2">
        <f t="shared" si="18"/>
        <v>24021.61</v>
      </c>
      <c r="Y66" s="2"/>
      <c r="Z66" s="6">
        <f t="shared" si="19"/>
        <v>0.57393780240516867</v>
      </c>
    </row>
    <row r="67" spans="1:26" s="69" customFormat="1" ht="15" hidden="1" customHeight="1" outlineLevel="2" x14ac:dyDescent="0.3">
      <c r="A67" s="25"/>
      <c r="B67" s="12" t="str">
        <f>CONCATENATE("          ","6371"," - ","COMPUTER SOFTWARE MAINTENANCE")</f>
        <v xml:space="preserve">          6371 - COMPUTER SOFTWARE MAINTENANCE</v>
      </c>
      <c r="C67" s="12"/>
      <c r="D67" s="8">
        <v>783.7</v>
      </c>
      <c r="E67" s="3"/>
      <c r="F67" s="7">
        <f t="shared" si="12"/>
        <v>2.884762622722963E-3</v>
      </c>
      <c r="G67" s="3"/>
      <c r="H67" s="8"/>
      <c r="I67" s="3"/>
      <c r="J67" s="7">
        <f t="shared" si="13"/>
        <v>0</v>
      </c>
      <c r="K67" s="3"/>
      <c r="L67" s="8">
        <f t="shared" si="14"/>
        <v>783.7</v>
      </c>
      <c r="M67" s="3"/>
      <c r="N67" s="7">
        <f t="shared" si="15"/>
        <v>0</v>
      </c>
      <c r="O67" s="12"/>
      <c r="P67" s="8">
        <v>7600.87</v>
      </c>
      <c r="Q67" s="3"/>
      <c r="R67" s="7">
        <f t="shared" si="16"/>
        <v>6.9715324741572863E-3</v>
      </c>
      <c r="S67" s="3"/>
      <c r="T67" s="8">
        <v>702.27</v>
      </c>
      <c r="U67" s="3"/>
      <c r="V67" s="7">
        <f t="shared" si="17"/>
        <v>1.8310554322719121E-3</v>
      </c>
      <c r="W67" s="3"/>
      <c r="X67" s="8">
        <f t="shared" si="18"/>
        <v>6898.6</v>
      </c>
      <c r="Y67" s="3"/>
      <c r="Z67" s="7">
        <f t="shared" si="19"/>
        <v>9.8232873396272105</v>
      </c>
    </row>
    <row r="68" spans="1:26" s="69" customFormat="1" ht="15" hidden="1" customHeight="1" outlineLevel="2" x14ac:dyDescent="0.3">
      <c r="A68" s="25"/>
      <c r="B68" s="12" t="str">
        <f>CONCATENATE("          ","6372"," - ","COMPUTER HARDWARE MAINTENANCE")</f>
        <v xml:space="preserve">          6372 - COMPUTER HARDWARE MAINTENANCE</v>
      </c>
      <c r="C68" s="12"/>
      <c r="D68" s="8"/>
      <c r="E68" s="3"/>
      <c r="F68" s="7">
        <f t="shared" si="12"/>
        <v>0</v>
      </c>
      <c r="G68" s="3"/>
      <c r="H68" s="8">
        <v>100</v>
      </c>
      <c r="I68" s="3"/>
      <c r="J68" s="7">
        <f t="shared" si="13"/>
        <v>1.7462829058636513E-3</v>
      </c>
      <c r="K68" s="3"/>
      <c r="L68" s="8">
        <f t="shared" si="14"/>
        <v>-100</v>
      </c>
      <c r="M68" s="3"/>
      <c r="N68" s="7">
        <f t="shared" si="15"/>
        <v>-1</v>
      </c>
      <c r="O68" s="12"/>
      <c r="P68" s="8"/>
      <c r="Q68" s="3"/>
      <c r="R68" s="7">
        <f t="shared" si="16"/>
        <v>0</v>
      </c>
      <c r="S68" s="3"/>
      <c r="T68" s="8">
        <v>100</v>
      </c>
      <c r="U68" s="3"/>
      <c r="V68" s="7">
        <f t="shared" si="17"/>
        <v>2.6073382492088689E-4</v>
      </c>
      <c r="W68" s="3"/>
      <c r="X68" s="8">
        <f t="shared" si="18"/>
        <v>-100</v>
      </c>
      <c r="Y68" s="3"/>
      <c r="Z68" s="7">
        <f t="shared" si="19"/>
        <v>-1</v>
      </c>
    </row>
    <row r="69" spans="1:26" s="69" customFormat="1" ht="15" hidden="1" customHeight="1" outlineLevel="2" x14ac:dyDescent="0.3">
      <c r="A69" s="25"/>
      <c r="B69" s="12" t="str">
        <f>CONCATENATE("          ","6373"," - ","MAINTENANCE CONTRACTS")</f>
        <v xml:space="preserve">          6373 - MAINTENANCE CONTRACTS</v>
      </c>
      <c r="C69" s="12"/>
      <c r="D69" s="8">
        <v>1890.26</v>
      </c>
      <c r="E69" s="3"/>
      <c r="F69" s="7">
        <f t="shared" si="12"/>
        <v>6.9579576307621637E-3</v>
      </c>
      <c r="G69" s="3"/>
      <c r="H69" s="8">
        <v>7202.36</v>
      </c>
      <c r="I69" s="3"/>
      <c r="J69" s="7">
        <f t="shared" si="13"/>
        <v>0.12577358149876128</v>
      </c>
      <c r="K69" s="3"/>
      <c r="L69" s="8">
        <f t="shared" si="14"/>
        <v>-5312.0999999999995</v>
      </c>
      <c r="M69" s="3"/>
      <c r="N69" s="7">
        <f t="shared" si="15"/>
        <v>-0.73754991419479166</v>
      </c>
      <c r="O69" s="12"/>
      <c r="P69" s="8">
        <v>16534.150000000001</v>
      </c>
      <c r="Q69" s="3"/>
      <c r="R69" s="7">
        <f t="shared" si="16"/>
        <v>1.5165153943902172E-2</v>
      </c>
      <c r="S69" s="3"/>
      <c r="T69" s="8">
        <v>18223.8</v>
      </c>
      <c r="U69" s="3"/>
      <c r="V69" s="7">
        <f t="shared" si="17"/>
        <v>4.7515610785932576E-2</v>
      </c>
      <c r="W69" s="3"/>
      <c r="X69" s="8">
        <f t="shared" si="18"/>
        <v>-1689.6499999999978</v>
      </c>
      <c r="Y69" s="3"/>
      <c r="Z69" s="7">
        <f t="shared" si="19"/>
        <v>-9.271666721539952E-2</v>
      </c>
    </row>
    <row r="70" spans="1:26" s="69" customFormat="1" ht="15" hidden="1" customHeight="1" outlineLevel="2" x14ac:dyDescent="0.3">
      <c r="A70" s="25"/>
      <c r="B70" s="12" t="str">
        <f>CONCATENATE("          ","6375"," - ","OUTSIDE REPAIRS &amp; MAINTENANCE")</f>
        <v xml:space="preserve">          6375 - OUTSIDE REPAIRS &amp; MAINTENANCE</v>
      </c>
      <c r="C70" s="12"/>
      <c r="D70" s="8">
        <v>1347.32</v>
      </c>
      <c r="E70" s="3"/>
      <c r="F70" s="7">
        <f t="shared" si="12"/>
        <v>4.9594211775514895E-3</v>
      </c>
      <c r="G70" s="3"/>
      <c r="H70" s="8">
        <v>9747.35</v>
      </c>
      <c r="I70" s="3"/>
      <c r="J70" s="7">
        <f t="shared" si="13"/>
        <v>0.17021630682470063</v>
      </c>
      <c r="K70" s="3"/>
      <c r="L70" s="8">
        <f t="shared" si="14"/>
        <v>-8400.0300000000007</v>
      </c>
      <c r="M70" s="3"/>
      <c r="N70" s="7">
        <f t="shared" si="15"/>
        <v>-0.86177576469501971</v>
      </c>
      <c r="O70" s="12"/>
      <c r="P70" s="8">
        <v>41740.620000000003</v>
      </c>
      <c r="Q70" s="3"/>
      <c r="R70" s="7">
        <f t="shared" si="16"/>
        <v>3.8284576347373277E-2</v>
      </c>
      <c r="S70" s="3"/>
      <c r="T70" s="8">
        <v>22827.96</v>
      </c>
      <c r="U70" s="3"/>
      <c r="V70" s="7">
        <f t="shared" si="17"/>
        <v>5.9520213259410079E-2</v>
      </c>
      <c r="W70" s="3"/>
      <c r="X70" s="8">
        <f t="shared" si="18"/>
        <v>18912.660000000003</v>
      </c>
      <c r="Y70" s="3"/>
      <c r="Z70" s="7">
        <f t="shared" si="19"/>
        <v>0.82848664532441818</v>
      </c>
    </row>
    <row r="71" spans="1:26" s="68" customFormat="1" ht="15" customHeight="1" outlineLevel="1" collapsed="1" x14ac:dyDescent="0.3">
      <c r="A71" s="26"/>
      <c r="B71" s="14" t="str">
        <f>CONCATENATE("     ","Royalty &amp; Commissions                             ")</f>
        <v xml:space="preserve">     Royalty &amp; Commissions                             </v>
      </c>
      <c r="C71" s="14"/>
      <c r="D71" s="2">
        <f>SUM(OSRRefD22_14x_0)</f>
        <v>583.67999999999995</v>
      </c>
      <c r="E71" s="2"/>
      <c r="F71" s="6">
        <f t="shared" si="12"/>
        <v>2.1484984657789189E-3</v>
      </c>
      <c r="G71" s="2"/>
      <c r="H71" s="2">
        <f>SUM(OSRRefH22_14x_0)</f>
        <v>0</v>
      </c>
      <c r="I71" s="2"/>
      <c r="J71" s="6">
        <f t="shared" si="13"/>
        <v>0</v>
      </c>
      <c r="K71" s="2"/>
      <c r="L71" s="2">
        <f t="shared" si="14"/>
        <v>583.67999999999995</v>
      </c>
      <c r="M71" s="2"/>
      <c r="N71" s="6">
        <f t="shared" si="15"/>
        <v>0</v>
      </c>
      <c r="O71" s="14"/>
      <c r="P71" s="2">
        <f>SUM(OSRRefP22_14x_0)</f>
        <v>4217.71</v>
      </c>
      <c r="Q71" s="2"/>
      <c r="R71" s="6">
        <f t="shared" si="16"/>
        <v>3.8684916636619131E-3</v>
      </c>
      <c r="S71" s="2"/>
      <c r="T71" s="2">
        <f>SUM(OSRRefT22_14x_0)</f>
        <v>0</v>
      </c>
      <c r="U71" s="2"/>
      <c r="V71" s="6">
        <f t="shared" si="17"/>
        <v>0</v>
      </c>
      <c r="W71" s="2"/>
      <c r="X71" s="2">
        <f t="shared" si="18"/>
        <v>4217.71</v>
      </c>
      <c r="Y71" s="2"/>
      <c r="Z71" s="6">
        <f t="shared" si="19"/>
        <v>0</v>
      </c>
    </row>
    <row r="72" spans="1:26" s="69" customFormat="1" ht="15" hidden="1" customHeight="1" outlineLevel="2" x14ac:dyDescent="0.3">
      <c r="A72" s="25"/>
      <c r="B72" s="12" t="str">
        <f>CONCATENATE("          ","6254"," - ","ROYALTY &amp; COMMISSIONS")</f>
        <v xml:space="preserve">          6254 - ROYALTY &amp; COMMISSIONS</v>
      </c>
      <c r="C72" s="12"/>
      <c r="D72" s="8">
        <v>583.67999999999995</v>
      </c>
      <c r="E72" s="3"/>
      <c r="F72" s="7">
        <f t="shared" si="12"/>
        <v>2.1484984657789189E-3</v>
      </c>
      <c r="G72" s="3"/>
      <c r="H72" s="8"/>
      <c r="I72" s="3"/>
      <c r="J72" s="7">
        <f t="shared" si="13"/>
        <v>0</v>
      </c>
      <c r="K72" s="3"/>
      <c r="L72" s="8">
        <f t="shared" si="14"/>
        <v>583.67999999999995</v>
      </c>
      <c r="M72" s="3"/>
      <c r="N72" s="7">
        <f t="shared" si="15"/>
        <v>0</v>
      </c>
      <c r="O72" s="12"/>
      <c r="P72" s="8">
        <v>4217.71</v>
      </c>
      <c r="Q72" s="3"/>
      <c r="R72" s="7">
        <f t="shared" si="16"/>
        <v>3.8684916636619131E-3</v>
      </c>
      <c r="S72" s="3"/>
      <c r="T72" s="8"/>
      <c r="U72" s="3"/>
      <c r="V72" s="7">
        <f t="shared" si="17"/>
        <v>0</v>
      </c>
      <c r="W72" s="3"/>
      <c r="X72" s="8">
        <f t="shared" si="18"/>
        <v>4217.71</v>
      </c>
      <c r="Y72" s="3"/>
      <c r="Z72" s="7">
        <f t="shared" si="19"/>
        <v>0</v>
      </c>
    </row>
    <row r="73" spans="1:26" s="68" customFormat="1" ht="15" customHeight="1" outlineLevel="1" collapsed="1" x14ac:dyDescent="0.3">
      <c r="A73" s="26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SUM(OSRRefD22_15x_0)</f>
        <v>5671.2300000000005</v>
      </c>
      <c r="E73" s="2"/>
      <c r="F73" s="6">
        <f t="shared" si="12"/>
        <v>2.0875529320996747E-2</v>
      </c>
      <c r="G73" s="2"/>
      <c r="H73" s="2">
        <f>SUM(OSRRefH22_15x_0)</f>
        <v>-5689.18</v>
      </c>
      <c r="I73" s="2"/>
      <c r="J73" s="6">
        <f t="shared" si="13"/>
        <v>-9.9349177823813681E-2</v>
      </c>
      <c r="K73" s="2"/>
      <c r="L73" s="2">
        <f t="shared" si="14"/>
        <v>11360.41</v>
      </c>
      <c r="M73" s="2"/>
      <c r="N73" s="6">
        <f t="shared" si="15"/>
        <v>-1.9968448880154959</v>
      </c>
      <c r="O73" s="14"/>
      <c r="P73" s="2">
        <f>SUM(OSRRefP22_15x_0)</f>
        <v>60805.549999999996</v>
      </c>
      <c r="Q73" s="2"/>
      <c r="R73" s="6">
        <f t="shared" si="16"/>
        <v>5.5770966538566578E-2</v>
      </c>
      <c r="S73" s="2"/>
      <c r="T73" s="2">
        <f>SUM(OSRRefT22_15x_0)</f>
        <v>44416.71</v>
      </c>
      <c r="U73" s="2"/>
      <c r="V73" s="6">
        <f t="shared" si="17"/>
        <v>0.11580938688701804</v>
      </c>
      <c r="W73" s="2"/>
      <c r="X73" s="2">
        <f t="shared" si="18"/>
        <v>16388.839999999997</v>
      </c>
      <c r="Y73" s="2"/>
      <c r="Z73" s="6">
        <f t="shared" si="19"/>
        <v>0.36897915221546118</v>
      </c>
    </row>
    <row r="74" spans="1:26" s="69" customFormat="1" ht="15" hidden="1" customHeight="1" outlineLevel="2" x14ac:dyDescent="0.3">
      <c r="A74" s="25"/>
      <c r="B74" s="12" t="str">
        <f>CONCATENATE("          ","6282"," - ","JANITORIAL/EXTERMINATOR EXPENS")</f>
        <v xml:space="preserve">          6282 - JANITORIAL/EXTERMINATOR EXPENS</v>
      </c>
      <c r="C74" s="12"/>
      <c r="D74" s="8">
        <v>1116.6500000000001</v>
      </c>
      <c r="E74" s="3"/>
      <c r="F74" s="7">
        <f t="shared" si="12"/>
        <v>4.1103358206757649E-3</v>
      </c>
      <c r="G74" s="3"/>
      <c r="H74" s="8">
        <v>1581.06</v>
      </c>
      <c r="I74" s="3"/>
      <c r="J74" s="7">
        <f t="shared" si="13"/>
        <v>2.7609780511447846E-2</v>
      </c>
      <c r="K74" s="3"/>
      <c r="L74" s="8">
        <f t="shared" si="14"/>
        <v>-464.40999999999985</v>
      </c>
      <c r="M74" s="3"/>
      <c r="N74" s="7">
        <f t="shared" si="15"/>
        <v>-0.29373331815364367</v>
      </c>
      <c r="O74" s="12"/>
      <c r="P74" s="8">
        <v>9580.16</v>
      </c>
      <c r="Q74" s="3"/>
      <c r="R74" s="7">
        <f t="shared" si="16"/>
        <v>8.786941040647013E-3</v>
      </c>
      <c r="S74" s="3"/>
      <c r="T74" s="8">
        <v>8405.43</v>
      </c>
      <c r="U74" s="3"/>
      <c r="V74" s="7">
        <f t="shared" si="17"/>
        <v>2.1915799140047702E-2</v>
      </c>
      <c r="W74" s="3"/>
      <c r="X74" s="8">
        <f t="shared" si="18"/>
        <v>1174.7299999999996</v>
      </c>
      <c r="Y74" s="3"/>
      <c r="Z74" s="7">
        <f t="shared" si="19"/>
        <v>0.1397584656585088</v>
      </c>
    </row>
    <row r="75" spans="1:26" s="69" customFormat="1" ht="15" hidden="1" customHeight="1" outlineLevel="2" x14ac:dyDescent="0.3">
      <c r="A75" s="25"/>
      <c r="B75" s="12" t="str">
        <f>CONCATENATE("          ","6284"," - ","TRASH REMOVAL EXPENSE")</f>
        <v xml:space="preserve">          6284 - TRASH REMOVAL EXPENSE</v>
      </c>
      <c r="C75" s="12"/>
      <c r="D75" s="8"/>
      <c r="E75" s="3"/>
      <c r="F75" s="7">
        <f t="shared" si="12"/>
        <v>0</v>
      </c>
      <c r="G75" s="3"/>
      <c r="H75" s="8">
        <v>-8963</v>
      </c>
      <c r="I75" s="3"/>
      <c r="J75" s="7">
        <f t="shared" si="13"/>
        <v>-0.15651933685255906</v>
      </c>
      <c r="K75" s="3"/>
      <c r="L75" s="8">
        <f t="shared" si="14"/>
        <v>8963</v>
      </c>
      <c r="M75" s="3"/>
      <c r="N75" s="7">
        <f t="shared" si="15"/>
        <v>-1</v>
      </c>
      <c r="O75" s="12"/>
      <c r="P75" s="8"/>
      <c r="Q75" s="3"/>
      <c r="R75" s="7">
        <f t="shared" si="16"/>
        <v>0</v>
      </c>
      <c r="S75" s="3"/>
      <c r="T75" s="8">
        <v>20643</v>
      </c>
      <c r="U75" s="3"/>
      <c r="V75" s="7">
        <f t="shared" si="17"/>
        <v>5.3823283478418672E-2</v>
      </c>
      <c r="W75" s="3"/>
      <c r="X75" s="8">
        <f t="shared" si="18"/>
        <v>-20643</v>
      </c>
      <c r="Y75" s="3"/>
      <c r="Z75" s="7">
        <f t="shared" si="19"/>
        <v>-1</v>
      </c>
    </row>
    <row r="76" spans="1:26" s="69" customFormat="1" ht="15" hidden="1" customHeight="1" outlineLevel="2" x14ac:dyDescent="0.3">
      <c r="A76" s="25"/>
      <c r="B76" s="12" t="str">
        <f>CONCATENATE("          ","6285"," - ","JANITORIAL SERVICES")</f>
        <v xml:space="preserve">          6285 - JANITORIAL SERVICES</v>
      </c>
      <c r="C76" s="12"/>
      <c r="D76" s="8">
        <v>4060.07</v>
      </c>
      <c r="E76" s="3"/>
      <c r="F76" s="7">
        <f t="shared" si="12"/>
        <v>1.4944925585860431E-2</v>
      </c>
      <c r="G76" s="3"/>
      <c r="H76" s="8">
        <v>1692.76</v>
      </c>
      <c r="I76" s="3"/>
      <c r="J76" s="7">
        <f t="shared" si="13"/>
        <v>2.9560378517297543E-2</v>
      </c>
      <c r="K76" s="3"/>
      <c r="L76" s="8">
        <f t="shared" si="14"/>
        <v>2367.3100000000004</v>
      </c>
      <c r="M76" s="3"/>
      <c r="N76" s="7">
        <f t="shared" si="15"/>
        <v>1.3984912214371799</v>
      </c>
      <c r="O76" s="12"/>
      <c r="P76" s="8">
        <v>47808.18</v>
      </c>
      <c r="Q76" s="3"/>
      <c r="R76" s="7">
        <f t="shared" si="16"/>
        <v>4.3849753962422314E-2</v>
      </c>
      <c r="S76" s="3"/>
      <c r="T76" s="8">
        <v>14463.57</v>
      </c>
      <c r="U76" s="3"/>
      <c r="V76" s="7">
        <f t="shared" si="17"/>
        <v>3.7711419281109916E-2</v>
      </c>
      <c r="W76" s="3"/>
      <c r="X76" s="8">
        <f t="shared" si="18"/>
        <v>33344.61</v>
      </c>
      <c r="Y76" s="3"/>
      <c r="Z76" s="7">
        <f t="shared" si="19"/>
        <v>2.3054204459894758</v>
      </c>
    </row>
    <row r="77" spans="1:26" s="69" customFormat="1" ht="15" hidden="1" customHeight="1" outlineLevel="2" x14ac:dyDescent="0.3">
      <c r="A77" s="25"/>
      <c r="B77" s="12" t="str">
        <f>CONCATENATE("          ","6286"," - ","LAUNDRY EXPENSE")</f>
        <v xml:space="preserve">          6286 - LAUNDRY EXPENSE</v>
      </c>
      <c r="C77" s="12"/>
      <c r="D77" s="8">
        <v>494.51</v>
      </c>
      <c r="E77" s="3"/>
      <c r="F77" s="7">
        <f t="shared" si="12"/>
        <v>1.8202679144605491E-3</v>
      </c>
      <c r="G77" s="3"/>
      <c r="H77" s="8"/>
      <c r="I77" s="3"/>
      <c r="J77" s="7">
        <f t="shared" si="13"/>
        <v>0</v>
      </c>
      <c r="K77" s="3"/>
      <c r="L77" s="8">
        <f t="shared" si="14"/>
        <v>494.51</v>
      </c>
      <c r="M77" s="3"/>
      <c r="N77" s="7">
        <f t="shared" si="15"/>
        <v>0</v>
      </c>
      <c r="O77" s="12"/>
      <c r="P77" s="8">
        <v>3417.21</v>
      </c>
      <c r="Q77" s="3"/>
      <c r="R77" s="7">
        <f t="shared" si="16"/>
        <v>3.1342715354972547E-3</v>
      </c>
      <c r="S77" s="3"/>
      <c r="T77" s="8">
        <v>904.71</v>
      </c>
      <c r="U77" s="3"/>
      <c r="V77" s="7">
        <f t="shared" si="17"/>
        <v>2.3588849874417554E-3</v>
      </c>
      <c r="W77" s="3"/>
      <c r="X77" s="8">
        <f t="shared" si="18"/>
        <v>2512.5</v>
      </c>
      <c r="Y77" s="3"/>
      <c r="Z77" s="7">
        <f t="shared" si="19"/>
        <v>2.7771330039460156</v>
      </c>
    </row>
    <row r="78" spans="1:26" s="68" customFormat="1" ht="15" customHeight="1" outlineLevel="1" collapsed="1" x14ac:dyDescent="0.3">
      <c r="A78" s="26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SUM(OSRRefD22_16x_0)</f>
        <v>691.54</v>
      </c>
      <c r="E78" s="2"/>
      <c r="F78" s="6">
        <f t="shared" si="12"/>
        <v>2.5455260228631335E-3</v>
      </c>
      <c r="G78" s="2"/>
      <c r="H78" s="2">
        <f>SUM(OSRRefH22_16x_0)</f>
        <v>119.07</v>
      </c>
      <c r="I78" s="2"/>
      <c r="J78" s="6">
        <f t="shared" si="13"/>
        <v>2.0792990560118494E-3</v>
      </c>
      <c r="K78" s="2"/>
      <c r="L78" s="2">
        <f t="shared" si="14"/>
        <v>572.47</v>
      </c>
      <c r="M78" s="2"/>
      <c r="N78" s="6">
        <f t="shared" si="15"/>
        <v>4.8078441253044435</v>
      </c>
      <c r="O78" s="14"/>
      <c r="P78" s="2">
        <f>SUM(OSRRefP22_16x_0)</f>
        <v>5846.9</v>
      </c>
      <c r="Q78" s="2"/>
      <c r="R78" s="6">
        <f t="shared" si="16"/>
        <v>5.3627878418062973E-3</v>
      </c>
      <c r="S78" s="2"/>
      <c r="T78" s="2">
        <f>SUM(OSRRefT22_16x_0)</f>
        <v>916.08</v>
      </c>
      <c r="U78" s="2"/>
      <c r="V78" s="6">
        <f t="shared" si="17"/>
        <v>2.3885304233352603E-3</v>
      </c>
      <c r="W78" s="2"/>
      <c r="X78" s="2">
        <f t="shared" si="18"/>
        <v>4930.82</v>
      </c>
      <c r="Y78" s="2"/>
      <c r="Z78" s="6">
        <f t="shared" si="19"/>
        <v>5.3825211771897647</v>
      </c>
    </row>
    <row r="79" spans="1:26" s="69" customFormat="1" ht="15" hidden="1" customHeight="1" outlineLevel="2" x14ac:dyDescent="0.3">
      <c r="A79" s="25"/>
      <c r="B79" s="12" t="str">
        <f>CONCATENATE("          ","6275"," - ","SUBSCRIPTIONS")</f>
        <v xml:space="preserve">          6275 - SUBSCRIPTIONS</v>
      </c>
      <c r="C79" s="12"/>
      <c r="D79" s="8">
        <v>691.54</v>
      </c>
      <c r="E79" s="3"/>
      <c r="F79" s="7">
        <f t="shared" si="12"/>
        <v>2.5455260228631335E-3</v>
      </c>
      <c r="G79" s="3"/>
      <c r="H79" s="8">
        <v>119.07</v>
      </c>
      <c r="I79" s="3"/>
      <c r="J79" s="7">
        <f t="shared" si="13"/>
        <v>2.0792990560118494E-3</v>
      </c>
      <c r="K79" s="3"/>
      <c r="L79" s="8">
        <f t="shared" si="14"/>
        <v>572.47</v>
      </c>
      <c r="M79" s="3"/>
      <c r="N79" s="7">
        <f t="shared" si="15"/>
        <v>4.8078441253044435</v>
      </c>
      <c r="O79" s="12"/>
      <c r="P79" s="8">
        <v>5846.9</v>
      </c>
      <c r="Q79" s="3"/>
      <c r="R79" s="7">
        <f t="shared" si="16"/>
        <v>5.3627878418062973E-3</v>
      </c>
      <c r="S79" s="3"/>
      <c r="T79" s="8">
        <v>916.08</v>
      </c>
      <c r="U79" s="3"/>
      <c r="V79" s="7">
        <f t="shared" si="17"/>
        <v>2.3885304233352603E-3</v>
      </c>
      <c r="W79" s="3"/>
      <c r="X79" s="8">
        <f t="shared" si="18"/>
        <v>4930.82</v>
      </c>
      <c r="Y79" s="3"/>
      <c r="Z79" s="7">
        <f t="shared" si="19"/>
        <v>5.3825211771897647</v>
      </c>
    </row>
    <row r="80" spans="1:26" s="68" customFormat="1" ht="15" customHeight="1" outlineLevel="1" collapsed="1" x14ac:dyDescent="0.3">
      <c r="A80" s="26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SUM(OSRRefD22_17x_0)</f>
        <v>3973.4399999999996</v>
      </c>
      <c r="E80" s="2"/>
      <c r="F80" s="6">
        <f t="shared" si="12"/>
        <v>1.4626044654373265E-2</v>
      </c>
      <c r="G80" s="2"/>
      <c r="H80" s="2">
        <f>SUM(OSRRefH22_17x_0)</f>
        <v>94.92</v>
      </c>
      <c r="I80" s="2"/>
      <c r="J80" s="6">
        <f t="shared" si="13"/>
        <v>1.6575717342457779E-3</v>
      </c>
      <c r="K80" s="2"/>
      <c r="L80" s="2">
        <f t="shared" si="14"/>
        <v>3878.5199999999995</v>
      </c>
      <c r="M80" s="2"/>
      <c r="N80" s="6">
        <f t="shared" si="15"/>
        <v>40.860935524652334</v>
      </c>
      <c r="O80" s="14"/>
      <c r="P80" s="2">
        <f>SUM(OSRRefP22_17x_0)</f>
        <v>29120.46</v>
      </c>
      <c r="Q80" s="2"/>
      <c r="R80" s="6">
        <f t="shared" si="16"/>
        <v>2.6709341503327683E-2</v>
      </c>
      <c r="S80" s="2"/>
      <c r="T80" s="2">
        <f>SUM(OSRRefT22_17x_0)</f>
        <v>-21251.940000000002</v>
      </c>
      <c r="U80" s="2"/>
      <c r="V80" s="6">
        <f t="shared" si="17"/>
        <v>-5.5410996031891931E-2</v>
      </c>
      <c r="W80" s="2"/>
      <c r="X80" s="2">
        <f t="shared" si="18"/>
        <v>50372.4</v>
      </c>
      <c r="Y80" s="2"/>
      <c r="Z80" s="6">
        <f t="shared" si="19"/>
        <v>-2.3702494925169182</v>
      </c>
    </row>
    <row r="81" spans="1:26" s="69" customFormat="1" ht="15" hidden="1" customHeight="1" outlineLevel="2" x14ac:dyDescent="0.3">
      <c r="A81" s="25"/>
      <c r="B81" s="12" t="str">
        <f>CONCATENATE("          ","6234"," - ","EXPENDABLE SUPPLIES &amp; EQUIPMEN")</f>
        <v xml:space="preserve">          6234 - EXPENDABLE SUPPLIES &amp; EQUIPMEN</v>
      </c>
      <c r="C81" s="12"/>
      <c r="D81" s="8">
        <v>108.73</v>
      </c>
      <c r="E81" s="3"/>
      <c r="F81" s="7">
        <f t="shared" si="12"/>
        <v>4.0022998592403696E-4</v>
      </c>
      <c r="G81" s="3"/>
      <c r="H81" s="8"/>
      <c r="I81" s="3"/>
      <c r="J81" s="7">
        <f t="shared" si="13"/>
        <v>0</v>
      </c>
      <c r="K81" s="3"/>
      <c r="L81" s="8">
        <f t="shared" si="14"/>
        <v>108.73</v>
      </c>
      <c r="M81" s="3"/>
      <c r="N81" s="7">
        <f t="shared" si="15"/>
        <v>0</v>
      </c>
      <c r="O81" s="12"/>
      <c r="P81" s="8">
        <v>166.5</v>
      </c>
      <c r="Q81" s="3"/>
      <c r="R81" s="7">
        <f t="shared" si="16"/>
        <v>1.527141178506129E-4</v>
      </c>
      <c r="S81" s="3"/>
      <c r="T81" s="8">
        <v>310.91000000000003</v>
      </c>
      <c r="U81" s="3"/>
      <c r="V81" s="7">
        <f t="shared" si="17"/>
        <v>8.1064753506152943E-4</v>
      </c>
      <c r="W81" s="3"/>
      <c r="X81" s="8">
        <f t="shared" si="18"/>
        <v>-144.41000000000003</v>
      </c>
      <c r="Y81" s="3"/>
      <c r="Z81" s="7">
        <f t="shared" si="19"/>
        <v>-0.46447525007236823</v>
      </c>
    </row>
    <row r="82" spans="1:26" s="69" customFormat="1" ht="15" hidden="1" customHeight="1" outlineLevel="2" x14ac:dyDescent="0.3">
      <c r="A82" s="25"/>
      <c r="B82" s="12" t="str">
        <f>CONCATENATE("          ","6235"," - ","COVID-19 EXPENSES")</f>
        <v xml:space="preserve">          6235 - COVID-19 EXPENSES</v>
      </c>
      <c r="C82" s="12"/>
      <c r="D82" s="8">
        <v>107.16</v>
      </c>
      <c r="E82" s="3"/>
      <c r="F82" s="7">
        <f t="shared" si="12"/>
        <v>3.9445089020159844E-4</v>
      </c>
      <c r="G82" s="3"/>
      <c r="H82" s="8"/>
      <c r="I82" s="3"/>
      <c r="J82" s="7">
        <f t="shared" si="13"/>
        <v>0</v>
      </c>
      <c r="K82" s="3"/>
      <c r="L82" s="8">
        <f t="shared" si="14"/>
        <v>107.16</v>
      </c>
      <c r="M82" s="3"/>
      <c r="N82" s="7">
        <f t="shared" si="15"/>
        <v>0</v>
      </c>
      <c r="O82" s="12"/>
      <c r="P82" s="8">
        <v>619.08000000000004</v>
      </c>
      <c r="Q82" s="3"/>
      <c r="R82" s="7">
        <f t="shared" si="16"/>
        <v>5.6782135783157626E-4</v>
      </c>
      <c r="S82" s="3"/>
      <c r="T82" s="8">
        <v>6881.86</v>
      </c>
      <c r="U82" s="3"/>
      <c r="V82" s="7">
        <f t="shared" si="17"/>
        <v>1.7943336803700544E-2</v>
      </c>
      <c r="W82" s="3"/>
      <c r="X82" s="8">
        <f t="shared" si="18"/>
        <v>-6262.78</v>
      </c>
      <c r="Y82" s="3"/>
      <c r="Z82" s="7">
        <f t="shared" si="19"/>
        <v>-0.91004176196551512</v>
      </c>
    </row>
    <row r="83" spans="1:26" s="69" customFormat="1" ht="15" hidden="1" customHeight="1" outlineLevel="2" x14ac:dyDescent="0.3">
      <c r="A83" s="25"/>
      <c r="B83" s="12" t="str">
        <f>CONCATENATE("          ","6237"," - ","JANITORIAL SUPPLIES")</f>
        <v xml:space="preserve">          6237 - JANITORIAL SUPPLIES</v>
      </c>
      <c r="C83" s="12"/>
      <c r="D83" s="8">
        <v>414.52</v>
      </c>
      <c r="E83" s="3"/>
      <c r="F83" s="7">
        <f t="shared" si="12"/>
        <v>1.5258285088313418E-3</v>
      </c>
      <c r="G83" s="3"/>
      <c r="H83" s="8"/>
      <c r="I83" s="3"/>
      <c r="J83" s="7">
        <f t="shared" si="13"/>
        <v>0</v>
      </c>
      <c r="K83" s="3"/>
      <c r="L83" s="8">
        <f t="shared" si="14"/>
        <v>414.52</v>
      </c>
      <c r="M83" s="3"/>
      <c r="N83" s="7">
        <f t="shared" si="15"/>
        <v>0</v>
      </c>
      <c r="O83" s="12"/>
      <c r="P83" s="8">
        <v>6874.62</v>
      </c>
      <c r="Q83" s="3"/>
      <c r="R83" s="7">
        <f t="shared" si="16"/>
        <v>6.3054145877368198E-3</v>
      </c>
      <c r="S83" s="3"/>
      <c r="T83" s="8">
        <v>358.91</v>
      </c>
      <c r="U83" s="3"/>
      <c r="V83" s="7">
        <f t="shared" si="17"/>
        <v>9.3579977102355508E-4</v>
      </c>
      <c r="W83" s="3"/>
      <c r="X83" s="8">
        <f t="shared" si="18"/>
        <v>6515.71</v>
      </c>
      <c r="Y83" s="3"/>
      <c r="Z83" s="7">
        <f t="shared" si="19"/>
        <v>18.154161210331278</v>
      </c>
    </row>
    <row r="84" spans="1:26" s="69" customFormat="1" ht="15" hidden="1" customHeight="1" outlineLevel="2" x14ac:dyDescent="0.3">
      <c r="A84" s="25"/>
      <c r="B84" s="12" t="str">
        <f>CONCATENATE("          ","6239"," - ","KITCHEN SUPPLIES")</f>
        <v xml:space="preserve">          6239 - KITCHEN SUPPLIES</v>
      </c>
      <c r="C84" s="12"/>
      <c r="D84" s="8">
        <v>2501.89</v>
      </c>
      <c r="E84" s="3"/>
      <c r="F84" s="7">
        <f t="shared" si="12"/>
        <v>9.2093387242112457E-3</v>
      </c>
      <c r="G84" s="3"/>
      <c r="H84" s="8"/>
      <c r="I84" s="3"/>
      <c r="J84" s="7">
        <f t="shared" si="13"/>
        <v>0</v>
      </c>
      <c r="K84" s="3"/>
      <c r="L84" s="8">
        <f t="shared" si="14"/>
        <v>2501.89</v>
      </c>
      <c r="M84" s="3"/>
      <c r="N84" s="7">
        <f t="shared" si="15"/>
        <v>0</v>
      </c>
      <c r="O84" s="12"/>
      <c r="P84" s="8">
        <v>7200.94</v>
      </c>
      <c r="Q84" s="3"/>
      <c r="R84" s="7">
        <f t="shared" si="16"/>
        <v>6.6047159146858407E-3</v>
      </c>
      <c r="S84" s="3"/>
      <c r="T84" s="8">
        <v>19.829999999999998</v>
      </c>
      <c r="U84" s="3"/>
      <c r="V84" s="7">
        <f t="shared" si="17"/>
        <v>5.170351748181186E-5</v>
      </c>
      <c r="W84" s="3"/>
      <c r="X84" s="8">
        <f t="shared" si="18"/>
        <v>7181.11</v>
      </c>
      <c r="Y84" s="3"/>
      <c r="Z84" s="7">
        <f t="shared" si="19"/>
        <v>362.13363590519418</v>
      </c>
    </row>
    <row r="85" spans="1:26" s="69" customFormat="1" ht="15" hidden="1" customHeight="1" outlineLevel="2" x14ac:dyDescent="0.3">
      <c r="A85" s="25"/>
      <c r="B85" s="12" t="str">
        <f>CONCATENATE("          ","6241"," - ","OFFICE EXPENSE")</f>
        <v xml:space="preserve">          6241 - OFFICE EXPENSE</v>
      </c>
      <c r="C85" s="12"/>
      <c r="D85" s="8">
        <v>165.64</v>
      </c>
      <c r="E85" s="3"/>
      <c r="F85" s="7">
        <f t="shared" si="12"/>
        <v>6.0971300348070879E-4</v>
      </c>
      <c r="G85" s="3"/>
      <c r="H85" s="8"/>
      <c r="I85" s="3"/>
      <c r="J85" s="7">
        <f t="shared" si="13"/>
        <v>0</v>
      </c>
      <c r="K85" s="3"/>
      <c r="L85" s="8">
        <f t="shared" si="14"/>
        <v>165.64</v>
      </c>
      <c r="M85" s="3"/>
      <c r="N85" s="7">
        <f t="shared" si="15"/>
        <v>0</v>
      </c>
      <c r="O85" s="12"/>
      <c r="P85" s="8">
        <v>7515.47</v>
      </c>
      <c r="Q85" s="3"/>
      <c r="R85" s="7">
        <f t="shared" si="16"/>
        <v>6.8932034311276029E-3</v>
      </c>
      <c r="S85" s="3"/>
      <c r="T85" s="8">
        <v>-28983.86</v>
      </c>
      <c r="U85" s="3"/>
      <c r="V85" s="7">
        <f t="shared" si="17"/>
        <v>-7.5570726787714967E-2</v>
      </c>
      <c r="W85" s="3"/>
      <c r="X85" s="8">
        <f t="shared" si="18"/>
        <v>36499.33</v>
      </c>
      <c r="Y85" s="3"/>
      <c r="Z85" s="7">
        <f t="shared" si="19"/>
        <v>-1.2592984509309664</v>
      </c>
    </row>
    <row r="86" spans="1:26" s="69" customFormat="1" ht="15" hidden="1" customHeight="1" outlineLevel="2" x14ac:dyDescent="0.3">
      <c r="A86" s="25"/>
      <c r="B86" s="12" t="str">
        <f>CONCATENATE("          ","6243"," - ","PAPER SUPPLIES")</f>
        <v xml:space="preserve">          6243 - PAPER SUPPLIES</v>
      </c>
      <c r="C86" s="12"/>
      <c r="D86" s="8"/>
      <c r="E86" s="3"/>
      <c r="F86" s="7">
        <f t="shared" si="12"/>
        <v>0</v>
      </c>
      <c r="G86" s="3"/>
      <c r="H86" s="8">
        <v>94.92</v>
      </c>
      <c r="I86" s="3"/>
      <c r="J86" s="7">
        <f t="shared" si="13"/>
        <v>1.6575717342457779E-3</v>
      </c>
      <c r="K86" s="3"/>
      <c r="L86" s="8">
        <f t="shared" si="14"/>
        <v>-94.92</v>
      </c>
      <c r="M86" s="3"/>
      <c r="N86" s="7">
        <f t="shared" si="15"/>
        <v>-1</v>
      </c>
      <c r="O86" s="12"/>
      <c r="P86" s="8">
        <v>1821.91</v>
      </c>
      <c r="Q86" s="3"/>
      <c r="R86" s="7">
        <f t="shared" si="16"/>
        <v>1.6710593300493103E-3</v>
      </c>
      <c r="S86" s="3"/>
      <c r="T86" s="8">
        <v>160.41</v>
      </c>
      <c r="U86" s="3"/>
      <c r="V86" s="7">
        <f t="shared" si="17"/>
        <v>4.1824312855559461E-4</v>
      </c>
      <c r="W86" s="3"/>
      <c r="X86" s="8">
        <f t="shared" si="18"/>
        <v>1661.5</v>
      </c>
      <c r="Y86" s="3"/>
      <c r="Z86" s="7">
        <f t="shared" si="19"/>
        <v>10.357833052802194</v>
      </c>
    </row>
    <row r="87" spans="1:26" s="69" customFormat="1" ht="15" hidden="1" customHeight="1" outlineLevel="2" x14ac:dyDescent="0.3">
      <c r="A87" s="25"/>
      <c r="B87" s="12" t="str">
        <f>CONCATENATE("          ","6245"," - ","PRINTING")</f>
        <v xml:space="preserve">          6245 - PRINTING</v>
      </c>
      <c r="C87" s="12"/>
      <c r="D87" s="8"/>
      <c r="E87" s="3"/>
      <c r="F87" s="7">
        <f t="shared" si="12"/>
        <v>0</v>
      </c>
      <c r="G87" s="3"/>
      <c r="H87" s="8"/>
      <c r="I87" s="3"/>
      <c r="J87" s="7">
        <f t="shared" si="13"/>
        <v>0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>
        <v>1071</v>
      </c>
      <c r="Q87" s="3"/>
      <c r="R87" s="7">
        <f t="shared" si="16"/>
        <v>9.8232324455259108E-4</v>
      </c>
      <c r="S87" s="3"/>
      <c r="T87" s="8"/>
      <c r="U87" s="3"/>
      <c r="V87" s="7">
        <f t="shared" si="17"/>
        <v>0</v>
      </c>
      <c r="W87" s="3"/>
      <c r="X87" s="8">
        <f t="shared" si="18"/>
        <v>1071</v>
      </c>
      <c r="Y87" s="3"/>
      <c r="Z87" s="7">
        <f t="shared" si="19"/>
        <v>0</v>
      </c>
    </row>
    <row r="88" spans="1:26" s="69" customFormat="1" ht="15" hidden="1" customHeight="1" outlineLevel="2" x14ac:dyDescent="0.3">
      <c r="A88" s="25"/>
      <c r="B88" s="12" t="str">
        <f>CONCATENATE("          ","6247"," - ","STORE SUPPLIES")</f>
        <v xml:space="preserve">          6247 - STORE SUPPLIES</v>
      </c>
      <c r="C88" s="12"/>
      <c r="D88" s="8">
        <v>10</v>
      </c>
      <c r="E88" s="3"/>
      <c r="F88" s="7">
        <f t="shared" si="12"/>
        <v>3.6809526894512734E-5</v>
      </c>
      <c r="G88" s="3"/>
      <c r="H88" s="8"/>
      <c r="I88" s="3"/>
      <c r="J88" s="7">
        <f t="shared" si="13"/>
        <v>0</v>
      </c>
      <c r="K88" s="3"/>
      <c r="L88" s="8">
        <f t="shared" si="14"/>
        <v>10</v>
      </c>
      <c r="M88" s="3"/>
      <c r="N88" s="7">
        <f t="shared" si="15"/>
        <v>0</v>
      </c>
      <c r="O88" s="12"/>
      <c r="P88" s="8">
        <v>1060.94</v>
      </c>
      <c r="Q88" s="3"/>
      <c r="R88" s="7">
        <f t="shared" si="16"/>
        <v>9.7309619334792351E-4</v>
      </c>
      <c r="S88" s="3"/>
      <c r="T88" s="8"/>
      <c r="U88" s="3"/>
      <c r="V88" s="7">
        <f t="shared" si="17"/>
        <v>0</v>
      </c>
      <c r="W88" s="3"/>
      <c r="X88" s="8">
        <f t="shared" si="18"/>
        <v>1060.94</v>
      </c>
      <c r="Y88" s="3"/>
      <c r="Z88" s="7">
        <f t="shared" si="19"/>
        <v>0</v>
      </c>
    </row>
    <row r="89" spans="1:26" s="69" customFormat="1" ht="15" hidden="1" customHeight="1" outlineLevel="2" x14ac:dyDescent="0.3">
      <c r="A89" s="25"/>
      <c r="B89" s="12" t="str">
        <f>CONCATENATE("          ","6248"," - ","UNIFORMS")</f>
        <v xml:space="preserve">          6248 - UNIFORMS</v>
      </c>
      <c r="C89" s="12"/>
      <c r="D89" s="8">
        <v>665.5</v>
      </c>
      <c r="E89" s="3"/>
      <c r="F89" s="7">
        <f t="shared" ref="F89:F98" si="20">IF(D$12=0,0,D89/D$12)</f>
        <v>2.4496740148298225E-3</v>
      </c>
      <c r="G89" s="3"/>
      <c r="H89" s="8"/>
      <c r="I89" s="3"/>
      <c r="J89" s="7">
        <f t="shared" ref="J89:J98" si="21">IF(H$12=0,0,H89/H$12)</f>
        <v>0</v>
      </c>
      <c r="K89" s="3"/>
      <c r="L89" s="8">
        <f t="shared" ref="L89:L98" si="22">+D89-H89</f>
        <v>665.5</v>
      </c>
      <c r="M89" s="3"/>
      <c r="N89" s="7">
        <f t="shared" ref="N89:N98" si="23">IF(H89=0,0,L89/H89)</f>
        <v>0</v>
      </c>
      <c r="O89" s="12"/>
      <c r="P89" s="8">
        <v>2790</v>
      </c>
      <c r="Q89" s="3"/>
      <c r="R89" s="7">
        <f t="shared" ref="R89:R98" si="24">IF(P$12=0,0,P89/P$12)</f>
        <v>2.5589933261454052E-3</v>
      </c>
      <c r="S89" s="3"/>
      <c r="T89" s="8"/>
      <c r="U89" s="3"/>
      <c r="V89" s="7">
        <f t="shared" ref="V89:V98" si="25">IF(T$12=0,0,T89/T$12)</f>
        <v>0</v>
      </c>
      <c r="W89" s="3"/>
      <c r="X89" s="8">
        <f t="shared" ref="X89:X98" si="26">+P89-T89</f>
        <v>2790</v>
      </c>
      <c r="Y89" s="3"/>
      <c r="Z89" s="7">
        <f t="shared" ref="Z89:Z98" si="27">IF(T89=0,0,X89/T89)</f>
        <v>0</v>
      </c>
    </row>
    <row r="90" spans="1:26" s="68" customFormat="1" ht="15" customHeight="1" outlineLevel="1" collapsed="1" x14ac:dyDescent="0.3">
      <c r="A90" s="26"/>
      <c r="B90" s="14" t="str">
        <f>CONCATENATE("     ","Telephone/Data Lines                              ")</f>
        <v xml:space="preserve">     Telephone/Data Lines                              </v>
      </c>
      <c r="C90" s="14"/>
      <c r="D90" s="2">
        <f>SUM(OSRRefD22_18x_0)</f>
        <v>660.15</v>
      </c>
      <c r="E90" s="2"/>
      <c r="F90" s="6">
        <f t="shared" si="20"/>
        <v>2.4299809179412577E-3</v>
      </c>
      <c r="G90" s="2"/>
      <c r="H90" s="2">
        <f>SUM(OSRRefH22_18x_0)</f>
        <v>400</v>
      </c>
      <c r="I90" s="2"/>
      <c r="J90" s="6">
        <f t="shared" si="21"/>
        <v>6.9851316234546051E-3</v>
      </c>
      <c r="K90" s="2"/>
      <c r="L90" s="2">
        <f t="shared" si="22"/>
        <v>260.14999999999998</v>
      </c>
      <c r="M90" s="2"/>
      <c r="N90" s="6">
        <f t="shared" si="23"/>
        <v>0.65037499999999993</v>
      </c>
      <c r="O90" s="14"/>
      <c r="P90" s="2">
        <f>SUM(OSRRefP22_18x_0)</f>
        <v>5888.54</v>
      </c>
      <c r="Q90" s="2"/>
      <c r="R90" s="6">
        <f t="shared" si="24"/>
        <v>5.4009801292975862E-3</v>
      </c>
      <c r="S90" s="2"/>
      <c r="T90" s="2">
        <f>SUM(OSRRefT22_18x_0)</f>
        <v>5597.41</v>
      </c>
      <c r="U90" s="2"/>
      <c r="V90" s="6">
        <f t="shared" si="25"/>
        <v>1.4594341189504213E-2</v>
      </c>
      <c r="W90" s="2"/>
      <c r="X90" s="2">
        <f t="shared" si="26"/>
        <v>291.13000000000011</v>
      </c>
      <c r="Y90" s="2"/>
      <c r="Z90" s="6">
        <f t="shared" si="27"/>
        <v>5.2011555344346781E-2</v>
      </c>
    </row>
    <row r="91" spans="1:26" s="69" customFormat="1" ht="15" hidden="1" customHeight="1" outlineLevel="2" x14ac:dyDescent="0.3">
      <c r="A91" s="25"/>
      <c r="B91" s="12" t="str">
        <f>CONCATENATE("          ","6309"," - ","TELEPHONE")</f>
        <v xml:space="preserve">          6309 - TELEPHONE</v>
      </c>
      <c r="C91" s="12"/>
      <c r="D91" s="8">
        <v>660.15</v>
      </c>
      <c r="E91" s="3"/>
      <c r="F91" s="7">
        <f t="shared" si="20"/>
        <v>2.4299809179412577E-3</v>
      </c>
      <c r="G91" s="3"/>
      <c r="H91" s="8">
        <v>400</v>
      </c>
      <c r="I91" s="3"/>
      <c r="J91" s="7">
        <f t="shared" si="21"/>
        <v>6.9851316234546051E-3</v>
      </c>
      <c r="K91" s="3"/>
      <c r="L91" s="8">
        <f t="shared" si="22"/>
        <v>260.14999999999998</v>
      </c>
      <c r="M91" s="3"/>
      <c r="N91" s="7">
        <f t="shared" si="23"/>
        <v>0.65037499999999993</v>
      </c>
      <c r="O91" s="12"/>
      <c r="P91" s="8">
        <v>5888.54</v>
      </c>
      <c r="Q91" s="3"/>
      <c r="R91" s="7">
        <f t="shared" si="24"/>
        <v>5.4009801292975862E-3</v>
      </c>
      <c r="S91" s="3"/>
      <c r="T91" s="8">
        <v>5597.41</v>
      </c>
      <c r="U91" s="3"/>
      <c r="V91" s="7">
        <f t="shared" si="25"/>
        <v>1.4594341189504213E-2</v>
      </c>
      <c r="W91" s="3"/>
      <c r="X91" s="8">
        <f t="shared" si="26"/>
        <v>291.13000000000011</v>
      </c>
      <c r="Y91" s="3"/>
      <c r="Z91" s="7">
        <f t="shared" si="27"/>
        <v>5.2011555344346781E-2</v>
      </c>
    </row>
    <row r="92" spans="1:26" s="68" customFormat="1" ht="15" customHeight="1" outlineLevel="1" collapsed="1" x14ac:dyDescent="0.3">
      <c r="A92" s="26"/>
      <c r="B92" s="14" t="str">
        <f>CONCATENATE("     ","Training                                          ")</f>
        <v xml:space="preserve">     Training                                          </v>
      </c>
      <c r="C92" s="14"/>
      <c r="D92" s="2">
        <f>SUM(OSRRefD22_19x_0)</f>
        <v>0</v>
      </c>
      <c r="E92" s="2"/>
      <c r="F92" s="6">
        <f t="shared" si="20"/>
        <v>0</v>
      </c>
      <c r="G92" s="2"/>
      <c r="H92" s="2">
        <f>SUM(OSRRefH22_19x_0)</f>
        <v>0</v>
      </c>
      <c r="I92" s="2"/>
      <c r="J92" s="6">
        <f t="shared" si="21"/>
        <v>0</v>
      </c>
      <c r="K92" s="2"/>
      <c r="L92" s="2">
        <f t="shared" si="22"/>
        <v>0</v>
      </c>
      <c r="M92" s="2"/>
      <c r="N92" s="6">
        <f t="shared" si="23"/>
        <v>0</v>
      </c>
      <c r="O92" s="14"/>
      <c r="P92" s="2">
        <f>SUM(OSRRefP22_19x_0)</f>
        <v>480</v>
      </c>
      <c r="Q92" s="2"/>
      <c r="R92" s="6">
        <f t="shared" si="24"/>
        <v>4.4025691632609127E-4</v>
      </c>
      <c r="S92" s="2"/>
      <c r="T92" s="2">
        <f>SUM(OSRRefT22_19x_0)</f>
        <v>400</v>
      </c>
      <c r="U92" s="2"/>
      <c r="V92" s="6">
        <f t="shared" si="25"/>
        <v>1.0429352996835476E-3</v>
      </c>
      <c r="W92" s="2"/>
      <c r="X92" s="2">
        <f t="shared" si="26"/>
        <v>80</v>
      </c>
      <c r="Y92" s="2"/>
      <c r="Z92" s="6">
        <f t="shared" si="27"/>
        <v>0.2</v>
      </c>
    </row>
    <row r="93" spans="1:26" s="69" customFormat="1" ht="15" hidden="1" customHeight="1" outlineLevel="2" x14ac:dyDescent="0.3">
      <c r="A93" s="25"/>
      <c r="B93" s="12" t="str">
        <f>CONCATENATE("          ","6376"," - ","TRAINING")</f>
        <v xml:space="preserve">          6376 - TRAINING</v>
      </c>
      <c r="C93" s="12"/>
      <c r="D93" s="8"/>
      <c r="E93" s="3"/>
      <c r="F93" s="7">
        <f t="shared" si="20"/>
        <v>0</v>
      </c>
      <c r="G93" s="3"/>
      <c r="H93" s="8"/>
      <c r="I93" s="3"/>
      <c r="J93" s="7">
        <f t="shared" si="21"/>
        <v>0</v>
      </c>
      <c r="K93" s="3"/>
      <c r="L93" s="8">
        <f t="shared" si="22"/>
        <v>0</v>
      </c>
      <c r="M93" s="3"/>
      <c r="N93" s="7">
        <f t="shared" si="23"/>
        <v>0</v>
      </c>
      <c r="O93" s="12"/>
      <c r="P93" s="8">
        <v>480</v>
      </c>
      <c r="Q93" s="3"/>
      <c r="R93" s="7">
        <f t="shared" si="24"/>
        <v>4.4025691632609127E-4</v>
      </c>
      <c r="S93" s="3"/>
      <c r="T93" s="8">
        <v>400</v>
      </c>
      <c r="U93" s="3"/>
      <c r="V93" s="7">
        <f t="shared" si="25"/>
        <v>1.0429352996835476E-3</v>
      </c>
      <c r="W93" s="3"/>
      <c r="X93" s="8">
        <f t="shared" si="26"/>
        <v>80</v>
      </c>
      <c r="Y93" s="3"/>
      <c r="Z93" s="7">
        <f t="shared" si="27"/>
        <v>0.2</v>
      </c>
    </row>
    <row r="94" spans="1:26" s="68" customFormat="1" ht="15" customHeight="1" outlineLevel="1" collapsed="1" x14ac:dyDescent="0.3">
      <c r="A94" s="26"/>
      <c r="B94" s="14" t="str">
        <f>CONCATENATE("     ","Travel                                            ")</f>
        <v xml:space="preserve">     Travel                                            </v>
      </c>
      <c r="C94" s="14"/>
      <c r="D94" s="2">
        <f>SUM(OSRRefD22_20x_0)</f>
        <v>0</v>
      </c>
      <c r="E94" s="2"/>
      <c r="F94" s="6">
        <f t="shared" si="20"/>
        <v>0</v>
      </c>
      <c r="G94" s="2"/>
      <c r="H94" s="2">
        <f>SUM(OSRRefH22_20x_0)</f>
        <v>0</v>
      </c>
      <c r="I94" s="2"/>
      <c r="J94" s="6">
        <f t="shared" si="21"/>
        <v>0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SUM(OSRRefP22_20x_0)</f>
        <v>141.24</v>
      </c>
      <c r="Q94" s="2"/>
      <c r="R94" s="6">
        <f t="shared" si="24"/>
        <v>1.2954559762895236E-4</v>
      </c>
      <c r="S94" s="2"/>
      <c r="T94" s="2">
        <f>SUM(OSRRefT22_20x_0)</f>
        <v>332.21</v>
      </c>
      <c r="U94" s="2"/>
      <c r="V94" s="6">
        <f t="shared" si="25"/>
        <v>8.6618383976967825E-4</v>
      </c>
      <c r="W94" s="2"/>
      <c r="X94" s="2">
        <f t="shared" si="26"/>
        <v>-190.96999999999997</v>
      </c>
      <c r="Y94" s="2"/>
      <c r="Z94" s="6">
        <f t="shared" si="27"/>
        <v>-0.5748472351825652</v>
      </c>
    </row>
    <row r="95" spans="1:26" s="69" customFormat="1" ht="15" hidden="1" customHeight="1" outlineLevel="2" x14ac:dyDescent="0.3">
      <c r="A95" s="25"/>
      <c r="B95" s="12" t="str">
        <f>CONCATENATE("          ","6292"," - ","TRAVEL/CONFERENCE")</f>
        <v xml:space="preserve">          6292 - TRAVEL/CONFERENCE</v>
      </c>
      <c r="C95" s="12"/>
      <c r="D95" s="8"/>
      <c r="E95" s="3"/>
      <c r="F95" s="7">
        <f t="shared" si="20"/>
        <v>0</v>
      </c>
      <c r="G95" s="3"/>
      <c r="H95" s="8"/>
      <c r="I95" s="3"/>
      <c r="J95" s="7">
        <f t="shared" si="21"/>
        <v>0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18.59</v>
      </c>
      <c r="Q95" s="3"/>
      <c r="R95" s="7">
        <f t="shared" si="24"/>
        <v>1.705078348854591E-5</v>
      </c>
      <c r="S95" s="3"/>
      <c r="T95" s="8"/>
      <c r="U95" s="3"/>
      <c r="V95" s="7">
        <f t="shared" si="25"/>
        <v>0</v>
      </c>
      <c r="W95" s="3"/>
      <c r="X95" s="8">
        <f t="shared" si="26"/>
        <v>18.59</v>
      </c>
      <c r="Y95" s="3"/>
      <c r="Z95" s="7">
        <f t="shared" si="27"/>
        <v>0</v>
      </c>
    </row>
    <row r="96" spans="1:26" s="69" customFormat="1" ht="15" hidden="1" customHeight="1" outlineLevel="2" x14ac:dyDescent="0.3">
      <c r="A96" s="25"/>
      <c r="B96" s="12" t="str">
        <f>CONCATENATE("          ","6298"," - ","VEHICLE MILEAGE")</f>
        <v xml:space="preserve">          6298 - VEHICLE MILEAGE</v>
      </c>
      <c r="C96" s="12"/>
      <c r="D96" s="8"/>
      <c r="E96" s="3"/>
      <c r="F96" s="7">
        <f t="shared" si="20"/>
        <v>0</v>
      </c>
      <c r="G96" s="3"/>
      <c r="H96" s="8"/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>
        <v>122.65</v>
      </c>
      <c r="Q96" s="3"/>
      <c r="R96" s="7">
        <f t="shared" si="24"/>
        <v>1.1249481414040646E-4</v>
      </c>
      <c r="S96" s="3"/>
      <c r="T96" s="8">
        <v>332.21</v>
      </c>
      <c r="U96" s="3"/>
      <c r="V96" s="7">
        <f t="shared" si="25"/>
        <v>8.6618383976967825E-4</v>
      </c>
      <c r="W96" s="3"/>
      <c r="X96" s="8">
        <f t="shared" si="26"/>
        <v>-209.55999999999997</v>
      </c>
      <c r="Y96" s="3"/>
      <c r="Z96" s="7">
        <f t="shared" si="27"/>
        <v>-0.63080581559856708</v>
      </c>
    </row>
    <row r="97" spans="1:26" s="68" customFormat="1" ht="15" customHeight="1" outlineLevel="1" collapsed="1" x14ac:dyDescent="0.3">
      <c r="A97" s="26"/>
      <c r="B97" s="14" t="str">
        <f>CONCATENATE("     ","Utilities                                         ")</f>
        <v xml:space="preserve">     Utilities                                         </v>
      </c>
      <c r="C97" s="14"/>
      <c r="D97" s="2">
        <f>SUM(OSRRefD22_21x_0)</f>
        <v>8150</v>
      </c>
      <c r="E97" s="2"/>
      <c r="F97" s="6">
        <f t="shared" si="20"/>
        <v>2.9999764419027877E-2</v>
      </c>
      <c r="G97" s="2"/>
      <c r="H97" s="2">
        <f>SUM(OSRRefH22_21x_0)</f>
        <v>-9772</v>
      </c>
      <c r="I97" s="2"/>
      <c r="J97" s="6">
        <f t="shared" si="21"/>
        <v>-0.17064676556099601</v>
      </c>
      <c r="K97" s="2"/>
      <c r="L97" s="2">
        <f t="shared" si="22"/>
        <v>17922</v>
      </c>
      <c r="M97" s="2"/>
      <c r="N97" s="6">
        <f t="shared" si="23"/>
        <v>-1.8340155546459271</v>
      </c>
      <c r="O97" s="14"/>
      <c r="P97" s="2">
        <f>SUM(OSRRefP22_21x_0)</f>
        <v>70950</v>
      </c>
      <c r="Q97" s="2"/>
      <c r="R97" s="6">
        <f t="shared" si="24"/>
        <v>6.5075475444450359E-2</v>
      </c>
      <c r="S97" s="2"/>
      <c r="T97" s="2">
        <f>SUM(OSRRefT22_21x_0)</f>
        <v>-1460</v>
      </c>
      <c r="U97" s="2"/>
      <c r="V97" s="6">
        <f t="shared" si="25"/>
        <v>-3.8067138438449481E-3</v>
      </c>
      <c r="W97" s="2"/>
      <c r="X97" s="2">
        <f t="shared" si="26"/>
        <v>72410</v>
      </c>
      <c r="Y97" s="2"/>
      <c r="Z97" s="6">
        <f t="shared" si="27"/>
        <v>-49.595890410958901</v>
      </c>
    </row>
    <row r="98" spans="1:26" s="69" customFormat="1" ht="15" hidden="1" customHeight="1" outlineLevel="2" x14ac:dyDescent="0.3">
      <c r="A98" s="25"/>
      <c r="B98" s="12" t="str">
        <f>CONCATENATE("          ","6274"," - ","UTILITIES")</f>
        <v xml:space="preserve">          6274 - UTILITIES</v>
      </c>
      <c r="C98" s="12"/>
      <c r="D98" s="8">
        <v>8150</v>
      </c>
      <c r="E98" s="3"/>
      <c r="F98" s="7">
        <f t="shared" si="20"/>
        <v>2.9999764419027877E-2</v>
      </c>
      <c r="G98" s="3"/>
      <c r="H98" s="8">
        <v>-9772</v>
      </c>
      <c r="I98" s="3"/>
      <c r="J98" s="7">
        <f t="shared" si="21"/>
        <v>-0.17064676556099601</v>
      </c>
      <c r="K98" s="3"/>
      <c r="L98" s="8">
        <f t="shared" si="22"/>
        <v>17922</v>
      </c>
      <c r="M98" s="3"/>
      <c r="N98" s="7">
        <f t="shared" si="23"/>
        <v>-1.8340155546459271</v>
      </c>
      <c r="O98" s="12"/>
      <c r="P98" s="8">
        <v>70950</v>
      </c>
      <c r="Q98" s="3"/>
      <c r="R98" s="7">
        <f t="shared" si="24"/>
        <v>6.5075475444450359E-2</v>
      </c>
      <c r="S98" s="3"/>
      <c r="T98" s="8">
        <v>-1460</v>
      </c>
      <c r="U98" s="3"/>
      <c r="V98" s="7">
        <f t="shared" si="25"/>
        <v>-3.8067138438449481E-3</v>
      </c>
      <c r="W98" s="3"/>
      <c r="X98" s="8">
        <f t="shared" si="26"/>
        <v>72410</v>
      </c>
      <c r="Y98" s="3"/>
      <c r="Z98" s="7">
        <f t="shared" si="27"/>
        <v>-49.595890410958901</v>
      </c>
    </row>
    <row r="99" spans="1:26" s="64" customFormat="1" ht="15" customHeight="1" x14ac:dyDescent="0.3">
      <c r="A99" s="36"/>
      <c r="B99" s="36"/>
      <c r="C99" s="36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O99" s="36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62" customFormat="1" ht="15" customHeight="1" collapsed="1" x14ac:dyDescent="0.3">
      <c r="A100" s="11"/>
      <c r="B100" s="28" t="s">
        <v>290</v>
      </c>
      <c r="C100" s="11"/>
      <c r="D100" s="5">
        <f>SUM(OSRRefD25x_0)</f>
        <v>25319.38</v>
      </c>
      <c r="E100" s="5"/>
      <c r="F100" s="13">
        <f>IF(D$12=0,0,D100/D$12)</f>
        <v>9.3199439906238787E-2</v>
      </c>
      <c r="G100" s="5"/>
      <c r="H100" s="5">
        <f>SUM(OSRRefH25x_0)</f>
        <v>3116.44</v>
      </c>
      <c r="I100" s="5"/>
      <c r="J100" s="13">
        <f>IF(H$12=0,0,H100/H$12)</f>
        <v>5.442185899149718E-2</v>
      </c>
      <c r="K100" s="5"/>
      <c r="L100" s="5">
        <f>+D100-H100</f>
        <v>22202.940000000002</v>
      </c>
      <c r="M100" s="5"/>
      <c r="N100" s="13">
        <f>IF(H100=0,0,L100/H100)</f>
        <v>7.1244561101769976</v>
      </c>
      <c r="O100" s="11"/>
      <c r="P100" s="5">
        <f>SUM(OSRRefP25x_0)</f>
        <v>168534.85</v>
      </c>
      <c r="Q100" s="5"/>
      <c r="R100" s="13">
        <f>IF(P$12=0,0,P100/P$12)</f>
        <v>0.1545804861551674</v>
      </c>
      <c r="S100" s="5"/>
      <c r="T100" s="5">
        <f>SUM(OSRRefT25x_0)</f>
        <v>20865.659999999996</v>
      </c>
      <c r="U100" s="5"/>
      <c r="V100" s="13">
        <f>IF(T$12=0,0,T100/T$12)</f>
        <v>5.4403833412987511E-2</v>
      </c>
      <c r="W100" s="5"/>
      <c r="X100" s="5">
        <f>+P100-T100</f>
        <v>147669.19</v>
      </c>
      <c r="Y100" s="5"/>
      <c r="Z100" s="13">
        <f>IF(T100=0,0,X100/T100)</f>
        <v>7.07713966392628</v>
      </c>
    </row>
    <row r="101" spans="1:26" s="69" customFormat="1" ht="15" hidden="1" customHeight="1" outlineLevel="1" x14ac:dyDescent="0.3">
      <c r="A101" s="42"/>
      <c r="B101" s="12" t="str">
        <f>CONCATENATE("          ","9150"," - ","MISC. INCOME")</f>
        <v xml:space="preserve">          9150 - MISC. INCOME</v>
      </c>
      <c r="C101" s="12"/>
      <c r="D101" s="3">
        <f>--25319.38</f>
        <v>25319.38</v>
      </c>
      <c r="E101" s="3"/>
      <c r="F101" s="20">
        <f>IF(D$12=0,0,D101/D$12)</f>
        <v>9.3199439906238787E-2</v>
      </c>
      <c r="G101" s="3"/>
      <c r="H101" s="3">
        <f>--3116.44</f>
        <v>3116.44</v>
      </c>
      <c r="I101" s="3"/>
      <c r="J101" s="20">
        <f>IF(H$12=0,0,H101/H$12)</f>
        <v>5.442185899149718E-2</v>
      </c>
      <c r="K101" s="3"/>
      <c r="L101" s="3">
        <f>+D101-H101</f>
        <v>22202.940000000002</v>
      </c>
      <c r="M101" s="3"/>
      <c r="N101" s="20">
        <f>IF(H101=0,0,L101/H101)</f>
        <v>7.1244561101769976</v>
      </c>
      <c r="O101" s="12"/>
      <c r="P101" s="3">
        <f>--168534.85</f>
        <v>168534.85</v>
      </c>
      <c r="Q101" s="3"/>
      <c r="R101" s="20">
        <f>IF(P$12=0,0,P101/P$12)</f>
        <v>0.1545804861551674</v>
      </c>
      <c r="S101" s="3"/>
      <c r="T101" s="3">
        <f>--4844.49</f>
        <v>4844.49</v>
      </c>
      <c r="U101" s="3"/>
      <c r="V101" s="20">
        <f>IF(T$12=0,0,T101/T$12)</f>
        <v>1.2631224074909872E-2</v>
      </c>
      <c r="W101" s="3"/>
      <c r="X101" s="3">
        <f>+P101-T101</f>
        <v>163690.36000000002</v>
      </c>
      <c r="Y101" s="3"/>
      <c r="Z101" s="20">
        <f>IF(T101=0,0,X101/T101)</f>
        <v>33.788976755035108</v>
      </c>
    </row>
    <row r="102" spans="1:26" s="69" customFormat="1" ht="15" hidden="1" customHeight="1" outlineLevel="1" x14ac:dyDescent="0.3">
      <c r="A102" s="42"/>
      <c r="B102" s="12" t="str">
        <f>CONCATENATE("          ","9160"," - ","MISC. INCOME")</f>
        <v xml:space="preserve">          9160 - MISC. INCOME</v>
      </c>
      <c r="C102" s="12"/>
      <c r="D102" s="3">
        <f>0</f>
        <v>0</v>
      </c>
      <c r="E102" s="3"/>
      <c r="F102" s="20">
        <f>IF(D$12=0,0,D102/D$12)</f>
        <v>0</v>
      </c>
      <c r="G102" s="3"/>
      <c r="H102" s="3">
        <f>0</f>
        <v>0</v>
      </c>
      <c r="I102" s="3"/>
      <c r="J102" s="20">
        <f>IF(H$12=0,0,H102/H$12)</f>
        <v>0</v>
      </c>
      <c r="K102" s="3"/>
      <c r="L102" s="3">
        <f>+D102-H102</f>
        <v>0</v>
      </c>
      <c r="M102" s="3"/>
      <c r="N102" s="20">
        <f>IF(H102=0,0,L102/H102)</f>
        <v>0</v>
      </c>
      <c r="O102" s="12"/>
      <c r="P102" s="3">
        <f>0</f>
        <v>0</v>
      </c>
      <c r="Q102" s="3"/>
      <c r="R102" s="20">
        <f>IF(P$12=0,0,P102/P$12)</f>
        <v>0</v>
      </c>
      <c r="S102" s="3"/>
      <c r="T102" s="3">
        <f>--12882.96</f>
        <v>12882.96</v>
      </c>
      <c r="U102" s="3"/>
      <c r="V102" s="20">
        <f>IF(T$12=0,0,T102/T$12)</f>
        <v>3.3590234371027886E-2</v>
      </c>
      <c r="W102" s="3"/>
      <c r="X102" s="3">
        <f>+P102-T102</f>
        <v>-12882.96</v>
      </c>
      <c r="Y102" s="3"/>
      <c r="Z102" s="20">
        <f>IF(T102=0,0,X102/T102)</f>
        <v>-1</v>
      </c>
    </row>
    <row r="103" spans="1:26" s="69" customFormat="1" ht="15" hidden="1" customHeight="1" outlineLevel="1" x14ac:dyDescent="0.3">
      <c r="A103" s="42"/>
      <c r="B103" s="12" t="str">
        <f>CONCATENATE("          ","9165"," - ","OTHER INCOME")</f>
        <v xml:space="preserve">          9165 - OTHER INCOME</v>
      </c>
      <c r="C103" s="12"/>
      <c r="D103" s="3">
        <f>0</f>
        <v>0</v>
      </c>
      <c r="E103" s="3"/>
      <c r="F103" s="20">
        <f>IF(D$12=0,0,D103/D$12)</f>
        <v>0</v>
      </c>
      <c r="G103" s="3"/>
      <c r="H103" s="3">
        <f>0</f>
        <v>0</v>
      </c>
      <c r="I103" s="3"/>
      <c r="J103" s="20">
        <f>IF(H$12=0,0,H103/H$12)</f>
        <v>0</v>
      </c>
      <c r="K103" s="3"/>
      <c r="L103" s="3">
        <f>+D103-H103</f>
        <v>0</v>
      </c>
      <c r="M103" s="3"/>
      <c r="N103" s="20">
        <f>IF(H103=0,0,L103/H103)</f>
        <v>0</v>
      </c>
      <c r="O103" s="12"/>
      <c r="P103" s="3">
        <f>0</f>
        <v>0</v>
      </c>
      <c r="Q103" s="3"/>
      <c r="R103" s="20">
        <f>IF(P$12=0,0,P103/P$12)</f>
        <v>0</v>
      </c>
      <c r="S103" s="3"/>
      <c r="T103" s="3">
        <f>--3138.21</f>
        <v>3138.21</v>
      </c>
      <c r="U103" s="3"/>
      <c r="V103" s="20">
        <f>IF(T$12=0,0,T103/T$12)</f>
        <v>8.1823749670497641E-3</v>
      </c>
      <c r="W103" s="3"/>
      <c r="X103" s="3">
        <f>+P103-T103</f>
        <v>-3138.21</v>
      </c>
      <c r="Y103" s="3"/>
      <c r="Z103" s="20">
        <f>IF(T103=0,0,X103/T103)</f>
        <v>-1</v>
      </c>
    </row>
    <row r="104" spans="1:26" ht="15" customHeight="1" x14ac:dyDescent="0.3">
      <c r="A104" s="10"/>
      <c r="B104" s="11"/>
      <c r="C104" s="11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O104" s="11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3">
      <c r="A105" s="11"/>
      <c r="B105" s="27" t="s">
        <v>291</v>
      </c>
      <c r="C105" s="27"/>
      <c r="D105" s="22">
        <f>+D23-D25+D100</f>
        <v>-15072.55000000005</v>
      </c>
      <c r="E105" s="15"/>
      <c r="F105" s="21">
        <f>IF(D$12=0,0,D105/D$12)</f>
        <v>-5.5481343459388974E-2</v>
      </c>
      <c r="G105" s="15"/>
      <c r="H105" s="22">
        <f>+H23-H25+H100</f>
        <v>-31671.06000000003</v>
      </c>
      <c r="I105" s="15"/>
      <c r="J105" s="21">
        <f>IF(H$12=0,0,H105/H$12)</f>
        <v>-0.55306630688582104</v>
      </c>
      <c r="K105" s="17"/>
      <c r="L105" s="22">
        <f>+D105-H105</f>
        <v>16598.50999999998</v>
      </c>
      <c r="M105" s="17"/>
      <c r="N105" s="21">
        <f>IF(H105=0,0,L105/H105)</f>
        <v>-0.52409076298677604</v>
      </c>
      <c r="O105" s="28"/>
      <c r="P105" s="22">
        <f>+P23-P25+P100</f>
        <v>-812288.21</v>
      </c>
      <c r="Q105" s="15"/>
      <c r="R105" s="21">
        <f>IF(P$12=0,0,P105/P$12)</f>
        <v>-0.74503229688050088</v>
      </c>
      <c r="S105" s="15"/>
      <c r="T105" s="22">
        <f>+T23-T25+T100</f>
        <v>-597630.43000000005</v>
      </c>
      <c r="U105" s="15"/>
      <c r="V105" s="21">
        <f>IF(T$12=0,0,T105/T$12)</f>
        <v>-1.5582246790301435</v>
      </c>
      <c r="W105" s="17"/>
      <c r="X105" s="22">
        <f>+P105-T105</f>
        <v>-214657.77999999991</v>
      </c>
      <c r="Y105" s="17"/>
      <c r="Z105" s="21">
        <f>IF(T105=0,0,X105/T105)</f>
        <v>0.35918147608380635</v>
      </c>
    </row>
    <row r="106" spans="1:26" ht="15" customHeight="1" x14ac:dyDescent="0.3">
      <c r="A106" s="10"/>
      <c r="B106" s="11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48"/>
      <c r="B107" s="11" t="s">
        <v>292</v>
      </c>
      <c r="C107" s="11"/>
      <c r="D107" s="5">
        <v>27941.01</v>
      </c>
      <c r="E107" s="5"/>
      <c r="F107" s="13">
        <f>IF(D$12=0,0,D107/D$12)</f>
        <v>0.10284953590548492</v>
      </c>
      <c r="G107" s="5"/>
      <c r="H107" s="5">
        <v>14430.06</v>
      </c>
      <c r="I107" s="5"/>
      <c r="J107" s="13">
        <f>IF(H$12=0,0,H107/H$12)</f>
        <v>0.25198967108586839</v>
      </c>
      <c r="K107" s="5"/>
      <c r="L107" s="5">
        <f>+D107-H107</f>
        <v>13510.949999999999</v>
      </c>
      <c r="M107" s="5"/>
      <c r="N107" s="13">
        <f>IF(H107=0,0,L107/H107)</f>
        <v>0.93630587814603672</v>
      </c>
      <c r="O107" s="11"/>
      <c r="P107" s="5">
        <v>130121.34</v>
      </c>
      <c r="Q107" s="5"/>
      <c r="R107" s="13">
        <f>IF(P$12=0,0,P107/P$12)</f>
        <v>0.11934754145128931</v>
      </c>
      <c r="S107" s="5"/>
      <c r="T107" s="5">
        <v>79042.880000000005</v>
      </c>
      <c r="U107" s="5"/>
      <c r="V107" s="13">
        <f>IF(T$12=0,0,T107/T$12)</f>
        <v>0.2060915243516267</v>
      </c>
      <c r="W107" s="5"/>
      <c r="X107" s="5">
        <f>+P107-T107</f>
        <v>51078.459999999992</v>
      </c>
      <c r="Y107" s="5"/>
      <c r="Z107" s="13">
        <f>IF(T107=0,0,X107/T107)</f>
        <v>0.64621203073572209</v>
      </c>
    </row>
    <row r="108" spans="1:26" ht="15" customHeight="1" x14ac:dyDescent="0.3">
      <c r="A108" s="10"/>
      <c r="B108" s="11"/>
      <c r="C108" s="11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O108" s="11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s="62" customFormat="1" ht="15" customHeight="1" x14ac:dyDescent="0.3">
      <c r="A109" s="11"/>
      <c r="B109" s="27" t="s">
        <v>293</v>
      </c>
      <c r="C109" s="27"/>
      <c r="D109" s="34">
        <f>+D105-D107</f>
        <v>-43013.560000000049</v>
      </c>
      <c r="E109" s="15"/>
      <c r="F109" s="33">
        <f>IF(D$12=0,0,D109/D$12)</f>
        <v>-0.15833087936487389</v>
      </c>
      <c r="G109" s="15"/>
      <c r="H109" s="34">
        <f>+H105-H107</f>
        <v>-46101.120000000032</v>
      </c>
      <c r="I109" s="15"/>
      <c r="J109" s="33">
        <f>IF(H$12=0,0,H109/H$12)</f>
        <v>-0.80505597797168948</v>
      </c>
      <c r="K109" s="17"/>
      <c r="L109" s="34">
        <f>D109-H109</f>
        <v>3087.5599999999831</v>
      </c>
      <c r="M109" s="17"/>
      <c r="N109" s="33">
        <f>IF(H109=0,0,L109/H109)</f>
        <v>-6.6973644024266241E-2</v>
      </c>
      <c r="O109" s="28"/>
      <c r="P109" s="34">
        <f>+P105-P107</f>
        <v>-942409.54999999993</v>
      </c>
      <c r="Q109" s="15"/>
      <c r="R109" s="33">
        <f>IF(P$12=0,0,P109/P$12)</f>
        <v>-0.86437983833179022</v>
      </c>
      <c r="S109" s="15"/>
      <c r="T109" s="34">
        <f>+T105-T107</f>
        <v>-676673.31</v>
      </c>
      <c r="U109" s="15"/>
      <c r="V109" s="33">
        <f>IF(T$12=0,0,T109/T$12)</f>
        <v>-1.7643162033817701</v>
      </c>
      <c r="W109" s="17"/>
      <c r="X109" s="34">
        <f>P109-T109</f>
        <v>-265736.23999999987</v>
      </c>
      <c r="Y109" s="17"/>
      <c r="Z109" s="33">
        <f>IF(T109=0,0,X109/T109)</f>
        <v>0.39270979965206526</v>
      </c>
    </row>
    <row r="110" spans="1:26" ht="15" customHeight="1" x14ac:dyDescent="0.3">
      <c r="A110" s="10"/>
      <c r="B110" s="10"/>
      <c r="C110" s="10"/>
      <c r="D110" s="4"/>
      <c r="E110" s="4"/>
      <c r="F110" s="9"/>
      <c r="G110" s="4"/>
      <c r="H110" s="4"/>
      <c r="I110" s="4"/>
      <c r="J110" s="9"/>
      <c r="K110" s="4"/>
      <c r="L110" s="4"/>
      <c r="M110" s="4"/>
      <c r="N110" s="9"/>
      <c r="P110" s="4"/>
      <c r="Q110" s="4"/>
      <c r="R110" s="9"/>
      <c r="S110" s="4"/>
      <c r="T110" s="4"/>
      <c r="U110" s="4"/>
      <c r="V110" s="9"/>
      <c r="W110" s="4"/>
      <c r="X110" s="4"/>
      <c r="Y110" s="4"/>
      <c r="Z110" s="9"/>
    </row>
    <row r="111" spans="1:26" ht="15" customHeight="1" x14ac:dyDescent="0.3">
      <c r="A111" s="10"/>
      <c r="B111" s="10"/>
      <c r="C111" s="10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2" customFormat="1" ht="15" customHeight="1" x14ac:dyDescent="0.3">
      <c r="A112" s="11"/>
      <c r="B112" s="27" t="s">
        <v>296</v>
      </c>
      <c r="C112" s="27"/>
      <c r="D112" s="31">
        <f>SUM(D109:D111)</f>
        <v>-43013.560000000049</v>
      </c>
      <c r="E112" s="15"/>
      <c r="F112" s="32">
        <f>IF(D$12=0,0,D112/D$12)</f>
        <v>-0.15833087936487389</v>
      </c>
      <c r="G112" s="15"/>
      <c r="H112" s="31">
        <f>SUM(H109:H111)</f>
        <v>-46101.120000000032</v>
      </c>
      <c r="I112" s="15"/>
      <c r="J112" s="32">
        <f>IF(H$12=0,0,H112/H$12)</f>
        <v>-0.80505597797168948</v>
      </c>
      <c r="K112" s="17"/>
      <c r="L112" s="31">
        <f>+D112-H112</f>
        <v>3087.5599999999831</v>
      </c>
      <c r="M112" s="17"/>
      <c r="N112" s="32">
        <f>IF(H112=0,0,L112/H112)</f>
        <v>-6.6973644024266241E-2</v>
      </c>
      <c r="O112" s="28"/>
      <c r="P112" s="31">
        <f>SUM(P109:P111)</f>
        <v>-942409.54999999993</v>
      </c>
      <c r="Q112" s="15"/>
      <c r="R112" s="32">
        <f>IF(P$12=0,0,P112/P$12)</f>
        <v>-0.86437983833179022</v>
      </c>
      <c r="S112" s="15"/>
      <c r="T112" s="31">
        <f>SUM(T109:T111)</f>
        <v>-676673.31</v>
      </c>
      <c r="U112" s="15"/>
      <c r="V112" s="32">
        <f>IF(T$12=0,0,T112/T$12)</f>
        <v>-1.7643162033817701</v>
      </c>
      <c r="W112" s="17"/>
      <c r="X112" s="31">
        <f>+P112-T112</f>
        <v>-265736.23999999987</v>
      </c>
      <c r="Y112" s="17"/>
      <c r="Z112" s="32">
        <f>IF(T112=0,0,X112/T112)</f>
        <v>0.39270979965206526</v>
      </c>
    </row>
    <row r="113" spans="1:24" ht="15" customHeight="1" x14ac:dyDescent="0.3">
      <c r="A113" s="10"/>
      <c r="C113" s="10"/>
      <c r="D113" s="19"/>
      <c r="E113" s="19"/>
      <c r="G113" s="19"/>
      <c r="H113" s="19"/>
      <c r="I113" s="19"/>
      <c r="J113" s="40"/>
      <c r="K113" s="19"/>
      <c r="L113" s="19"/>
      <c r="M113" s="19"/>
      <c r="P113" s="19"/>
      <c r="Q113" s="19"/>
      <c r="R113" s="40"/>
      <c r="S113" s="19"/>
      <c r="T113" s="19"/>
      <c r="U113" s="19"/>
      <c r="V113" s="40"/>
      <c r="W113" s="19"/>
      <c r="X113" s="19"/>
    </row>
    <row r="114" spans="1:24" ht="15" customHeight="1" x14ac:dyDescent="0.3">
      <c r="A114" s="10"/>
      <c r="B114" s="56">
        <v>44663.038575381943</v>
      </c>
      <c r="D114" s="19"/>
      <c r="E114" s="19"/>
      <c r="G114" s="19"/>
      <c r="H114" s="19"/>
      <c r="I114" s="19"/>
      <c r="J114" s="40"/>
      <c r="K114" s="19"/>
      <c r="L114" s="19"/>
      <c r="M114" s="19"/>
      <c r="P114" s="19"/>
      <c r="Q114" s="19"/>
      <c r="R114" s="40"/>
      <c r="S114" s="19"/>
      <c r="T114" s="19"/>
      <c r="U114" s="19"/>
      <c r="V114" s="40"/>
      <c r="W114" s="19"/>
      <c r="X114" s="19"/>
    </row>
    <row r="115" spans="1:24" ht="15" customHeight="1" x14ac:dyDescent="0.3">
      <c r="A115" s="10"/>
      <c r="B115" s="57" t="s">
        <v>297</v>
      </c>
      <c r="D115" s="19"/>
      <c r="E115" s="19"/>
      <c r="G115" s="19"/>
      <c r="H115" s="19"/>
      <c r="I115" s="19"/>
      <c r="J115" s="40"/>
      <c r="K115" s="19"/>
      <c r="L115" s="19"/>
      <c r="M115" s="19"/>
      <c r="P115" s="19"/>
      <c r="Q115" s="19"/>
      <c r="R115" s="40"/>
      <c r="S115" s="19"/>
      <c r="T115" s="19"/>
      <c r="U115" s="19"/>
      <c r="V115" s="40"/>
      <c r="W115" s="19"/>
      <c r="X115" s="19"/>
    </row>
    <row r="116" spans="1:24" ht="15" customHeight="1" x14ac:dyDescent="0.3">
      <c r="A116" s="10"/>
      <c r="B116" s="58"/>
      <c r="D116" s="19"/>
      <c r="E116" s="19"/>
      <c r="G116" s="19"/>
      <c r="H116" s="19"/>
      <c r="I116" s="19"/>
      <c r="J116" s="40"/>
      <c r="K116" s="19"/>
      <c r="L116" s="19"/>
      <c r="M116" s="19"/>
      <c r="P116" s="19"/>
      <c r="Q116" s="19"/>
      <c r="R116" s="40"/>
      <c r="S116" s="19"/>
      <c r="T116" s="19"/>
      <c r="U116" s="19"/>
      <c r="V116" s="40"/>
      <c r="W116" s="19"/>
      <c r="X116" s="19"/>
    </row>
    <row r="117" spans="1:24" ht="15" customHeight="1" x14ac:dyDescent="0.3">
      <c r="D117" s="19"/>
      <c r="E117" s="19"/>
      <c r="G117" s="19"/>
      <c r="H117" s="19"/>
      <c r="I117" s="19"/>
      <c r="J117" s="40"/>
      <c r="K117" s="19"/>
      <c r="L117" s="19"/>
      <c r="M117" s="19"/>
      <c r="P117" s="19"/>
      <c r="Q117" s="19"/>
      <c r="R117" s="40"/>
      <c r="S117" s="19"/>
      <c r="T117" s="19"/>
      <c r="U117" s="19"/>
      <c r="V117" s="40"/>
      <c r="W117" s="19"/>
      <c r="X11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11DF-A1C7-718A-219D-0D714EFEBC18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","405"," - ","Caffeine Lab")</f>
        <v>Department 405 - Caffeine Lab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120253.98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120253.98</v>
      </c>
      <c r="M12" s="5"/>
      <c r="N12" s="13">
        <f>IF(H12=0,0,L12/H12)</f>
        <v>0</v>
      </c>
      <c r="O12" s="11"/>
      <c r="P12" s="5">
        <f>SUM(OSRRefP13x_0)</f>
        <v>482825.42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482825.42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--7118.64</f>
        <v>7118.64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7118.64</v>
      </c>
      <c r="M13" s="3"/>
      <c r="N13" s="20">
        <f>IF(H13=0,0,L13/H13)</f>
        <v>0</v>
      </c>
      <c r="O13" s="12"/>
      <c r="P13" s="3">
        <f>--50602.69</f>
        <v>50602.69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50602.69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--113135.34</f>
        <v>113135.34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113135.34</v>
      </c>
      <c r="M14" s="3"/>
      <c r="N14" s="20">
        <f>IF(H14=0,0,L14/H14)</f>
        <v>0</v>
      </c>
      <c r="O14" s="12"/>
      <c r="P14" s="3">
        <f>--432222.73</f>
        <v>432222.73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432222.73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8" t="s">
        <v>287</v>
      </c>
      <c r="C16" s="11"/>
      <c r="D16" s="5">
        <f>SUM(OSRRefD16x_0)</f>
        <v>54439.47</v>
      </c>
      <c r="E16" s="5"/>
      <c r="F16" s="13">
        <f>IF(D$12=0,0,D16/D$12)</f>
        <v>0.45270410176860676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54439.47</v>
      </c>
      <c r="M16" s="5"/>
      <c r="N16" s="13">
        <f>IF(H16=0,0,L16/H16)</f>
        <v>0</v>
      </c>
      <c r="O16" s="11"/>
      <c r="P16" s="5">
        <f>SUM(OSRRefP16x_0)</f>
        <v>212263.07</v>
      </c>
      <c r="Q16" s="5"/>
      <c r="R16" s="13">
        <f>IF(P$12=0,0,P16/P$12)</f>
        <v>0.43962695667514773</v>
      </c>
      <c r="S16" s="5"/>
      <c r="T16" s="5">
        <f>SUM(OSRRefT16x_0)</f>
        <v>-2369.5500000000002</v>
      </c>
      <c r="U16" s="5"/>
      <c r="V16" s="13">
        <f>IF(T$12=0,0,T16/T$12)</f>
        <v>0</v>
      </c>
      <c r="W16" s="5"/>
      <c r="X16" s="5">
        <f>+P16-T16</f>
        <v>214632.62</v>
      </c>
      <c r="Y16" s="5"/>
      <c r="Z16" s="13">
        <f>IF(T16=0,0,X16/T16)</f>
        <v>-90.579485556329246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32911.18</v>
      </c>
      <c r="E17" s="3"/>
      <c r="F17" s="20">
        <f>IF(D$12=0,0,D17/D$12)</f>
        <v>0.27368058836805237</v>
      </c>
      <c r="G17" s="3"/>
      <c r="H17" s="3"/>
      <c r="I17" s="3"/>
      <c r="J17" s="20">
        <f>IF(H$12=0,0,H17/H$12)</f>
        <v>0</v>
      </c>
      <c r="K17" s="3"/>
      <c r="L17" s="3">
        <f>+D17-H17</f>
        <v>32911.18</v>
      </c>
      <c r="M17" s="3"/>
      <c r="N17" s="20">
        <f>IF(H17=0,0,L17/H17)</f>
        <v>0</v>
      </c>
      <c r="O17" s="12"/>
      <c r="P17" s="3">
        <v>159755.06</v>
      </c>
      <c r="Q17" s="3"/>
      <c r="R17" s="20">
        <f>IF(P$12=0,0,P17/P$12)</f>
        <v>0.33087541248346036</v>
      </c>
      <c r="S17" s="3"/>
      <c r="T17" s="3">
        <v>-2369.5500000000002</v>
      </c>
      <c r="U17" s="3"/>
      <c r="V17" s="20">
        <f>IF(T$12=0,0,T17/T$12)</f>
        <v>0</v>
      </c>
      <c r="W17" s="3"/>
      <c r="X17" s="3">
        <f>+P17-T17</f>
        <v>162124.60999999999</v>
      </c>
      <c r="Y17" s="3"/>
      <c r="Z17" s="20">
        <f>IF(T17=0,0,X17/T17)</f>
        <v>-68.419999577978928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21528.29</v>
      </c>
      <c r="E18" s="3"/>
      <c r="F18" s="20">
        <f>IF(D$12=0,0,D18/D$12)</f>
        <v>0.17902351340055442</v>
      </c>
      <c r="G18" s="3"/>
      <c r="H18" s="3"/>
      <c r="I18" s="3"/>
      <c r="J18" s="20">
        <f>IF(H$12=0,0,H18/H$12)</f>
        <v>0</v>
      </c>
      <c r="K18" s="3"/>
      <c r="L18" s="3">
        <f>+D18-H18</f>
        <v>21528.29</v>
      </c>
      <c r="M18" s="3"/>
      <c r="N18" s="20">
        <f>IF(H18=0,0,L18/H18)</f>
        <v>0</v>
      </c>
      <c r="O18" s="12"/>
      <c r="P18" s="3">
        <v>52508.01</v>
      </c>
      <c r="Q18" s="3"/>
      <c r="R18" s="20">
        <f>IF(P$12=0,0,P18/P$12)</f>
        <v>0.10875154419168735</v>
      </c>
      <c r="S18" s="3"/>
      <c r="T18" s="3"/>
      <c r="U18" s="3"/>
      <c r="V18" s="20">
        <f>IF(T$12=0,0,T18/T$12)</f>
        <v>0</v>
      </c>
      <c r="W18" s="3"/>
      <c r="X18" s="3">
        <f>+P18-T18</f>
        <v>52508.01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7" t="s">
        <v>288</v>
      </c>
      <c r="C20" s="27"/>
      <c r="D20" s="22">
        <f>D12-D16</f>
        <v>65814.509999999995</v>
      </c>
      <c r="E20" s="15"/>
      <c r="F20" s="21">
        <f>IF(D$12=0,0,D20/D$12)</f>
        <v>0.54729589823139324</v>
      </c>
      <c r="G20" s="15"/>
      <c r="H20" s="22">
        <f>H12-H16</f>
        <v>0</v>
      </c>
      <c r="I20" s="15"/>
      <c r="J20" s="21">
        <f>IF(H$12=0,0,H20/H$12)</f>
        <v>0</v>
      </c>
      <c r="K20" s="17"/>
      <c r="L20" s="22">
        <f>+D20-H20</f>
        <v>65814.509999999995</v>
      </c>
      <c r="M20" s="17"/>
      <c r="N20" s="21">
        <f>IF(H20=0,0,L20/H20)</f>
        <v>0</v>
      </c>
      <c r="O20" s="28"/>
      <c r="P20" s="22">
        <f>P12-P16</f>
        <v>270562.34999999998</v>
      </c>
      <c r="Q20" s="15"/>
      <c r="R20" s="21">
        <f>IF(P$12=0,0,P20/P$12)</f>
        <v>0.56037304332485227</v>
      </c>
      <c r="S20" s="15"/>
      <c r="T20" s="22">
        <f>T12-T16</f>
        <v>2369.5500000000002</v>
      </c>
      <c r="U20" s="15"/>
      <c r="V20" s="21">
        <f>IF(T$12=0,0,T20/T$12)</f>
        <v>0</v>
      </c>
      <c r="W20" s="17"/>
      <c r="X20" s="22">
        <f>+P20-T20</f>
        <v>268192.8</v>
      </c>
      <c r="Y20" s="17"/>
      <c r="Z20" s="21">
        <f>IF(T20=0,0,X20/T20)</f>
        <v>113.18300943217065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8" t="s">
        <v>289</v>
      </c>
      <c r="C22" s="11"/>
      <c r="D22" s="23" cm="1">
        <f t="array" ref="D22">SUM(OSRRefD22x_0)</f>
        <v>50636.709999999992</v>
      </c>
      <c r="E22" s="23"/>
      <c r="F22" s="35">
        <f t="shared" ref="F22:F53" si="0">IF(D$12=0,0,D22/D$12)</f>
        <v>0.42108136462510426</v>
      </c>
      <c r="G22" s="23"/>
      <c r="H22" s="23" cm="1">
        <f t="array" ref="H22">SUM(OSRRefH22x_0)</f>
        <v>10256.36</v>
      </c>
      <c r="I22" s="23"/>
      <c r="J22" s="35">
        <f t="shared" ref="J22:J53" si="1">IF(H$12=0,0,H22/H$12)</f>
        <v>0</v>
      </c>
      <c r="K22" s="5"/>
      <c r="L22" s="23">
        <f t="shared" ref="L22:L53" si="2">+D22-H22</f>
        <v>40380.349999999991</v>
      </c>
      <c r="M22" s="5"/>
      <c r="N22" s="35">
        <f t="shared" ref="N22:N53" si="3">IF(H22=0,0,L22/H22)</f>
        <v>3.9371034168067411</v>
      </c>
      <c r="O22" s="11"/>
      <c r="P22" s="23" cm="1">
        <f t="array" ref="P22">SUM(OSRRefP22x_0)</f>
        <v>315633.77999999997</v>
      </c>
      <c r="Q22" s="23"/>
      <c r="R22" s="35">
        <f t="shared" ref="R22:R53" si="4">IF(P$12=0,0,P22/P$12)</f>
        <v>0.65372237443504944</v>
      </c>
      <c r="S22" s="23"/>
      <c r="T22" s="23" cm="1">
        <f t="array" ref="T22">SUM(OSRRefT22x_0)</f>
        <v>66838.42</v>
      </c>
      <c r="U22" s="23"/>
      <c r="V22" s="35">
        <f t="shared" ref="V22:V53" si="5">IF(T$12=0,0,T22/T$12)</f>
        <v>0</v>
      </c>
      <c r="W22" s="5"/>
      <c r="X22" s="23">
        <f t="shared" ref="X22:X53" si="6">+P22-T22</f>
        <v>248795.36</v>
      </c>
      <c r="Y22" s="5"/>
      <c r="Z22" s="35">
        <f t="shared" ref="Z22:Z53" si="7">IF(T22=0,0,X22/T22)</f>
        <v>3.7223405340820443</v>
      </c>
    </row>
    <row r="23" spans="1:26" s="68" customFormat="1" ht="15" customHeight="1" outlineLevel="1" collapsed="1" x14ac:dyDescent="0.3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5733.9600000000009</v>
      </c>
      <c r="E23" s="2"/>
      <c r="F23" s="6">
        <f t="shared" si="0"/>
        <v>4.7682080875826323E-2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5733.9600000000009</v>
      </c>
      <c r="M23" s="2"/>
      <c r="N23" s="6">
        <f t="shared" si="3"/>
        <v>0</v>
      </c>
      <c r="O23" s="14"/>
      <c r="P23" s="2">
        <f>SUM(OSRRefP22_0x_0)</f>
        <v>40771.79</v>
      </c>
      <c r="Q23" s="2"/>
      <c r="R23" s="6">
        <f t="shared" si="4"/>
        <v>8.4444166175012089E-2</v>
      </c>
      <c r="S23" s="2"/>
      <c r="T23" s="2">
        <f>SUM(OSRRefT22_0x_0)</f>
        <v>0.83</v>
      </c>
      <c r="U23" s="2"/>
      <c r="V23" s="6">
        <f t="shared" si="5"/>
        <v>0</v>
      </c>
      <c r="W23" s="2"/>
      <c r="X23" s="2">
        <f t="shared" si="6"/>
        <v>40770.959999999999</v>
      </c>
      <c r="Y23" s="2"/>
      <c r="Z23" s="6">
        <f t="shared" si="7"/>
        <v>49121.638554216872</v>
      </c>
    </row>
    <row r="24" spans="1:26" s="69" customFormat="1" ht="15" hidden="1" customHeight="1" outlineLevel="2" x14ac:dyDescent="0.3">
      <c r="A24" s="25"/>
      <c r="B24" s="12" t="str">
        <f>CONCATENATE("          ","6111"," - ","F.I.C.A.")</f>
        <v xml:space="preserve">          6111 - F.I.C.A.</v>
      </c>
      <c r="C24" s="12"/>
      <c r="D24" s="8">
        <v>987.32</v>
      </c>
      <c r="E24" s="3"/>
      <c r="F24" s="7">
        <f t="shared" si="0"/>
        <v>8.210289588752074E-3</v>
      </c>
      <c r="G24" s="3"/>
      <c r="H24" s="8"/>
      <c r="I24" s="3"/>
      <c r="J24" s="7">
        <f t="shared" si="1"/>
        <v>0</v>
      </c>
      <c r="K24" s="3"/>
      <c r="L24" s="8">
        <f t="shared" si="2"/>
        <v>987.32</v>
      </c>
      <c r="M24" s="3"/>
      <c r="N24" s="7">
        <f t="shared" si="3"/>
        <v>0</v>
      </c>
      <c r="O24" s="12"/>
      <c r="P24" s="8">
        <v>7301.62</v>
      </c>
      <c r="Q24" s="3"/>
      <c r="R24" s="7">
        <f t="shared" si="4"/>
        <v>1.5122691758855613E-2</v>
      </c>
      <c r="S24" s="3"/>
      <c r="T24" s="8">
        <v>0.83</v>
      </c>
      <c r="U24" s="3"/>
      <c r="V24" s="7">
        <f t="shared" si="5"/>
        <v>0</v>
      </c>
      <c r="W24" s="3"/>
      <c r="X24" s="8">
        <f t="shared" si="6"/>
        <v>7300.79</v>
      </c>
      <c r="Y24" s="3"/>
      <c r="Z24" s="7">
        <f t="shared" si="7"/>
        <v>8796.1325301204815</v>
      </c>
    </row>
    <row r="25" spans="1:26" s="69" customFormat="1" ht="15" hidden="1" customHeight="1" outlineLevel="2" x14ac:dyDescent="0.3">
      <c r="A25" s="25"/>
      <c r="B25" s="12" t="str">
        <f>CONCATENATE("          ","6112"," - ","COMPENSATION INSURANCE")</f>
        <v xml:space="preserve">          6112 - COMPENSATION INSURANCE</v>
      </c>
      <c r="C25" s="12"/>
      <c r="D25" s="8">
        <v>1111.4100000000001</v>
      </c>
      <c r="E25" s="3"/>
      <c r="F25" s="7">
        <f t="shared" si="0"/>
        <v>9.2421889071779596E-3</v>
      </c>
      <c r="G25" s="3"/>
      <c r="H25" s="8"/>
      <c r="I25" s="3"/>
      <c r="J25" s="7">
        <f t="shared" si="1"/>
        <v>0</v>
      </c>
      <c r="K25" s="3"/>
      <c r="L25" s="8">
        <f t="shared" si="2"/>
        <v>1111.4100000000001</v>
      </c>
      <c r="M25" s="3"/>
      <c r="N25" s="7">
        <f t="shared" si="3"/>
        <v>0</v>
      </c>
      <c r="O25" s="12"/>
      <c r="P25" s="8">
        <v>6034.16</v>
      </c>
      <c r="Q25" s="3"/>
      <c r="R25" s="7">
        <f t="shared" si="4"/>
        <v>1.2497602135363958E-2</v>
      </c>
      <c r="S25" s="3"/>
      <c r="T25" s="8"/>
      <c r="U25" s="3"/>
      <c r="V25" s="7">
        <f t="shared" si="5"/>
        <v>0</v>
      </c>
      <c r="W25" s="3"/>
      <c r="X25" s="8">
        <f t="shared" si="6"/>
        <v>6034.16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5"/>
      <c r="B26" s="12" t="str">
        <f>CONCATENATE("          ","6113"," - ","GROUP INSURANCE")</f>
        <v xml:space="preserve">          6113 - GROUP INSURANCE</v>
      </c>
      <c r="C26" s="12"/>
      <c r="D26" s="8">
        <v>2033.2</v>
      </c>
      <c r="E26" s="3"/>
      <c r="F26" s="7">
        <f t="shared" si="0"/>
        <v>1.6907548506918443E-2</v>
      </c>
      <c r="G26" s="3"/>
      <c r="H26" s="8"/>
      <c r="I26" s="3"/>
      <c r="J26" s="7">
        <f t="shared" si="1"/>
        <v>0</v>
      </c>
      <c r="K26" s="3"/>
      <c r="L26" s="8">
        <f t="shared" si="2"/>
        <v>2033.2</v>
      </c>
      <c r="M26" s="3"/>
      <c r="N26" s="7">
        <f t="shared" si="3"/>
        <v>0</v>
      </c>
      <c r="O26" s="12"/>
      <c r="P26" s="8">
        <v>13699.43</v>
      </c>
      <c r="Q26" s="3"/>
      <c r="R26" s="7">
        <f t="shared" si="4"/>
        <v>2.8373464677978223E-2</v>
      </c>
      <c r="S26" s="3"/>
      <c r="T26" s="8"/>
      <c r="U26" s="3"/>
      <c r="V26" s="7">
        <f t="shared" si="5"/>
        <v>0</v>
      </c>
      <c r="W26" s="3"/>
      <c r="X26" s="8">
        <f t="shared" si="6"/>
        <v>13699.43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80.27</v>
      </c>
      <c r="E27" s="3"/>
      <c r="F27" s="7">
        <f t="shared" si="0"/>
        <v>6.6750389467359005E-4</v>
      </c>
      <c r="G27" s="3"/>
      <c r="H27" s="8"/>
      <c r="I27" s="3"/>
      <c r="J27" s="7">
        <f t="shared" si="1"/>
        <v>0</v>
      </c>
      <c r="K27" s="3"/>
      <c r="L27" s="8">
        <f t="shared" si="2"/>
        <v>80.27</v>
      </c>
      <c r="M27" s="3"/>
      <c r="N27" s="7">
        <f t="shared" si="3"/>
        <v>0</v>
      </c>
      <c r="O27" s="12"/>
      <c r="P27" s="8">
        <v>435.8</v>
      </c>
      <c r="Q27" s="3"/>
      <c r="R27" s="7">
        <f t="shared" si="4"/>
        <v>9.0260367815762476E-4</v>
      </c>
      <c r="S27" s="3"/>
      <c r="T27" s="8"/>
      <c r="U27" s="3"/>
      <c r="V27" s="7">
        <f t="shared" si="5"/>
        <v>0</v>
      </c>
      <c r="W27" s="3"/>
      <c r="X27" s="8">
        <f t="shared" si="6"/>
        <v>435.8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5"/>
      <c r="B28" s="12" t="str">
        <f>CONCATENATE("          ","6115"," - ","P.E.R.S.")</f>
        <v xml:space="preserve">          6115 - P.E.R.S.</v>
      </c>
      <c r="C28" s="12"/>
      <c r="D28" s="8">
        <v>326.95999999999998</v>
      </c>
      <c r="E28" s="3"/>
      <c r="F28" s="7">
        <f t="shared" si="0"/>
        <v>2.7189120892298119E-3</v>
      </c>
      <c r="G28" s="3"/>
      <c r="H28" s="8"/>
      <c r="I28" s="3"/>
      <c r="J28" s="7">
        <f t="shared" si="1"/>
        <v>0</v>
      </c>
      <c r="K28" s="3"/>
      <c r="L28" s="8">
        <f t="shared" si="2"/>
        <v>326.95999999999998</v>
      </c>
      <c r="M28" s="3"/>
      <c r="N28" s="7">
        <f t="shared" si="3"/>
        <v>0</v>
      </c>
      <c r="O28" s="12"/>
      <c r="P28" s="8">
        <v>3637.35</v>
      </c>
      <c r="Q28" s="3"/>
      <c r="R28" s="7">
        <f t="shared" si="4"/>
        <v>7.5334683082758985E-3</v>
      </c>
      <c r="S28" s="3"/>
      <c r="T28" s="8"/>
      <c r="U28" s="3"/>
      <c r="V28" s="7">
        <f t="shared" si="5"/>
        <v>0</v>
      </c>
      <c r="W28" s="3"/>
      <c r="X28" s="8">
        <f t="shared" si="6"/>
        <v>3637.35</v>
      </c>
      <c r="Y28" s="3"/>
      <c r="Z28" s="7">
        <f t="shared" si="7"/>
        <v>0</v>
      </c>
    </row>
    <row r="29" spans="1:26" s="69" customFormat="1" ht="15" hidden="1" customHeight="1" outlineLevel="2" x14ac:dyDescent="0.3">
      <c r="A29" s="25"/>
      <c r="B29" s="12" t="str">
        <f>CONCATENATE("          ","6118"," - ","VACATION")</f>
        <v xml:space="preserve">          6118 - VACATION</v>
      </c>
      <c r="C29" s="12"/>
      <c r="D29" s="8">
        <v>324.33999999999997</v>
      </c>
      <c r="E29" s="3"/>
      <c r="F29" s="7">
        <f t="shared" si="0"/>
        <v>2.6971248685490491E-3</v>
      </c>
      <c r="G29" s="3"/>
      <c r="H29" s="8"/>
      <c r="I29" s="3"/>
      <c r="J29" s="7">
        <f t="shared" si="1"/>
        <v>0</v>
      </c>
      <c r="K29" s="3"/>
      <c r="L29" s="8">
        <f t="shared" si="2"/>
        <v>324.33999999999997</v>
      </c>
      <c r="M29" s="3"/>
      <c r="N29" s="7">
        <f t="shared" si="3"/>
        <v>0</v>
      </c>
      <c r="O29" s="12"/>
      <c r="P29" s="8">
        <v>2952.85</v>
      </c>
      <c r="Q29" s="3"/>
      <c r="R29" s="7">
        <f t="shared" si="4"/>
        <v>6.1157716178240991E-3</v>
      </c>
      <c r="S29" s="3"/>
      <c r="T29" s="8"/>
      <c r="U29" s="3"/>
      <c r="V29" s="7">
        <f t="shared" si="5"/>
        <v>0</v>
      </c>
      <c r="W29" s="3"/>
      <c r="X29" s="8">
        <f t="shared" si="6"/>
        <v>2952.85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5"/>
      <c r="B30" s="12" t="str">
        <f>CONCATENATE("          ","6119"," - ","SICK LEAVE")</f>
        <v xml:space="preserve">          6119 - SICK LEAVE</v>
      </c>
      <c r="C30" s="12"/>
      <c r="D30" s="8">
        <v>388.58</v>
      </c>
      <c r="E30" s="3"/>
      <c r="F30" s="7">
        <f t="shared" si="0"/>
        <v>3.2313275618819433E-3</v>
      </c>
      <c r="G30" s="3"/>
      <c r="H30" s="8"/>
      <c r="I30" s="3"/>
      <c r="J30" s="7">
        <f t="shared" si="1"/>
        <v>0</v>
      </c>
      <c r="K30" s="3"/>
      <c r="L30" s="8">
        <f t="shared" si="2"/>
        <v>388.58</v>
      </c>
      <c r="M30" s="3"/>
      <c r="N30" s="7">
        <f t="shared" si="3"/>
        <v>0</v>
      </c>
      <c r="O30" s="12"/>
      <c r="P30" s="8">
        <v>3447.33</v>
      </c>
      <c r="Q30" s="3"/>
      <c r="R30" s="7">
        <f t="shared" si="4"/>
        <v>7.1399099078089138E-3</v>
      </c>
      <c r="S30" s="3"/>
      <c r="T30" s="8"/>
      <c r="U30" s="3"/>
      <c r="V30" s="7">
        <f t="shared" si="5"/>
        <v>0</v>
      </c>
      <c r="W30" s="3"/>
      <c r="X30" s="8">
        <f t="shared" si="6"/>
        <v>3447.33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5"/>
      <c r="B31" s="12" t="str">
        <f>CONCATENATE("          ","6156"," - ","EMPLOYEE MEALS")</f>
        <v xml:space="preserve">          6156 - EMPLOYEE MEALS</v>
      </c>
      <c r="C31" s="12"/>
      <c r="D31" s="8">
        <v>481.88</v>
      </c>
      <c r="E31" s="3"/>
      <c r="F31" s="7">
        <f t="shared" si="0"/>
        <v>4.0071854586434478E-3</v>
      </c>
      <c r="G31" s="3"/>
      <c r="H31" s="8"/>
      <c r="I31" s="3"/>
      <c r="J31" s="7">
        <f t="shared" si="1"/>
        <v>0</v>
      </c>
      <c r="K31" s="3"/>
      <c r="L31" s="8">
        <f t="shared" si="2"/>
        <v>481.88</v>
      </c>
      <c r="M31" s="3"/>
      <c r="N31" s="7">
        <f t="shared" si="3"/>
        <v>0</v>
      </c>
      <c r="O31" s="12"/>
      <c r="P31" s="8">
        <v>3263.25</v>
      </c>
      <c r="Q31" s="3"/>
      <c r="R31" s="7">
        <f t="shared" si="4"/>
        <v>6.7586540907477489E-3</v>
      </c>
      <c r="S31" s="3"/>
      <c r="T31" s="8"/>
      <c r="U31" s="3"/>
      <c r="V31" s="7">
        <f t="shared" si="5"/>
        <v>0</v>
      </c>
      <c r="W31" s="3"/>
      <c r="X31" s="8">
        <f t="shared" si="6"/>
        <v>3263.25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6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30667.49</v>
      </c>
      <c r="E32" s="2"/>
      <c r="F32" s="6">
        <f t="shared" si="0"/>
        <v>0.25502266120422795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30667.49</v>
      </c>
      <c r="M32" s="2"/>
      <c r="N32" s="6">
        <f t="shared" si="3"/>
        <v>0</v>
      </c>
      <c r="O32" s="14"/>
      <c r="P32" s="2">
        <f>SUM(OSRRefP22_1x_0)</f>
        <v>170635</v>
      </c>
      <c r="Q32" s="2"/>
      <c r="R32" s="6">
        <f t="shared" si="4"/>
        <v>0.35340931303906908</v>
      </c>
      <c r="S32" s="2"/>
      <c r="T32" s="2">
        <f>SUM(OSRRefT22_1x_0)</f>
        <v>0</v>
      </c>
      <c r="U32" s="2"/>
      <c r="V32" s="6">
        <f t="shared" si="5"/>
        <v>0</v>
      </c>
      <c r="W32" s="2"/>
      <c r="X32" s="2">
        <f t="shared" si="6"/>
        <v>170635</v>
      </c>
      <c r="Y32" s="2"/>
      <c r="Z32" s="6">
        <f t="shared" si="7"/>
        <v>0</v>
      </c>
    </row>
    <row r="33" spans="1:26" s="69" customFormat="1" ht="15" hidden="1" customHeight="1" outlineLevel="2" x14ac:dyDescent="0.3">
      <c r="A33" s="25"/>
      <c r="B33" s="12" t="str">
        <f>CONCATENATE("          ","6002"," - ","STAFF SALARIES")</f>
        <v xml:space="preserve">          6002 - STAFF SALARIES</v>
      </c>
      <c r="C33" s="12"/>
      <c r="D33" s="8">
        <v>5115.3900000000003</v>
      </c>
      <c r="E33" s="3"/>
      <c r="F33" s="7">
        <f t="shared" si="0"/>
        <v>4.2538217861895301E-2</v>
      </c>
      <c r="G33" s="3"/>
      <c r="H33" s="8"/>
      <c r="I33" s="3"/>
      <c r="J33" s="7">
        <f t="shared" si="1"/>
        <v>0</v>
      </c>
      <c r="K33" s="3"/>
      <c r="L33" s="8">
        <f t="shared" si="2"/>
        <v>5115.3900000000003</v>
      </c>
      <c r="M33" s="3"/>
      <c r="N33" s="7">
        <f t="shared" si="3"/>
        <v>0</v>
      </c>
      <c r="O33" s="12"/>
      <c r="P33" s="8">
        <v>48192.19</v>
      </c>
      <c r="Q33" s="3"/>
      <c r="R33" s="7">
        <f t="shared" si="4"/>
        <v>9.9812868179144351E-2</v>
      </c>
      <c r="S33" s="3"/>
      <c r="T33" s="8"/>
      <c r="U33" s="3"/>
      <c r="V33" s="7">
        <f t="shared" si="5"/>
        <v>0</v>
      </c>
      <c r="W33" s="3"/>
      <c r="X33" s="8">
        <f t="shared" si="6"/>
        <v>48192.19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5"/>
      <c r="B34" s="12" t="str">
        <f>CONCATENATE("          ","6004"," - ","STAFF HOURLY")</f>
        <v xml:space="preserve">          6004 - STAFF HOURLY</v>
      </c>
      <c r="C34" s="12"/>
      <c r="D34" s="8">
        <v>2868.96</v>
      </c>
      <c r="E34" s="3"/>
      <c r="F34" s="7">
        <f t="shared" si="0"/>
        <v>2.3857505589419993E-2</v>
      </c>
      <c r="G34" s="3"/>
      <c r="H34" s="8"/>
      <c r="I34" s="3"/>
      <c r="J34" s="7">
        <f t="shared" si="1"/>
        <v>0</v>
      </c>
      <c r="K34" s="3"/>
      <c r="L34" s="8">
        <f t="shared" si="2"/>
        <v>2868.96</v>
      </c>
      <c r="M34" s="3"/>
      <c r="N34" s="7">
        <f t="shared" si="3"/>
        <v>0</v>
      </c>
      <c r="O34" s="12"/>
      <c r="P34" s="8">
        <v>19060.349999999999</v>
      </c>
      <c r="Q34" s="3"/>
      <c r="R34" s="7">
        <f t="shared" si="4"/>
        <v>3.9476691181669764E-2</v>
      </c>
      <c r="S34" s="3"/>
      <c r="T34" s="8"/>
      <c r="U34" s="3"/>
      <c r="V34" s="7">
        <f t="shared" si="5"/>
        <v>0</v>
      </c>
      <c r="W34" s="3"/>
      <c r="X34" s="8">
        <f t="shared" si="6"/>
        <v>19060.349999999999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5"/>
      <c r="B35" s="12" t="str">
        <f>CONCATENATE("          ","6005"," - ","TEMPORARY WAGES-HOURLY")</f>
        <v xml:space="preserve">          6005 - TEMPORARY WAGES-HOURLY</v>
      </c>
      <c r="C35" s="12"/>
      <c r="D35" s="8">
        <v>3215.71</v>
      </c>
      <c r="E35" s="3"/>
      <c r="F35" s="7">
        <f t="shared" si="0"/>
        <v>2.6740986036387322E-2</v>
      </c>
      <c r="G35" s="3"/>
      <c r="H35" s="8"/>
      <c r="I35" s="3"/>
      <c r="J35" s="7">
        <f t="shared" si="1"/>
        <v>0</v>
      </c>
      <c r="K35" s="3"/>
      <c r="L35" s="8">
        <f t="shared" si="2"/>
        <v>3215.71</v>
      </c>
      <c r="M35" s="3"/>
      <c r="N35" s="7">
        <f t="shared" si="3"/>
        <v>0</v>
      </c>
      <c r="O35" s="12"/>
      <c r="P35" s="8">
        <v>22138.19</v>
      </c>
      <c r="Q35" s="3"/>
      <c r="R35" s="7">
        <f t="shared" si="4"/>
        <v>4.5851334836512957E-2</v>
      </c>
      <c r="S35" s="3"/>
      <c r="T35" s="8"/>
      <c r="U35" s="3"/>
      <c r="V35" s="7">
        <f t="shared" si="5"/>
        <v>0</v>
      </c>
      <c r="W35" s="3"/>
      <c r="X35" s="8">
        <f t="shared" si="6"/>
        <v>22138.19</v>
      </c>
      <c r="Y35" s="3"/>
      <c r="Z35" s="7">
        <f t="shared" si="7"/>
        <v>0</v>
      </c>
    </row>
    <row r="36" spans="1:26" s="69" customFormat="1" ht="15" hidden="1" customHeight="1" outlineLevel="2" x14ac:dyDescent="0.3">
      <c r="A36" s="25"/>
      <c r="B36" s="12" t="str">
        <f>CONCATENATE("          ","6007"," - ","STUDENT HOURLY")</f>
        <v xml:space="preserve">          6007 - STUDENT HOURLY</v>
      </c>
      <c r="C36" s="12"/>
      <c r="D36" s="8">
        <v>19467.43</v>
      </c>
      <c r="E36" s="3"/>
      <c r="F36" s="7">
        <f t="shared" si="0"/>
        <v>0.16188595171652531</v>
      </c>
      <c r="G36" s="3"/>
      <c r="H36" s="8"/>
      <c r="I36" s="3"/>
      <c r="J36" s="7">
        <f t="shared" si="1"/>
        <v>0</v>
      </c>
      <c r="K36" s="3"/>
      <c r="L36" s="8">
        <f t="shared" si="2"/>
        <v>19467.43</v>
      </c>
      <c r="M36" s="3"/>
      <c r="N36" s="7">
        <f t="shared" si="3"/>
        <v>0</v>
      </c>
      <c r="O36" s="12"/>
      <c r="P36" s="8">
        <v>81244.27</v>
      </c>
      <c r="Q36" s="3"/>
      <c r="R36" s="7">
        <f t="shared" si="4"/>
        <v>0.16826841884174201</v>
      </c>
      <c r="S36" s="3"/>
      <c r="T36" s="8"/>
      <c r="U36" s="3"/>
      <c r="V36" s="7">
        <f t="shared" si="5"/>
        <v>0</v>
      </c>
      <c r="W36" s="3"/>
      <c r="X36" s="8">
        <f t="shared" si="6"/>
        <v>81244.27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6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258.61</v>
      </c>
      <c r="Q37" s="2"/>
      <c r="R37" s="6">
        <f t="shared" si="4"/>
        <v>5.3561802939041617E-4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258.61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5"/>
      <c r="B38" s="12" t="str">
        <f>CONCATENATE("          ","6362"," - ","ADVERTISING EXPENSE")</f>
        <v xml:space="preserve">          6362 - ADVERTISING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258.61</v>
      </c>
      <c r="Q38" s="3"/>
      <c r="R38" s="7">
        <f t="shared" si="4"/>
        <v>5.3561802939041617E-4</v>
      </c>
      <c r="S38" s="3"/>
      <c r="T38" s="8"/>
      <c r="U38" s="3"/>
      <c r="V38" s="7">
        <f t="shared" si="5"/>
        <v>0</v>
      </c>
      <c r="W38" s="3"/>
      <c r="X38" s="8">
        <f t="shared" si="6"/>
        <v>258.61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","Bad Debts/Over/Short                              ")</f>
        <v xml:space="preserve">     Bad Debts/Over/Short                              </v>
      </c>
      <c r="C39" s="14"/>
      <c r="D39" s="2">
        <f>SUM(OSRRefD22_3x_0)</f>
        <v>49.28</v>
      </c>
      <c r="E39" s="2"/>
      <c r="F39" s="6">
        <f t="shared" si="0"/>
        <v>4.0979932639235729E-4</v>
      </c>
      <c r="G39" s="2"/>
      <c r="H39" s="2">
        <f>SUM(OSRRefH22_3x_0)</f>
        <v>0</v>
      </c>
      <c r="I39" s="2"/>
      <c r="J39" s="6">
        <f t="shared" si="1"/>
        <v>0</v>
      </c>
      <c r="K39" s="2"/>
      <c r="L39" s="2">
        <f t="shared" si="2"/>
        <v>49.28</v>
      </c>
      <c r="M39" s="2"/>
      <c r="N39" s="6">
        <f t="shared" si="3"/>
        <v>0</v>
      </c>
      <c r="O39" s="14"/>
      <c r="P39" s="2">
        <f>SUM(OSRRefP22_3x_0)</f>
        <v>-15.09</v>
      </c>
      <c r="Q39" s="2"/>
      <c r="R39" s="6">
        <f t="shared" si="4"/>
        <v>-3.1253532591552451E-5</v>
      </c>
      <c r="S39" s="2"/>
      <c r="T39" s="2">
        <f>SUM(OSRRefT22_3x_0)</f>
        <v>0</v>
      </c>
      <c r="U39" s="2"/>
      <c r="V39" s="6">
        <f t="shared" si="5"/>
        <v>0</v>
      </c>
      <c r="W39" s="2"/>
      <c r="X39" s="2">
        <f t="shared" si="6"/>
        <v>-15.09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5"/>
      <c r="B40" s="12" t="str">
        <f>CONCATENATE("          ","6272"," - ","CASH (OVER/SHORT)")</f>
        <v xml:space="preserve">          6272 - CASH (OVER/SHORT)</v>
      </c>
      <c r="C40" s="12"/>
      <c r="D40" s="8">
        <v>49.28</v>
      </c>
      <c r="E40" s="3"/>
      <c r="F40" s="7">
        <f t="shared" si="0"/>
        <v>4.0979932639235729E-4</v>
      </c>
      <c r="G40" s="3"/>
      <c r="H40" s="8"/>
      <c r="I40" s="3"/>
      <c r="J40" s="7">
        <f t="shared" si="1"/>
        <v>0</v>
      </c>
      <c r="K40" s="3"/>
      <c r="L40" s="8">
        <f t="shared" si="2"/>
        <v>49.28</v>
      </c>
      <c r="M40" s="3"/>
      <c r="N40" s="7">
        <f t="shared" si="3"/>
        <v>0</v>
      </c>
      <c r="O40" s="12"/>
      <c r="P40" s="8">
        <v>-15.09</v>
      </c>
      <c r="Q40" s="3"/>
      <c r="R40" s="7">
        <f t="shared" si="4"/>
        <v>-3.1253532591552451E-5</v>
      </c>
      <c r="S40" s="3"/>
      <c r="T40" s="8"/>
      <c r="U40" s="3"/>
      <c r="V40" s="7">
        <f t="shared" si="5"/>
        <v>0</v>
      </c>
      <c r="W40" s="3"/>
      <c r="X40" s="8">
        <f t="shared" si="6"/>
        <v>-15.09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6"/>
      <c r="B41" s="14" t="str">
        <f>CONCATENATE("     ","Bank/card Fees                                    ")</f>
        <v xml:space="preserve">     Bank/card Fees                                    </v>
      </c>
      <c r="C41" s="14"/>
      <c r="D41" s="2">
        <f>SUM(OSRRefD22_4x_0)</f>
        <v>4175.34</v>
      </c>
      <c r="E41" s="2"/>
      <c r="F41" s="6">
        <f t="shared" si="0"/>
        <v>3.472101297603622E-2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4175.34</v>
      </c>
      <c r="M41" s="2"/>
      <c r="N41" s="6">
        <f t="shared" si="3"/>
        <v>0</v>
      </c>
      <c r="O41" s="14"/>
      <c r="P41" s="2">
        <f>SUM(OSRRefP22_4x_0)</f>
        <v>17043.849999999999</v>
      </c>
      <c r="Q41" s="2"/>
      <c r="R41" s="6">
        <f t="shared" si="4"/>
        <v>3.5300233363852296E-2</v>
      </c>
      <c r="S41" s="2"/>
      <c r="T41" s="2">
        <f>SUM(OSRRefT22_4x_0)</f>
        <v>0</v>
      </c>
      <c r="U41" s="2"/>
      <c r="V41" s="6">
        <f t="shared" si="5"/>
        <v>0</v>
      </c>
      <c r="W41" s="2"/>
      <c r="X41" s="2">
        <f t="shared" si="6"/>
        <v>17043.849999999999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5"/>
      <c r="B42" s="12" t="str">
        <f>CONCATENATE("          ","6381"," - ","BANK/CREDIT CARD FEES")</f>
        <v xml:space="preserve">          6381 - BANK/CREDIT CARD FEES</v>
      </c>
      <c r="C42" s="12"/>
      <c r="D42" s="8">
        <v>4175.34</v>
      </c>
      <c r="E42" s="3"/>
      <c r="F42" s="7">
        <f t="shared" si="0"/>
        <v>3.472101297603622E-2</v>
      </c>
      <c r="G42" s="3"/>
      <c r="H42" s="8"/>
      <c r="I42" s="3"/>
      <c r="J42" s="7">
        <f t="shared" si="1"/>
        <v>0</v>
      </c>
      <c r="K42" s="3"/>
      <c r="L42" s="8">
        <f t="shared" si="2"/>
        <v>4175.34</v>
      </c>
      <c r="M42" s="3"/>
      <c r="N42" s="7">
        <f t="shared" si="3"/>
        <v>0</v>
      </c>
      <c r="O42" s="12"/>
      <c r="P42" s="8">
        <v>17043.849999999999</v>
      </c>
      <c r="Q42" s="3"/>
      <c r="R42" s="7">
        <f t="shared" si="4"/>
        <v>3.5300233363852296E-2</v>
      </c>
      <c r="S42" s="3"/>
      <c r="T42" s="8"/>
      <c r="U42" s="3"/>
      <c r="V42" s="7">
        <f t="shared" si="5"/>
        <v>0</v>
      </c>
      <c r="W42" s="3"/>
      <c r="X42" s="8">
        <f t="shared" si="6"/>
        <v>17043.849999999999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6"/>
      <c r="B43" s="14" t="str">
        <f>CONCATENATE("     ","Depreciation                                      ")</f>
        <v xml:space="preserve">     Depreciation                                      </v>
      </c>
      <c r="C43" s="14"/>
      <c r="D43" s="2">
        <f>SUM(OSRRefD22_5x_0)</f>
        <v>4626.5</v>
      </c>
      <c r="E43" s="2"/>
      <c r="F43" s="6">
        <f t="shared" si="0"/>
        <v>3.8472739114331189E-2</v>
      </c>
      <c r="G43" s="2"/>
      <c r="H43" s="2">
        <f>SUM(OSRRefH22_5x_0)</f>
        <v>5233.01</v>
      </c>
      <c r="I43" s="2"/>
      <c r="J43" s="6">
        <f t="shared" si="1"/>
        <v>0</v>
      </c>
      <c r="K43" s="2"/>
      <c r="L43" s="2">
        <f t="shared" si="2"/>
        <v>-606.51000000000022</v>
      </c>
      <c r="M43" s="2"/>
      <c r="N43" s="6">
        <f t="shared" si="3"/>
        <v>-0.11590079132277603</v>
      </c>
      <c r="O43" s="14"/>
      <c r="P43" s="2">
        <f>SUM(OSRRefP22_5x_0)</f>
        <v>41638.5</v>
      </c>
      <c r="Q43" s="2"/>
      <c r="R43" s="6">
        <f t="shared" si="4"/>
        <v>8.6239245647008397E-2</v>
      </c>
      <c r="S43" s="2"/>
      <c r="T43" s="2">
        <f>SUM(OSRRefT22_5x_0)</f>
        <v>47388.21</v>
      </c>
      <c r="U43" s="2"/>
      <c r="V43" s="6">
        <f t="shared" si="5"/>
        <v>0</v>
      </c>
      <c r="W43" s="2"/>
      <c r="X43" s="2">
        <f t="shared" si="6"/>
        <v>-5749.7099999999991</v>
      </c>
      <c r="Y43" s="2"/>
      <c r="Z43" s="6">
        <f t="shared" si="7"/>
        <v>-0.12133207816881032</v>
      </c>
    </row>
    <row r="44" spans="1:26" s="69" customFormat="1" ht="15" hidden="1" customHeight="1" outlineLevel="2" x14ac:dyDescent="0.3">
      <c r="A44" s="25"/>
      <c r="B44" s="12" t="str">
        <f>CONCATENATE("          ","6321"," - ","BUILDING DEPRECIATION")</f>
        <v xml:space="preserve">          6321 - BUILDING DEPRECIATION</v>
      </c>
      <c r="C44" s="12"/>
      <c r="D44" s="8">
        <v>4626.5</v>
      </c>
      <c r="E44" s="3"/>
      <c r="F44" s="7">
        <f t="shared" si="0"/>
        <v>3.8472739114331189E-2</v>
      </c>
      <c r="G44" s="3"/>
      <c r="H44" s="8">
        <v>4626.5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41638.5</v>
      </c>
      <c r="Q44" s="3"/>
      <c r="R44" s="7">
        <f t="shared" si="4"/>
        <v>8.6239245647008397E-2</v>
      </c>
      <c r="S44" s="3"/>
      <c r="T44" s="8">
        <v>41638.5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hidden="1" customHeight="1" outlineLevel="2" x14ac:dyDescent="0.3">
      <c r="A45" s="25"/>
      <c r="B45" s="12" t="str">
        <f>CONCATENATE("          ","6322"," - ","EQUIPMENT DEPRECIATION EXPENSE")</f>
        <v xml:space="preserve">          6322 - EQUIPMENT DEPRECIATION EXPENSE</v>
      </c>
      <c r="C45" s="12"/>
      <c r="D45" s="8"/>
      <c r="E45" s="3"/>
      <c r="F45" s="7">
        <f t="shared" si="0"/>
        <v>0</v>
      </c>
      <c r="G45" s="3"/>
      <c r="H45" s="8">
        <v>606.51</v>
      </c>
      <c r="I45" s="3"/>
      <c r="J45" s="7">
        <f t="shared" si="1"/>
        <v>0</v>
      </c>
      <c r="K45" s="3"/>
      <c r="L45" s="8">
        <f t="shared" si="2"/>
        <v>-606.51</v>
      </c>
      <c r="M45" s="3"/>
      <c r="N45" s="7">
        <f t="shared" si="3"/>
        <v>-1</v>
      </c>
      <c r="O45" s="12"/>
      <c r="P45" s="8"/>
      <c r="Q45" s="3"/>
      <c r="R45" s="7">
        <f t="shared" si="4"/>
        <v>0</v>
      </c>
      <c r="S45" s="3"/>
      <c r="T45" s="8">
        <v>5749.71</v>
      </c>
      <c r="U45" s="3"/>
      <c r="V45" s="7">
        <f t="shared" si="5"/>
        <v>0</v>
      </c>
      <c r="W45" s="3"/>
      <c r="X45" s="8">
        <f t="shared" si="6"/>
        <v>-5749.71</v>
      </c>
      <c r="Y45" s="3"/>
      <c r="Z45" s="7">
        <f t="shared" si="7"/>
        <v>-1</v>
      </c>
    </row>
    <row r="46" spans="1:26" s="68" customFormat="1" ht="15" customHeight="1" outlineLevel="1" collapsed="1" x14ac:dyDescent="0.3">
      <c r="A46" s="26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246.92</v>
      </c>
      <c r="Q46" s="2"/>
      <c r="R46" s="6">
        <f t="shared" si="4"/>
        <v>5.1140637955640362E-4</v>
      </c>
      <c r="S46" s="2"/>
      <c r="T46" s="2">
        <f>SUM(OSRRefT22_6x_0)</f>
        <v>0</v>
      </c>
      <c r="U46" s="2"/>
      <c r="V46" s="6">
        <f t="shared" si="5"/>
        <v>0</v>
      </c>
      <c r="W46" s="2"/>
      <c r="X46" s="2">
        <f t="shared" si="6"/>
        <v>246.92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5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246.92</v>
      </c>
      <c r="Q47" s="3"/>
      <c r="R47" s="7">
        <f t="shared" si="4"/>
        <v>5.1140637955640362E-4</v>
      </c>
      <c r="S47" s="3"/>
      <c r="T47" s="8"/>
      <c r="U47" s="3"/>
      <c r="V47" s="7">
        <f t="shared" si="5"/>
        <v>0</v>
      </c>
      <c r="W47" s="3"/>
      <c r="X47" s="8">
        <f t="shared" si="6"/>
        <v>246.92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6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0</v>
      </c>
      <c r="Q48" s="2"/>
      <c r="R48" s="6">
        <f t="shared" si="4"/>
        <v>0</v>
      </c>
      <c r="S48" s="2"/>
      <c r="T48" s="2">
        <f>SUM(OSRRefT22_7x_0)</f>
        <v>96.3</v>
      </c>
      <c r="U48" s="2"/>
      <c r="V48" s="6">
        <f t="shared" si="5"/>
        <v>0</v>
      </c>
      <c r="W48" s="2"/>
      <c r="X48" s="2">
        <f t="shared" si="6"/>
        <v>-96.3</v>
      </c>
      <c r="Y48" s="2"/>
      <c r="Z48" s="6">
        <f t="shared" si="7"/>
        <v>-1</v>
      </c>
    </row>
    <row r="49" spans="1:26" s="69" customFormat="1" ht="15" hidden="1" customHeight="1" outlineLevel="2" x14ac:dyDescent="0.3">
      <c r="A49" s="25"/>
      <c r="B49" s="12" t="str">
        <f>CONCATENATE("          ","6351"," - ","EQUIPMENT RENTAL")</f>
        <v xml:space="preserve">          6351 - EQUIPMENT RENTAL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/>
      <c r="Q49" s="3"/>
      <c r="R49" s="7">
        <f t="shared" si="4"/>
        <v>0</v>
      </c>
      <c r="S49" s="3"/>
      <c r="T49" s="8">
        <v>96.3</v>
      </c>
      <c r="U49" s="3"/>
      <c r="V49" s="7">
        <f t="shared" si="5"/>
        <v>0</v>
      </c>
      <c r="W49" s="3"/>
      <c r="X49" s="8">
        <f t="shared" si="6"/>
        <v>-96.3</v>
      </c>
      <c r="Y49" s="3"/>
      <c r="Z49" s="7">
        <f t="shared" si="7"/>
        <v>-1</v>
      </c>
    </row>
    <row r="50" spans="1:26" s="68" customFormat="1" ht="15" customHeight="1" outlineLevel="1" collapsed="1" x14ac:dyDescent="0.3">
      <c r="A50" s="26"/>
      <c r="B50" s="14" t="str">
        <f>CONCATENATE("     ","General                                           ")</f>
        <v xml:space="preserve">     General                                           </v>
      </c>
      <c r="C50" s="14"/>
      <c r="D50" s="2">
        <f>SUM(OSRRefD22_8x_0)</f>
        <v>40.049999999999997</v>
      </c>
      <c r="E50" s="2"/>
      <c r="F50" s="6">
        <f t="shared" si="0"/>
        <v>3.3304511002463287E-4</v>
      </c>
      <c r="G50" s="2"/>
      <c r="H50" s="2">
        <f>SUM(OSRRefH22_8x_0)</f>
        <v>0</v>
      </c>
      <c r="I50" s="2"/>
      <c r="J50" s="6">
        <f t="shared" si="1"/>
        <v>0</v>
      </c>
      <c r="K50" s="2"/>
      <c r="L50" s="2">
        <f t="shared" si="2"/>
        <v>40.049999999999997</v>
      </c>
      <c r="M50" s="2"/>
      <c r="N50" s="6">
        <f t="shared" si="3"/>
        <v>0</v>
      </c>
      <c r="O50" s="14"/>
      <c r="P50" s="2">
        <f>SUM(OSRRefP22_8x_0)</f>
        <v>1933.35</v>
      </c>
      <c r="Q50" s="2"/>
      <c r="R50" s="6">
        <f t="shared" si="4"/>
        <v>4.0042423615558598E-3</v>
      </c>
      <c r="S50" s="2"/>
      <c r="T50" s="2">
        <f>SUM(OSRRefT22_8x_0)</f>
        <v>0</v>
      </c>
      <c r="U50" s="2"/>
      <c r="V50" s="6">
        <f t="shared" si="5"/>
        <v>0</v>
      </c>
      <c r="W50" s="2"/>
      <c r="X50" s="2">
        <f t="shared" si="6"/>
        <v>1933.35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","6279"," - ","GENERAL EXPENSE")</f>
        <v xml:space="preserve">          6279 - GENERAL EXPENSE</v>
      </c>
      <c r="C51" s="12"/>
      <c r="D51" s="8">
        <v>40.049999999999997</v>
      </c>
      <c r="E51" s="3"/>
      <c r="F51" s="7">
        <f t="shared" si="0"/>
        <v>3.3304511002463287E-4</v>
      </c>
      <c r="G51" s="3"/>
      <c r="H51" s="8"/>
      <c r="I51" s="3"/>
      <c r="J51" s="7">
        <f t="shared" si="1"/>
        <v>0</v>
      </c>
      <c r="K51" s="3"/>
      <c r="L51" s="8">
        <f t="shared" si="2"/>
        <v>40.049999999999997</v>
      </c>
      <c r="M51" s="3"/>
      <c r="N51" s="7">
        <f t="shared" si="3"/>
        <v>0</v>
      </c>
      <c r="O51" s="12"/>
      <c r="P51" s="8">
        <v>1933.35</v>
      </c>
      <c r="Q51" s="3"/>
      <c r="R51" s="7">
        <f t="shared" si="4"/>
        <v>4.0042423615558598E-3</v>
      </c>
      <c r="S51" s="3"/>
      <c r="T51" s="8">
        <v>0</v>
      </c>
      <c r="U51" s="3"/>
      <c r="V51" s="7">
        <f t="shared" si="5"/>
        <v>0</v>
      </c>
      <c r="W51" s="3"/>
      <c r="X51" s="8">
        <f t="shared" si="6"/>
        <v>1933.35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6"/>
      <c r="B52" s="14" t="str">
        <f>CONCATENATE("     ","Rent                                              ")</f>
        <v xml:space="preserve">     Rent                                              </v>
      </c>
      <c r="C52" s="14"/>
      <c r="D52" s="2">
        <f>SUM(OSRRefD22_9x_0)</f>
        <v>1850</v>
      </c>
      <c r="E52" s="2"/>
      <c r="F52" s="6">
        <f t="shared" si="0"/>
        <v>1.5384106205881919E-2</v>
      </c>
      <c r="G52" s="2"/>
      <c r="H52" s="2">
        <f>SUM(OSRRefH22_9x_0)</f>
        <v>0</v>
      </c>
      <c r="I52" s="2"/>
      <c r="J52" s="6">
        <f t="shared" si="1"/>
        <v>0</v>
      </c>
      <c r="K52" s="2"/>
      <c r="L52" s="2">
        <f t="shared" si="2"/>
        <v>1850</v>
      </c>
      <c r="M52" s="2"/>
      <c r="N52" s="6">
        <f t="shared" si="3"/>
        <v>0</v>
      </c>
      <c r="O52" s="14"/>
      <c r="P52" s="2">
        <f>SUM(OSRRefP22_9x_0)</f>
        <v>16650</v>
      </c>
      <c r="Q52" s="2"/>
      <c r="R52" s="6">
        <f t="shared" si="4"/>
        <v>3.4484514092070796E-2</v>
      </c>
      <c r="S52" s="2"/>
      <c r="T52" s="2">
        <f>SUM(OSRRefT22_9x_0)</f>
        <v>11100</v>
      </c>
      <c r="U52" s="2"/>
      <c r="V52" s="6">
        <f t="shared" si="5"/>
        <v>0</v>
      </c>
      <c r="W52" s="2"/>
      <c r="X52" s="2">
        <f t="shared" si="6"/>
        <v>5550</v>
      </c>
      <c r="Y52" s="2"/>
      <c r="Z52" s="6">
        <f t="shared" si="7"/>
        <v>0.5</v>
      </c>
    </row>
    <row r="53" spans="1:26" s="69" customFormat="1" ht="15" hidden="1" customHeight="1" outlineLevel="2" x14ac:dyDescent="0.3">
      <c r="A53" s="25"/>
      <c r="B53" s="12" t="str">
        <f>CONCATENATE("          ","6273"," - ","RENT")</f>
        <v xml:space="preserve">          6273 - RENT</v>
      </c>
      <c r="C53" s="12"/>
      <c r="D53" s="8">
        <v>1850</v>
      </c>
      <c r="E53" s="3"/>
      <c r="F53" s="7">
        <f t="shared" si="0"/>
        <v>1.5384106205881919E-2</v>
      </c>
      <c r="G53" s="3"/>
      <c r="H53" s="8"/>
      <c r="I53" s="3"/>
      <c r="J53" s="7">
        <f t="shared" si="1"/>
        <v>0</v>
      </c>
      <c r="K53" s="3"/>
      <c r="L53" s="8">
        <f t="shared" si="2"/>
        <v>1850</v>
      </c>
      <c r="M53" s="3"/>
      <c r="N53" s="7">
        <f t="shared" si="3"/>
        <v>0</v>
      </c>
      <c r="O53" s="12"/>
      <c r="P53" s="8">
        <v>16650</v>
      </c>
      <c r="Q53" s="3"/>
      <c r="R53" s="7">
        <f t="shared" si="4"/>
        <v>3.4484514092070796E-2</v>
      </c>
      <c r="S53" s="3"/>
      <c r="T53" s="8">
        <v>11100</v>
      </c>
      <c r="U53" s="3"/>
      <c r="V53" s="7">
        <f t="shared" si="5"/>
        <v>0</v>
      </c>
      <c r="W53" s="3"/>
      <c r="X53" s="8">
        <f t="shared" si="6"/>
        <v>5550</v>
      </c>
      <c r="Y53" s="3"/>
      <c r="Z53" s="7">
        <f t="shared" si="7"/>
        <v>0.5</v>
      </c>
    </row>
    <row r="54" spans="1:26" s="68" customFormat="1" ht="15" customHeight="1" outlineLevel="1" collapsed="1" x14ac:dyDescent="0.3">
      <c r="A54" s="26"/>
      <c r="B54" s="14" t="str">
        <f>CONCATENATE("     ","Repair and Maintenance                            ")</f>
        <v xml:space="preserve">     Repair and Maintenance                            </v>
      </c>
      <c r="C54" s="14"/>
      <c r="D54" s="2">
        <f>SUM(OSRRefD22_10x_0)</f>
        <v>554.38</v>
      </c>
      <c r="E54" s="2"/>
      <c r="F54" s="6">
        <f t="shared" ref="F54:F79" si="8">IF(D$12=0,0,D54/D$12)</f>
        <v>4.610076107252334E-3</v>
      </c>
      <c r="G54" s="2"/>
      <c r="H54" s="2">
        <f>SUM(OSRRefH22_10x_0)</f>
        <v>5622.35</v>
      </c>
      <c r="I54" s="2"/>
      <c r="J54" s="6">
        <f t="shared" ref="J54:J79" si="9">IF(H$12=0,0,H54/H$12)</f>
        <v>0</v>
      </c>
      <c r="K54" s="2"/>
      <c r="L54" s="2">
        <f t="shared" ref="L54:L79" si="10">+D54-H54</f>
        <v>-5067.97</v>
      </c>
      <c r="M54" s="2"/>
      <c r="N54" s="6">
        <f t="shared" ref="N54:N79" si="11">IF(H54=0,0,L54/H54)</f>
        <v>-0.90139710263501915</v>
      </c>
      <c r="O54" s="14"/>
      <c r="P54" s="2">
        <f>SUM(OSRRefP22_10x_0)</f>
        <v>5997.39</v>
      </c>
      <c r="Q54" s="2"/>
      <c r="R54" s="6">
        <f t="shared" ref="R54:R79" si="12">IF(P$12=0,0,P54/P$12)</f>
        <v>1.2421446244483152E-2</v>
      </c>
      <c r="S54" s="2"/>
      <c r="T54" s="2">
        <f>SUM(OSRRefT22_10x_0)</f>
        <v>6387.65</v>
      </c>
      <c r="U54" s="2"/>
      <c r="V54" s="6">
        <f t="shared" ref="V54:V79" si="13">IF(T$12=0,0,T54/T$12)</f>
        <v>0</v>
      </c>
      <c r="W54" s="2"/>
      <c r="X54" s="2">
        <f t="shared" ref="X54:X79" si="14">+P54-T54</f>
        <v>-390.25999999999931</v>
      </c>
      <c r="Y54" s="2"/>
      <c r="Z54" s="6">
        <f t="shared" ref="Z54:Z79" si="15">IF(T54=0,0,X54/T54)</f>
        <v>-6.1096021228464199E-2</v>
      </c>
    </row>
    <row r="55" spans="1:26" s="69" customFormat="1" ht="15" hidden="1" customHeight="1" outlineLevel="2" x14ac:dyDescent="0.3">
      <c r="A55" s="25"/>
      <c r="B55" s="12" t="str">
        <f>CONCATENATE("          ","6373"," - ","MAINTENANCE CONTRACTS")</f>
        <v xml:space="preserve">          6373 - MAINTENANCE CONTRACTS</v>
      </c>
      <c r="C55" s="12"/>
      <c r="D55" s="8">
        <v>74.89</v>
      </c>
      <c r="E55" s="3"/>
      <c r="F55" s="7">
        <f t="shared" si="8"/>
        <v>6.2276525068026859E-4</v>
      </c>
      <c r="G55" s="3"/>
      <c r="H55" s="8">
        <v>5622.35</v>
      </c>
      <c r="I55" s="3"/>
      <c r="J55" s="7">
        <f t="shared" si="9"/>
        <v>0</v>
      </c>
      <c r="K55" s="3"/>
      <c r="L55" s="8">
        <f t="shared" si="10"/>
        <v>-5547.46</v>
      </c>
      <c r="M55" s="3"/>
      <c r="N55" s="7">
        <f t="shared" si="11"/>
        <v>-0.98667994699725203</v>
      </c>
      <c r="O55" s="12"/>
      <c r="P55" s="8">
        <v>221.64</v>
      </c>
      <c r="Q55" s="3"/>
      <c r="R55" s="7">
        <f t="shared" si="12"/>
        <v>4.5904791011210636E-4</v>
      </c>
      <c r="S55" s="3"/>
      <c r="T55" s="8">
        <v>5845.65</v>
      </c>
      <c r="U55" s="3"/>
      <c r="V55" s="7">
        <f t="shared" si="13"/>
        <v>0</v>
      </c>
      <c r="W55" s="3"/>
      <c r="X55" s="8">
        <f t="shared" si="14"/>
        <v>-5624.0099999999993</v>
      </c>
      <c r="Y55" s="3"/>
      <c r="Z55" s="7">
        <f t="shared" si="15"/>
        <v>-0.9620846270303558</v>
      </c>
    </row>
    <row r="56" spans="1:26" s="69" customFormat="1" ht="15" hidden="1" customHeight="1" outlineLevel="2" x14ac:dyDescent="0.3">
      <c r="A56" s="25"/>
      <c r="B56" s="12" t="str">
        <f>CONCATENATE("          ","6375"," - ","OUTSIDE REPAIRS &amp; MAINTENANCE")</f>
        <v xml:space="preserve">          6375 - OUTSIDE REPAIRS &amp; MAINTENANCE</v>
      </c>
      <c r="C56" s="12"/>
      <c r="D56" s="8">
        <v>479.49</v>
      </c>
      <c r="E56" s="3"/>
      <c r="F56" s="7">
        <f t="shared" si="8"/>
        <v>3.9873108565720659E-3</v>
      </c>
      <c r="G56" s="3"/>
      <c r="H56" s="8"/>
      <c r="I56" s="3"/>
      <c r="J56" s="7">
        <f t="shared" si="9"/>
        <v>0</v>
      </c>
      <c r="K56" s="3"/>
      <c r="L56" s="8">
        <f t="shared" si="10"/>
        <v>479.49</v>
      </c>
      <c r="M56" s="3"/>
      <c r="N56" s="7">
        <f t="shared" si="11"/>
        <v>0</v>
      </c>
      <c r="O56" s="12"/>
      <c r="P56" s="8">
        <v>5775.75</v>
      </c>
      <c r="Q56" s="3"/>
      <c r="R56" s="7">
        <f t="shared" si="12"/>
        <v>1.1962398334371046E-2</v>
      </c>
      <c r="S56" s="3"/>
      <c r="T56" s="8">
        <v>542</v>
      </c>
      <c r="U56" s="3"/>
      <c r="V56" s="7">
        <f t="shared" si="13"/>
        <v>0</v>
      </c>
      <c r="W56" s="3"/>
      <c r="X56" s="8">
        <f t="shared" si="14"/>
        <v>5233.75</v>
      </c>
      <c r="Y56" s="3"/>
      <c r="Z56" s="7">
        <f t="shared" si="15"/>
        <v>9.6563653136531364</v>
      </c>
    </row>
    <row r="57" spans="1:26" s="68" customFormat="1" ht="15" customHeight="1" outlineLevel="1" collapsed="1" x14ac:dyDescent="0.3">
      <c r="A57" s="26"/>
      <c r="B57" s="14" t="str">
        <f>CONCATENATE("     ","Services                                          ")</f>
        <v xml:space="preserve">     Services                                          </v>
      </c>
      <c r="C57" s="14"/>
      <c r="D57" s="2">
        <f>SUM(OSRRefD22_11x_0)</f>
        <v>202.1</v>
      </c>
      <c r="E57" s="2"/>
      <c r="F57" s="6">
        <f t="shared" si="8"/>
        <v>1.6806096563290462E-3</v>
      </c>
      <c r="G57" s="2"/>
      <c r="H57" s="2">
        <f>SUM(OSRRefH22_11x_0)</f>
        <v>-113</v>
      </c>
      <c r="I57" s="2"/>
      <c r="J57" s="6">
        <f t="shared" si="9"/>
        <v>0</v>
      </c>
      <c r="K57" s="2"/>
      <c r="L57" s="2">
        <f t="shared" si="10"/>
        <v>315.10000000000002</v>
      </c>
      <c r="M57" s="2"/>
      <c r="N57" s="6">
        <f t="shared" si="11"/>
        <v>-2.7884955752212393</v>
      </c>
      <c r="O57" s="14"/>
      <c r="P57" s="2">
        <f>SUM(OSRRefP22_11x_0)</f>
        <v>5299.7999999999993</v>
      </c>
      <c r="Q57" s="2"/>
      <c r="R57" s="6">
        <f t="shared" si="12"/>
        <v>1.0976638305414822E-2</v>
      </c>
      <c r="S57" s="2"/>
      <c r="T57" s="2">
        <f>SUM(OSRRefT22_11x_0)</f>
        <v>462</v>
      </c>
      <c r="U57" s="2"/>
      <c r="V57" s="6">
        <f t="shared" si="13"/>
        <v>0</v>
      </c>
      <c r="W57" s="2"/>
      <c r="X57" s="2">
        <f t="shared" si="14"/>
        <v>4837.7999999999993</v>
      </c>
      <c r="Y57" s="2"/>
      <c r="Z57" s="6">
        <f t="shared" si="15"/>
        <v>10.47142857142857</v>
      </c>
    </row>
    <row r="58" spans="1:26" s="69" customFormat="1" ht="15" hidden="1" customHeight="1" outlineLevel="2" x14ac:dyDescent="0.3">
      <c r="A58" s="25"/>
      <c r="B58" s="12" t="str">
        <f>CONCATENATE("          ","6282"," - ","JANITORIAL/EXTERMINATOR EXPENS")</f>
        <v xml:space="preserve">          6282 - JANITORIAL/EXTERMINATOR EXPENS</v>
      </c>
      <c r="C58" s="12"/>
      <c r="D58" s="8">
        <v>95</v>
      </c>
      <c r="E58" s="3"/>
      <c r="F58" s="7">
        <f t="shared" si="8"/>
        <v>7.8999464300474713E-4</v>
      </c>
      <c r="G58" s="3"/>
      <c r="H58" s="8"/>
      <c r="I58" s="3"/>
      <c r="J58" s="7">
        <f t="shared" si="9"/>
        <v>0</v>
      </c>
      <c r="K58" s="3"/>
      <c r="L58" s="8">
        <f t="shared" si="10"/>
        <v>95</v>
      </c>
      <c r="M58" s="3"/>
      <c r="N58" s="7">
        <f t="shared" si="11"/>
        <v>0</v>
      </c>
      <c r="O58" s="12"/>
      <c r="P58" s="8">
        <v>736.86</v>
      </c>
      <c r="Q58" s="3"/>
      <c r="R58" s="7">
        <f t="shared" si="12"/>
        <v>1.5261416849179151E-3</v>
      </c>
      <c r="S58" s="3"/>
      <c r="T58" s="8"/>
      <c r="U58" s="3"/>
      <c r="V58" s="7">
        <f t="shared" si="13"/>
        <v>0</v>
      </c>
      <c r="W58" s="3"/>
      <c r="X58" s="8">
        <f t="shared" si="14"/>
        <v>736.86</v>
      </c>
      <c r="Y58" s="3"/>
      <c r="Z58" s="7">
        <f t="shared" si="15"/>
        <v>0</v>
      </c>
    </row>
    <row r="59" spans="1:26" s="69" customFormat="1" ht="15" hidden="1" customHeight="1" outlineLevel="2" x14ac:dyDescent="0.3">
      <c r="A59" s="25"/>
      <c r="B59" s="12" t="str">
        <f>CONCATENATE("          ","6284"," - ","TRASH REMOVAL EXPENSE")</f>
        <v xml:space="preserve">          6284 - TRASH REMOVAL EXPENSE</v>
      </c>
      <c r="C59" s="12"/>
      <c r="D59" s="8"/>
      <c r="E59" s="3"/>
      <c r="F59" s="7">
        <f t="shared" si="8"/>
        <v>0</v>
      </c>
      <c r="G59" s="3"/>
      <c r="H59" s="8">
        <v>-113</v>
      </c>
      <c r="I59" s="3"/>
      <c r="J59" s="7">
        <f t="shared" si="9"/>
        <v>0</v>
      </c>
      <c r="K59" s="3"/>
      <c r="L59" s="8">
        <f t="shared" si="10"/>
        <v>113</v>
      </c>
      <c r="M59" s="3"/>
      <c r="N59" s="7">
        <f t="shared" si="11"/>
        <v>-1</v>
      </c>
      <c r="O59" s="12"/>
      <c r="P59" s="8"/>
      <c r="Q59" s="3"/>
      <c r="R59" s="7">
        <f t="shared" si="12"/>
        <v>0</v>
      </c>
      <c r="S59" s="3"/>
      <c r="T59" s="8">
        <v>462</v>
      </c>
      <c r="U59" s="3"/>
      <c r="V59" s="7">
        <f t="shared" si="13"/>
        <v>0</v>
      </c>
      <c r="W59" s="3"/>
      <c r="X59" s="8">
        <f t="shared" si="14"/>
        <v>-462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5"/>
      <c r="B60" s="12" t="str">
        <f>CONCATENATE("          ","6285"," - ","JANITORIAL SERVICES")</f>
        <v xml:space="preserve">          6285 - JANITORIAL SERVICES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3660</v>
      </c>
      <c r="Q60" s="3"/>
      <c r="R60" s="7">
        <f t="shared" si="12"/>
        <v>7.5803796742930397E-3</v>
      </c>
      <c r="S60" s="3"/>
      <c r="T60" s="8"/>
      <c r="U60" s="3"/>
      <c r="V60" s="7">
        <f t="shared" si="13"/>
        <v>0</v>
      </c>
      <c r="W60" s="3"/>
      <c r="X60" s="8">
        <f t="shared" si="14"/>
        <v>3660</v>
      </c>
      <c r="Y60" s="3"/>
      <c r="Z60" s="7">
        <f t="shared" si="15"/>
        <v>0</v>
      </c>
    </row>
    <row r="61" spans="1:26" s="69" customFormat="1" ht="15" hidden="1" customHeight="1" outlineLevel="2" x14ac:dyDescent="0.3">
      <c r="A61" s="25"/>
      <c r="B61" s="12" t="str">
        <f>CONCATENATE("          ","6286"," - ","LAUNDRY EXPENSE")</f>
        <v xml:space="preserve">          6286 - LAUNDRY EXPENSE</v>
      </c>
      <c r="C61" s="12"/>
      <c r="D61" s="8">
        <v>107.1</v>
      </c>
      <c r="E61" s="3"/>
      <c r="F61" s="7">
        <f t="shared" si="8"/>
        <v>8.9061501332429911E-4</v>
      </c>
      <c r="G61" s="3"/>
      <c r="H61" s="8"/>
      <c r="I61" s="3"/>
      <c r="J61" s="7">
        <f t="shared" si="9"/>
        <v>0</v>
      </c>
      <c r="K61" s="3"/>
      <c r="L61" s="8">
        <f t="shared" si="10"/>
        <v>107.1</v>
      </c>
      <c r="M61" s="3"/>
      <c r="N61" s="7">
        <f t="shared" si="11"/>
        <v>0</v>
      </c>
      <c r="O61" s="12"/>
      <c r="P61" s="8">
        <v>902.94</v>
      </c>
      <c r="Q61" s="3"/>
      <c r="R61" s="7">
        <f t="shared" si="12"/>
        <v>1.8701169462038683E-3</v>
      </c>
      <c r="S61" s="3"/>
      <c r="T61" s="8"/>
      <c r="U61" s="3"/>
      <c r="V61" s="7">
        <f t="shared" si="13"/>
        <v>0</v>
      </c>
      <c r="W61" s="3"/>
      <c r="X61" s="8">
        <f t="shared" si="14"/>
        <v>902.94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6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SUM(OSRRefD22_12x_0)</f>
        <v>17.95</v>
      </c>
      <c r="E62" s="2"/>
      <c r="F62" s="6">
        <f t="shared" si="8"/>
        <v>1.492674088624759E-4</v>
      </c>
      <c r="G62" s="2"/>
      <c r="H62" s="2">
        <f>SUM(OSRRefH22_12x_0)</f>
        <v>0</v>
      </c>
      <c r="I62" s="2"/>
      <c r="J62" s="6">
        <f t="shared" si="9"/>
        <v>0</v>
      </c>
      <c r="K62" s="2"/>
      <c r="L62" s="2">
        <f t="shared" si="10"/>
        <v>17.95</v>
      </c>
      <c r="M62" s="2"/>
      <c r="N62" s="6">
        <f t="shared" si="11"/>
        <v>0</v>
      </c>
      <c r="O62" s="14"/>
      <c r="P62" s="2">
        <f>SUM(OSRRefP22_12x_0)</f>
        <v>289.74</v>
      </c>
      <c r="Q62" s="2"/>
      <c r="R62" s="6">
        <f t="shared" si="12"/>
        <v>6.0009267946165717E-4</v>
      </c>
      <c r="S62" s="2"/>
      <c r="T62" s="2">
        <f>SUM(OSRRefT22_12x_0)</f>
        <v>0</v>
      </c>
      <c r="U62" s="2"/>
      <c r="V62" s="6">
        <f t="shared" si="13"/>
        <v>0</v>
      </c>
      <c r="W62" s="2"/>
      <c r="X62" s="2">
        <f t="shared" si="14"/>
        <v>289.74</v>
      </c>
      <c r="Y62" s="2"/>
      <c r="Z62" s="6">
        <f t="shared" si="15"/>
        <v>0</v>
      </c>
    </row>
    <row r="63" spans="1:26" s="69" customFormat="1" ht="15" hidden="1" customHeight="1" outlineLevel="2" x14ac:dyDescent="0.3">
      <c r="A63" s="25"/>
      <c r="B63" s="12" t="str">
        <f>CONCATENATE("          ","6275"," - ","SUBSCRIPTIONS")</f>
        <v xml:space="preserve">          6275 - SUBSCRIPTIONS</v>
      </c>
      <c r="C63" s="12"/>
      <c r="D63" s="8">
        <v>17.95</v>
      </c>
      <c r="E63" s="3"/>
      <c r="F63" s="7">
        <f t="shared" si="8"/>
        <v>1.492674088624759E-4</v>
      </c>
      <c r="G63" s="3"/>
      <c r="H63" s="8"/>
      <c r="I63" s="3"/>
      <c r="J63" s="7">
        <f t="shared" si="9"/>
        <v>0</v>
      </c>
      <c r="K63" s="3"/>
      <c r="L63" s="8">
        <f t="shared" si="10"/>
        <v>17.95</v>
      </c>
      <c r="M63" s="3"/>
      <c r="N63" s="7">
        <f t="shared" si="11"/>
        <v>0</v>
      </c>
      <c r="O63" s="12"/>
      <c r="P63" s="8">
        <v>289.74</v>
      </c>
      <c r="Q63" s="3"/>
      <c r="R63" s="7">
        <f t="shared" si="12"/>
        <v>6.0009267946165717E-4</v>
      </c>
      <c r="S63" s="3"/>
      <c r="T63" s="8"/>
      <c r="U63" s="3"/>
      <c r="V63" s="7">
        <f t="shared" si="13"/>
        <v>0</v>
      </c>
      <c r="W63" s="3"/>
      <c r="X63" s="8">
        <f t="shared" si="14"/>
        <v>289.74</v>
      </c>
      <c r="Y63" s="3"/>
      <c r="Z63" s="7">
        <f t="shared" si="15"/>
        <v>0</v>
      </c>
    </row>
    <row r="64" spans="1:26" s="68" customFormat="1" ht="15" customHeight="1" outlineLevel="1" collapsed="1" x14ac:dyDescent="0.3">
      <c r="A64" s="26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SUM(OSRRefD22_13x_0)</f>
        <v>2444.66</v>
      </c>
      <c r="E64" s="2"/>
      <c r="F64" s="6">
        <f t="shared" si="8"/>
        <v>2.0329140041768265E-2</v>
      </c>
      <c r="G64" s="2"/>
      <c r="H64" s="2">
        <f>SUM(OSRRefH22_13x_0)</f>
        <v>0</v>
      </c>
      <c r="I64" s="2"/>
      <c r="J64" s="6">
        <f t="shared" si="9"/>
        <v>0</v>
      </c>
      <c r="K64" s="2"/>
      <c r="L64" s="2">
        <f t="shared" si="10"/>
        <v>2444.66</v>
      </c>
      <c r="M64" s="2"/>
      <c r="N64" s="6">
        <f t="shared" si="11"/>
        <v>0</v>
      </c>
      <c r="O64" s="14"/>
      <c r="P64" s="2">
        <f>SUM(OSRRefP22_13x_0)</f>
        <v>12058.92</v>
      </c>
      <c r="Q64" s="2"/>
      <c r="R64" s="6">
        <f t="shared" si="12"/>
        <v>2.4975735536045308E-2</v>
      </c>
      <c r="S64" s="2"/>
      <c r="T64" s="2">
        <f>SUM(OSRRefT22_13x_0)</f>
        <v>72</v>
      </c>
      <c r="U64" s="2"/>
      <c r="V64" s="6">
        <f t="shared" si="13"/>
        <v>0</v>
      </c>
      <c r="W64" s="2"/>
      <c r="X64" s="2">
        <f t="shared" si="14"/>
        <v>11986.92</v>
      </c>
      <c r="Y64" s="2"/>
      <c r="Z64" s="6">
        <f t="shared" si="15"/>
        <v>166.48500000000001</v>
      </c>
    </row>
    <row r="65" spans="1:26" s="69" customFormat="1" ht="15" hidden="1" customHeight="1" outlineLevel="2" x14ac:dyDescent="0.3">
      <c r="A65" s="25"/>
      <c r="B65" s="12" t="str">
        <f>CONCATENATE("          ","6234"," - ","EXPENDABLE SUPPLIES &amp; EQUIPMEN")</f>
        <v xml:space="preserve">          6234 - EXPENDABLE SUPPLIES &amp; EQUIPMEN</v>
      </c>
      <c r="C65" s="12"/>
      <c r="D65" s="8">
        <v>108.73</v>
      </c>
      <c r="E65" s="3"/>
      <c r="F65" s="7">
        <f t="shared" si="8"/>
        <v>9.0416965825164375E-4</v>
      </c>
      <c r="G65" s="3"/>
      <c r="H65" s="8"/>
      <c r="I65" s="3"/>
      <c r="J65" s="7">
        <f t="shared" si="9"/>
        <v>0</v>
      </c>
      <c r="K65" s="3"/>
      <c r="L65" s="8">
        <f t="shared" si="10"/>
        <v>108.73</v>
      </c>
      <c r="M65" s="3"/>
      <c r="N65" s="7">
        <f t="shared" si="11"/>
        <v>0</v>
      </c>
      <c r="O65" s="12"/>
      <c r="P65" s="8">
        <v>108.73</v>
      </c>
      <c r="Q65" s="3"/>
      <c r="R65" s="7">
        <f t="shared" si="12"/>
        <v>2.2519526830215361E-4</v>
      </c>
      <c r="S65" s="3"/>
      <c r="T65" s="8"/>
      <c r="U65" s="3"/>
      <c r="V65" s="7">
        <f t="shared" si="13"/>
        <v>0</v>
      </c>
      <c r="W65" s="3"/>
      <c r="X65" s="8">
        <f t="shared" si="14"/>
        <v>108.73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5"/>
      <c r="B66" s="12" t="str">
        <f>CONCATENATE("          ","6235"," - ","COVID-19 EXPENSES")</f>
        <v xml:space="preserve">          6235 - COVID-19 EXPENSES</v>
      </c>
      <c r="C66" s="12"/>
      <c r="D66" s="8">
        <v>35.72</v>
      </c>
      <c r="E66" s="3"/>
      <c r="F66" s="7">
        <f t="shared" si="8"/>
        <v>2.9703798576978491E-4</v>
      </c>
      <c r="G66" s="3"/>
      <c r="H66" s="8"/>
      <c r="I66" s="3"/>
      <c r="J66" s="7">
        <f t="shared" si="9"/>
        <v>0</v>
      </c>
      <c r="K66" s="3"/>
      <c r="L66" s="8">
        <f t="shared" si="10"/>
        <v>35.72</v>
      </c>
      <c r="M66" s="3"/>
      <c r="N66" s="7">
        <f t="shared" si="11"/>
        <v>0</v>
      </c>
      <c r="O66" s="12"/>
      <c r="P66" s="8">
        <v>229.22</v>
      </c>
      <c r="Q66" s="3"/>
      <c r="R66" s="7">
        <f t="shared" si="12"/>
        <v>4.7474716637744548E-4</v>
      </c>
      <c r="S66" s="3"/>
      <c r="T66" s="8"/>
      <c r="U66" s="3"/>
      <c r="V66" s="7">
        <f t="shared" si="13"/>
        <v>0</v>
      </c>
      <c r="W66" s="3"/>
      <c r="X66" s="8">
        <f t="shared" si="14"/>
        <v>229.22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5"/>
      <c r="B67" s="12" t="str">
        <f>CONCATENATE("          ","6237"," - ","JANITORIAL SUPPLIES")</f>
        <v xml:space="preserve">          6237 - JANITORIAL SUPPLIES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48.12</v>
      </c>
      <c r="Q67" s="3"/>
      <c r="R67" s="7">
        <f t="shared" si="12"/>
        <v>9.9663352439065858E-5</v>
      </c>
      <c r="S67" s="3"/>
      <c r="T67" s="8">
        <v>72</v>
      </c>
      <c r="U67" s="3"/>
      <c r="V67" s="7">
        <f t="shared" si="13"/>
        <v>0</v>
      </c>
      <c r="W67" s="3"/>
      <c r="X67" s="8">
        <f t="shared" si="14"/>
        <v>-23.880000000000003</v>
      </c>
      <c r="Y67" s="3"/>
      <c r="Z67" s="7">
        <f t="shared" si="15"/>
        <v>-0.33166666666666672</v>
      </c>
    </row>
    <row r="68" spans="1:26" s="69" customFormat="1" ht="15" hidden="1" customHeight="1" outlineLevel="2" x14ac:dyDescent="0.3">
      <c r="A68" s="25"/>
      <c r="B68" s="12" t="str">
        <f>CONCATENATE("          ","6239"," - ","KITCHEN SUPPLIES")</f>
        <v xml:space="preserve">          6239 - KITCHEN SUPPLIES</v>
      </c>
      <c r="C68" s="12"/>
      <c r="D68" s="8">
        <v>1624.71</v>
      </c>
      <c r="E68" s="3"/>
      <c r="F68" s="7">
        <f t="shared" si="8"/>
        <v>1.3510654699328871E-2</v>
      </c>
      <c r="G68" s="3"/>
      <c r="H68" s="8"/>
      <c r="I68" s="3"/>
      <c r="J68" s="7">
        <f t="shared" si="9"/>
        <v>0</v>
      </c>
      <c r="K68" s="3"/>
      <c r="L68" s="8">
        <f t="shared" si="10"/>
        <v>1624.71</v>
      </c>
      <c r="M68" s="3"/>
      <c r="N68" s="7">
        <f t="shared" si="11"/>
        <v>0</v>
      </c>
      <c r="O68" s="12"/>
      <c r="P68" s="8">
        <v>4499.49</v>
      </c>
      <c r="Q68" s="3"/>
      <c r="R68" s="7">
        <f t="shared" si="12"/>
        <v>9.3190826613892865E-3</v>
      </c>
      <c r="S68" s="3"/>
      <c r="T68" s="8"/>
      <c r="U68" s="3"/>
      <c r="V68" s="7">
        <f t="shared" si="13"/>
        <v>0</v>
      </c>
      <c r="W68" s="3"/>
      <c r="X68" s="8">
        <f t="shared" si="14"/>
        <v>4499.49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5"/>
      <c r="B69" s="12" t="str">
        <f>CONCATENATE("          ","6241"," - ","OFFICE EXPENSE")</f>
        <v xml:space="preserve">          6241 - OFFICE EXPENSE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2077.84</v>
      </c>
      <c r="Q69" s="3"/>
      <c r="R69" s="7">
        <f t="shared" si="12"/>
        <v>4.3035016673314344E-3</v>
      </c>
      <c r="S69" s="3"/>
      <c r="T69" s="8"/>
      <c r="U69" s="3"/>
      <c r="V69" s="7">
        <f t="shared" si="13"/>
        <v>0</v>
      </c>
      <c r="W69" s="3"/>
      <c r="X69" s="8">
        <f t="shared" si="14"/>
        <v>2077.84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5"/>
      <c r="B70" s="12" t="str">
        <f>CONCATENATE("          ","6243"," - ","PAPER SUPPLIES")</f>
        <v xml:space="preserve">          6243 - PAPER SUPPLIES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511.58</v>
      </c>
      <c r="Q70" s="3"/>
      <c r="R70" s="7">
        <f t="shared" si="12"/>
        <v>1.0595548179712659E-3</v>
      </c>
      <c r="S70" s="3"/>
      <c r="T70" s="8"/>
      <c r="U70" s="3"/>
      <c r="V70" s="7">
        <f t="shared" si="13"/>
        <v>0</v>
      </c>
      <c r="W70" s="3"/>
      <c r="X70" s="8">
        <f t="shared" si="14"/>
        <v>511.58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5"/>
      <c r="B71" s="12" t="str">
        <f>CONCATENATE("          ","6245"," - ","PRINTING")</f>
        <v xml:space="preserve">          6245 - PRINTING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733</v>
      </c>
      <c r="Q71" s="3"/>
      <c r="R71" s="7">
        <f t="shared" si="12"/>
        <v>1.5181470768461198E-3</v>
      </c>
      <c r="S71" s="3"/>
      <c r="T71" s="8"/>
      <c r="U71" s="3"/>
      <c r="V71" s="7">
        <f t="shared" si="13"/>
        <v>0</v>
      </c>
      <c r="W71" s="3"/>
      <c r="X71" s="8">
        <f t="shared" si="14"/>
        <v>733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5"/>
      <c r="B72" s="12" t="str">
        <f>CONCATENATE("          ","6247"," - ","STORE SUPPLIES")</f>
        <v xml:space="preserve">          6247 - STORE SUPPLIES</v>
      </c>
      <c r="C72" s="12"/>
      <c r="D72" s="8">
        <v>10</v>
      </c>
      <c r="E72" s="3"/>
      <c r="F72" s="7">
        <f t="shared" si="8"/>
        <v>8.3157330842604957E-5</v>
      </c>
      <c r="G72" s="3"/>
      <c r="H72" s="8"/>
      <c r="I72" s="3"/>
      <c r="J72" s="7">
        <f t="shared" si="9"/>
        <v>0</v>
      </c>
      <c r="K72" s="3"/>
      <c r="L72" s="8">
        <f t="shared" si="10"/>
        <v>10</v>
      </c>
      <c r="M72" s="3"/>
      <c r="N72" s="7">
        <f t="shared" si="11"/>
        <v>0</v>
      </c>
      <c r="O72" s="12"/>
      <c r="P72" s="8">
        <v>1060.94</v>
      </c>
      <c r="Q72" s="3"/>
      <c r="R72" s="7">
        <f t="shared" si="12"/>
        <v>2.1973573802307263E-3</v>
      </c>
      <c r="S72" s="3"/>
      <c r="T72" s="8"/>
      <c r="U72" s="3"/>
      <c r="V72" s="7">
        <f t="shared" si="13"/>
        <v>0</v>
      </c>
      <c r="W72" s="3"/>
      <c r="X72" s="8">
        <f t="shared" si="14"/>
        <v>1060.94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5"/>
      <c r="B73" s="12" t="str">
        <f>CONCATENATE("          ","6248"," - ","UNIFORMS")</f>
        <v xml:space="preserve">          6248 - UNIFORMS</v>
      </c>
      <c r="C73" s="12"/>
      <c r="D73" s="8">
        <v>665.5</v>
      </c>
      <c r="E73" s="3"/>
      <c r="F73" s="7">
        <f t="shared" si="8"/>
        <v>5.5341203675753599E-3</v>
      </c>
      <c r="G73" s="3"/>
      <c r="H73" s="8"/>
      <c r="I73" s="3"/>
      <c r="J73" s="7">
        <f t="shared" si="9"/>
        <v>0</v>
      </c>
      <c r="K73" s="3"/>
      <c r="L73" s="8">
        <f t="shared" si="10"/>
        <v>665.5</v>
      </c>
      <c r="M73" s="3"/>
      <c r="N73" s="7">
        <f t="shared" si="11"/>
        <v>0</v>
      </c>
      <c r="O73" s="12"/>
      <c r="P73" s="8">
        <v>2790</v>
      </c>
      <c r="Q73" s="3"/>
      <c r="R73" s="7">
        <f t="shared" si="12"/>
        <v>5.7784861451578087E-3</v>
      </c>
      <c r="S73" s="3"/>
      <c r="T73" s="8"/>
      <c r="U73" s="3"/>
      <c r="V73" s="7">
        <f t="shared" si="13"/>
        <v>0</v>
      </c>
      <c r="W73" s="3"/>
      <c r="X73" s="8">
        <f t="shared" si="14"/>
        <v>2790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6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SUM(OSRRefD22_14x_0)</f>
        <v>75</v>
      </c>
      <c r="E74" s="2"/>
      <c r="F74" s="6">
        <f t="shared" si="8"/>
        <v>6.2367998131953727E-4</v>
      </c>
      <c r="G74" s="2"/>
      <c r="H74" s="2">
        <f>SUM(OSRRefH22_14x_0)</f>
        <v>0</v>
      </c>
      <c r="I74" s="2"/>
      <c r="J74" s="6">
        <f t="shared" si="9"/>
        <v>0</v>
      </c>
      <c r="K74" s="2"/>
      <c r="L74" s="2">
        <f t="shared" si="10"/>
        <v>75</v>
      </c>
      <c r="M74" s="2"/>
      <c r="N74" s="6">
        <f t="shared" si="11"/>
        <v>0</v>
      </c>
      <c r="O74" s="14"/>
      <c r="P74" s="2">
        <f>SUM(OSRRefP22_14x_0)</f>
        <v>825</v>
      </c>
      <c r="Q74" s="2"/>
      <c r="R74" s="6">
        <f t="shared" si="12"/>
        <v>1.7086921396972017E-3</v>
      </c>
      <c r="S74" s="2"/>
      <c r="T74" s="2">
        <f>SUM(OSRRefT22_14x_0)</f>
        <v>77.430000000000007</v>
      </c>
      <c r="U74" s="2"/>
      <c r="V74" s="6">
        <f t="shared" si="13"/>
        <v>0</v>
      </c>
      <c r="W74" s="2"/>
      <c r="X74" s="2">
        <f t="shared" si="14"/>
        <v>747.56999999999994</v>
      </c>
      <c r="Y74" s="2"/>
      <c r="Z74" s="6">
        <f t="shared" si="15"/>
        <v>9.6547849670670267</v>
      </c>
    </row>
    <row r="75" spans="1:26" s="69" customFormat="1" ht="15" hidden="1" customHeight="1" outlineLevel="2" x14ac:dyDescent="0.3">
      <c r="A75" s="25"/>
      <c r="B75" s="12" t="str">
        <f>CONCATENATE("          ","6309"," - ","TELEPHONE")</f>
        <v xml:space="preserve">          6309 - TELEPHONE</v>
      </c>
      <c r="C75" s="12"/>
      <c r="D75" s="8">
        <v>75</v>
      </c>
      <c r="E75" s="3"/>
      <c r="F75" s="7">
        <f t="shared" si="8"/>
        <v>6.2367998131953727E-4</v>
      </c>
      <c r="G75" s="3"/>
      <c r="H75" s="8"/>
      <c r="I75" s="3"/>
      <c r="J75" s="7">
        <f t="shared" si="9"/>
        <v>0</v>
      </c>
      <c r="K75" s="3"/>
      <c r="L75" s="8">
        <f t="shared" si="10"/>
        <v>75</v>
      </c>
      <c r="M75" s="3"/>
      <c r="N75" s="7">
        <f t="shared" si="11"/>
        <v>0</v>
      </c>
      <c r="O75" s="12"/>
      <c r="P75" s="8">
        <v>825</v>
      </c>
      <c r="Q75" s="3"/>
      <c r="R75" s="7">
        <f t="shared" si="12"/>
        <v>1.7086921396972017E-3</v>
      </c>
      <c r="S75" s="3"/>
      <c r="T75" s="8">
        <v>77.430000000000007</v>
      </c>
      <c r="U75" s="3"/>
      <c r="V75" s="7">
        <f t="shared" si="13"/>
        <v>0</v>
      </c>
      <c r="W75" s="3"/>
      <c r="X75" s="8">
        <f t="shared" si="14"/>
        <v>747.56999999999994</v>
      </c>
      <c r="Y75" s="3"/>
      <c r="Z75" s="7">
        <f t="shared" si="15"/>
        <v>9.6547849670670267</v>
      </c>
    </row>
    <row r="76" spans="1:26" s="68" customFormat="1" ht="15" customHeight="1" outlineLevel="1" collapsed="1" x14ac:dyDescent="0.3">
      <c r="A76" s="26"/>
      <c r="B76" s="14" t="str">
        <f>CONCATENATE("     ","Training                                          ")</f>
        <v xml:space="preserve">     Training                                          </v>
      </c>
      <c r="C76" s="14"/>
      <c r="D76" s="2">
        <f>SUM(OSRRefD22_15x_0)</f>
        <v>0</v>
      </c>
      <c r="E76" s="2"/>
      <c r="F76" s="6">
        <f t="shared" si="8"/>
        <v>0</v>
      </c>
      <c r="G76" s="2"/>
      <c r="H76" s="2">
        <f>SUM(OSRRefH22_15x_0)</f>
        <v>0</v>
      </c>
      <c r="I76" s="2"/>
      <c r="J76" s="6">
        <f t="shared" si="9"/>
        <v>0</v>
      </c>
      <c r="K76" s="2"/>
      <c r="L76" s="2">
        <f t="shared" si="10"/>
        <v>0</v>
      </c>
      <c r="M76" s="2"/>
      <c r="N76" s="6">
        <f t="shared" si="11"/>
        <v>0</v>
      </c>
      <c r="O76" s="14"/>
      <c r="P76" s="2">
        <f>SUM(OSRRefP22_15x_0)</f>
        <v>200</v>
      </c>
      <c r="Q76" s="2"/>
      <c r="R76" s="6">
        <f t="shared" si="12"/>
        <v>4.1422839750235188E-4</v>
      </c>
      <c r="S76" s="2"/>
      <c r="T76" s="2">
        <f>SUM(OSRRefT22_15x_0)</f>
        <v>0</v>
      </c>
      <c r="U76" s="2"/>
      <c r="V76" s="6">
        <f t="shared" si="13"/>
        <v>0</v>
      </c>
      <c r="W76" s="2"/>
      <c r="X76" s="2">
        <f t="shared" si="14"/>
        <v>200</v>
      </c>
      <c r="Y76" s="2"/>
      <c r="Z76" s="6">
        <f t="shared" si="15"/>
        <v>0</v>
      </c>
    </row>
    <row r="77" spans="1:26" s="69" customFormat="1" ht="15" hidden="1" customHeight="1" outlineLevel="2" x14ac:dyDescent="0.3">
      <c r="A77" s="25"/>
      <c r="B77" s="12" t="str">
        <f>CONCATENATE("          ","6376"," - ","TRAINING")</f>
        <v xml:space="preserve">          6376 - TRAINING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200</v>
      </c>
      <c r="Q77" s="3"/>
      <c r="R77" s="7">
        <f t="shared" si="12"/>
        <v>4.1422839750235188E-4</v>
      </c>
      <c r="S77" s="3"/>
      <c r="T77" s="8"/>
      <c r="U77" s="3"/>
      <c r="V77" s="7">
        <f t="shared" si="13"/>
        <v>0</v>
      </c>
      <c r="W77" s="3"/>
      <c r="X77" s="8">
        <f t="shared" si="14"/>
        <v>200</v>
      </c>
      <c r="Y77" s="3"/>
      <c r="Z77" s="7">
        <f t="shared" si="15"/>
        <v>0</v>
      </c>
    </row>
    <row r="78" spans="1:26" s="68" customFormat="1" ht="15" customHeight="1" outlineLevel="1" collapsed="1" x14ac:dyDescent="0.3">
      <c r="A78" s="26"/>
      <c r="B78" s="14" t="str">
        <f>CONCATENATE("     ","Utilities                                         ")</f>
        <v xml:space="preserve">     Utilities                                         </v>
      </c>
      <c r="C78" s="14"/>
      <c r="D78" s="2">
        <f>SUM(OSRRefD22_16x_0)</f>
        <v>200</v>
      </c>
      <c r="E78" s="2"/>
      <c r="F78" s="6">
        <f t="shared" si="8"/>
        <v>1.6631466168520992E-3</v>
      </c>
      <c r="G78" s="2"/>
      <c r="H78" s="2">
        <f>SUM(OSRRefH22_16x_0)</f>
        <v>-486</v>
      </c>
      <c r="I78" s="2"/>
      <c r="J78" s="6">
        <f t="shared" si="9"/>
        <v>0</v>
      </c>
      <c r="K78" s="2"/>
      <c r="L78" s="2">
        <f t="shared" si="10"/>
        <v>686</v>
      </c>
      <c r="M78" s="2"/>
      <c r="N78" s="6">
        <f t="shared" si="11"/>
        <v>-1.4115226337448559</v>
      </c>
      <c r="O78" s="14"/>
      <c r="P78" s="2">
        <f>SUM(OSRRefP22_16x_0)</f>
        <v>1800</v>
      </c>
      <c r="Q78" s="2"/>
      <c r="R78" s="6">
        <f t="shared" si="12"/>
        <v>3.7280555775211673E-3</v>
      </c>
      <c r="S78" s="2"/>
      <c r="T78" s="2">
        <f>SUM(OSRRefT22_16x_0)</f>
        <v>1254</v>
      </c>
      <c r="U78" s="2"/>
      <c r="V78" s="6">
        <f t="shared" si="13"/>
        <v>0</v>
      </c>
      <c r="W78" s="2"/>
      <c r="X78" s="2">
        <f t="shared" si="14"/>
        <v>546</v>
      </c>
      <c r="Y78" s="2"/>
      <c r="Z78" s="6">
        <f t="shared" si="15"/>
        <v>0.4354066985645933</v>
      </c>
    </row>
    <row r="79" spans="1:26" s="69" customFormat="1" ht="15" hidden="1" customHeight="1" outlineLevel="2" x14ac:dyDescent="0.3">
      <c r="A79" s="25"/>
      <c r="B79" s="12" t="str">
        <f>CONCATENATE("          ","6274"," - ","UTILITIES")</f>
        <v xml:space="preserve">          6274 - UTILITIES</v>
      </c>
      <c r="C79" s="12"/>
      <c r="D79" s="8">
        <v>200</v>
      </c>
      <c r="E79" s="3"/>
      <c r="F79" s="7">
        <f t="shared" si="8"/>
        <v>1.6631466168520992E-3</v>
      </c>
      <c r="G79" s="3"/>
      <c r="H79" s="8">
        <v>-486</v>
      </c>
      <c r="I79" s="3"/>
      <c r="J79" s="7">
        <f t="shared" si="9"/>
        <v>0</v>
      </c>
      <c r="K79" s="3"/>
      <c r="L79" s="8">
        <f t="shared" si="10"/>
        <v>686</v>
      </c>
      <c r="M79" s="3"/>
      <c r="N79" s="7">
        <f t="shared" si="11"/>
        <v>-1.4115226337448559</v>
      </c>
      <c r="O79" s="12"/>
      <c r="P79" s="8">
        <v>1800</v>
      </c>
      <c r="Q79" s="3"/>
      <c r="R79" s="7">
        <f t="shared" si="12"/>
        <v>3.7280555775211673E-3</v>
      </c>
      <c r="S79" s="3"/>
      <c r="T79" s="8">
        <v>1254</v>
      </c>
      <c r="U79" s="3"/>
      <c r="V79" s="7">
        <f t="shared" si="13"/>
        <v>0</v>
      </c>
      <c r="W79" s="3"/>
      <c r="X79" s="8">
        <f t="shared" si="14"/>
        <v>546</v>
      </c>
      <c r="Y79" s="3"/>
      <c r="Z79" s="7">
        <f t="shared" si="15"/>
        <v>0.4354066985645933</v>
      </c>
    </row>
    <row r="80" spans="1:26" s="64" customFormat="1" ht="15" customHeight="1" x14ac:dyDescent="0.3">
      <c r="A80" s="36"/>
      <c r="B80" s="36"/>
      <c r="C80" s="36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3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62" customFormat="1" ht="15" customHeight="1" collapsed="1" x14ac:dyDescent="0.3">
      <c r="A81" s="11"/>
      <c r="B81" s="28" t="s">
        <v>290</v>
      </c>
      <c r="C81" s="11"/>
      <c r="D81" s="5">
        <f>SUM(OSRRefD25x_0)</f>
        <v>0</v>
      </c>
      <c r="E81" s="5"/>
      <c r="F81" s="13">
        <f>IF(D$12=0,0,D81/D$12)</f>
        <v>0</v>
      </c>
      <c r="G81" s="5"/>
      <c r="H81" s="5">
        <f>SUM(OSRRefH25x_0)</f>
        <v>0</v>
      </c>
      <c r="I81" s="5"/>
      <c r="J81" s="13">
        <f>IF(H$12=0,0,H81/H$12)</f>
        <v>0</v>
      </c>
      <c r="K81" s="5"/>
      <c r="L81" s="5">
        <f>+D81-H81</f>
        <v>0</v>
      </c>
      <c r="M81" s="5"/>
      <c r="N81" s="13">
        <f>IF(H81=0,0,L81/H81)</f>
        <v>0</v>
      </c>
      <c r="O81" s="11"/>
      <c r="P81" s="5">
        <f>SUM(OSRRefP25x_0)</f>
        <v>192</v>
      </c>
      <c r="Q81" s="5"/>
      <c r="R81" s="13">
        <f>IF(P$12=0,0,P81/P$12)</f>
        <v>3.9765926160225784E-4</v>
      </c>
      <c r="S81" s="5"/>
      <c r="T81" s="5">
        <f>SUM(OSRRefT25x_0)</f>
        <v>0</v>
      </c>
      <c r="U81" s="5"/>
      <c r="V81" s="13">
        <f>IF(T$12=0,0,T81/T$12)</f>
        <v>0</v>
      </c>
      <c r="W81" s="5"/>
      <c r="X81" s="5">
        <f>+P81-T81</f>
        <v>192</v>
      </c>
      <c r="Y81" s="5"/>
      <c r="Z81" s="13">
        <f>IF(T81=0,0,X81/T81)</f>
        <v>0</v>
      </c>
    </row>
    <row r="82" spans="1:26" s="69" customFormat="1" ht="15" hidden="1" customHeight="1" outlineLevel="1" x14ac:dyDescent="0.3">
      <c r="A82" s="42"/>
      <c r="B82" s="12" t="str">
        <f>CONCATENATE("          ","9150"," - ","MISC. INCOME")</f>
        <v xml:space="preserve">          9150 - MISC. INCOME</v>
      </c>
      <c r="C82" s="12"/>
      <c r="D82" s="3">
        <f>0</f>
        <v>0</v>
      </c>
      <c r="E82" s="3"/>
      <c r="F82" s="20">
        <f>IF(D$12=0,0,D82/D$12)</f>
        <v>0</v>
      </c>
      <c r="G82" s="3"/>
      <c r="H82" s="3">
        <f>0</f>
        <v>0</v>
      </c>
      <c r="I82" s="3"/>
      <c r="J82" s="20">
        <f>IF(H$12=0,0,H82/H$12)</f>
        <v>0</v>
      </c>
      <c r="K82" s="3"/>
      <c r="L82" s="3">
        <f>+D82-H82</f>
        <v>0</v>
      </c>
      <c r="M82" s="3"/>
      <c r="N82" s="20">
        <f>IF(H82=0,0,L82/H82)</f>
        <v>0</v>
      </c>
      <c r="O82" s="12"/>
      <c r="P82" s="3">
        <f>--192</f>
        <v>192</v>
      </c>
      <c r="Q82" s="3"/>
      <c r="R82" s="20">
        <f>IF(P$12=0,0,P82/P$12)</f>
        <v>3.9765926160225784E-4</v>
      </c>
      <c r="S82" s="3"/>
      <c r="T82" s="3">
        <f>0</f>
        <v>0</v>
      </c>
      <c r="U82" s="3"/>
      <c r="V82" s="20">
        <f>IF(T$12=0,0,T82/T$12)</f>
        <v>0</v>
      </c>
      <c r="W82" s="3"/>
      <c r="X82" s="3">
        <f>+P82-T82</f>
        <v>192</v>
      </c>
      <c r="Y82" s="3"/>
      <c r="Z82" s="20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291</v>
      </c>
      <c r="C84" s="27"/>
      <c r="D84" s="22">
        <f>+D20-D22+D81</f>
        <v>15177.800000000003</v>
      </c>
      <c r="E84" s="15"/>
      <c r="F84" s="21">
        <f>IF(D$12=0,0,D84/D$12)</f>
        <v>0.12621453360628898</v>
      </c>
      <c r="G84" s="15"/>
      <c r="H84" s="22">
        <f>+H20-H22+H81</f>
        <v>-10256.36</v>
      </c>
      <c r="I84" s="15"/>
      <c r="J84" s="21">
        <f>IF(H$12=0,0,H84/H$12)</f>
        <v>0</v>
      </c>
      <c r="K84" s="17"/>
      <c r="L84" s="22">
        <f>+D84-H84</f>
        <v>25434.160000000003</v>
      </c>
      <c r="M84" s="17"/>
      <c r="N84" s="21">
        <f>IF(H84=0,0,L84/H84)</f>
        <v>-2.4798427512294814</v>
      </c>
      <c r="O84" s="28"/>
      <c r="P84" s="22">
        <f>+P20-P22+P81</f>
        <v>-44879.429999999993</v>
      </c>
      <c r="Q84" s="15"/>
      <c r="R84" s="21">
        <f>IF(P$12=0,0,P84/P$12)</f>
        <v>-9.2951671848594875E-2</v>
      </c>
      <c r="S84" s="15"/>
      <c r="T84" s="22">
        <f>+T20-T22+T81</f>
        <v>-64468.869999999995</v>
      </c>
      <c r="U84" s="15"/>
      <c r="V84" s="21">
        <f>IF(T$12=0,0,T84/T$12)</f>
        <v>0</v>
      </c>
      <c r="W84" s="17"/>
      <c r="X84" s="22">
        <f>+P84-T84</f>
        <v>19589.440000000002</v>
      </c>
      <c r="Y84" s="17"/>
      <c r="Z84" s="21">
        <f>IF(T84=0,0,X84/T84)</f>
        <v>-0.30385890120301479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48"/>
      <c r="B86" s="11" t="s">
        <v>292</v>
      </c>
      <c r="C86" s="11"/>
      <c r="D86" s="5">
        <v>12366.88</v>
      </c>
      <c r="E86" s="5"/>
      <c r="F86" s="13">
        <f>IF(D$12=0,0,D86/D$12)</f>
        <v>0.10283967316507944</v>
      </c>
      <c r="G86" s="5"/>
      <c r="H86" s="5"/>
      <c r="I86" s="5"/>
      <c r="J86" s="13">
        <f>IF(H$12=0,0,H86/H$12)</f>
        <v>0</v>
      </c>
      <c r="K86" s="5"/>
      <c r="L86" s="5">
        <f>+D86-H86</f>
        <v>12366.88</v>
      </c>
      <c r="M86" s="5"/>
      <c r="N86" s="13">
        <f>IF(H86=0,0,L86/H86)</f>
        <v>0</v>
      </c>
      <c r="O86" s="11"/>
      <c r="P86" s="5">
        <v>57624.03</v>
      </c>
      <c r="Q86" s="5"/>
      <c r="R86" s="13">
        <f>IF(P$12=0,0,P86/P$12)</f>
        <v>0.11934754802263725</v>
      </c>
      <c r="S86" s="5"/>
      <c r="T86" s="5"/>
      <c r="U86" s="5"/>
      <c r="V86" s="13">
        <f>IF(T$12=0,0,T86/T$12)</f>
        <v>0</v>
      </c>
      <c r="W86" s="5"/>
      <c r="X86" s="5">
        <f>+P86-T86</f>
        <v>57624.03</v>
      </c>
      <c r="Y86" s="5"/>
      <c r="Z86" s="13">
        <f>IF(T86=0,0,X86/T86)</f>
        <v>0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7" t="s">
        <v>293</v>
      </c>
      <c r="C88" s="27"/>
      <c r="D88" s="34">
        <f>+D84-D86</f>
        <v>2810.9200000000037</v>
      </c>
      <c r="E88" s="15"/>
      <c r="F88" s="33">
        <f>IF(D$12=0,0,D88/D$12)</f>
        <v>2.3374860441209545E-2</v>
      </c>
      <c r="G88" s="15"/>
      <c r="H88" s="34">
        <f>+H84-H86</f>
        <v>-10256.36</v>
      </c>
      <c r="I88" s="15"/>
      <c r="J88" s="33">
        <f>IF(H$12=0,0,H88/H$12)</f>
        <v>0</v>
      </c>
      <c r="K88" s="17"/>
      <c r="L88" s="34">
        <f>D88-H88</f>
        <v>13067.280000000004</v>
      </c>
      <c r="M88" s="17"/>
      <c r="N88" s="33">
        <f>IF(H88=0,0,L88/H88)</f>
        <v>-1.2740660429236106</v>
      </c>
      <c r="O88" s="28"/>
      <c r="P88" s="34">
        <f>+P84-P86</f>
        <v>-102503.45999999999</v>
      </c>
      <c r="Q88" s="15"/>
      <c r="R88" s="33">
        <f>IF(P$12=0,0,P88/P$12)</f>
        <v>-0.21229921987123213</v>
      </c>
      <c r="S88" s="15"/>
      <c r="T88" s="34">
        <f>+T84-T86</f>
        <v>-64468.869999999995</v>
      </c>
      <c r="U88" s="15"/>
      <c r="V88" s="33">
        <f>IF(T$12=0,0,T88/T$12)</f>
        <v>0</v>
      </c>
      <c r="W88" s="17"/>
      <c r="X88" s="34">
        <f>P88-T88</f>
        <v>-38034.589999999997</v>
      </c>
      <c r="Y88" s="17"/>
      <c r="Z88" s="33">
        <f>IF(T88=0,0,X88/T88)</f>
        <v>0.58996830563340108</v>
      </c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7" t="s">
        <v>296</v>
      </c>
      <c r="C91" s="27"/>
      <c r="D91" s="31">
        <f>SUM(D88:D90)</f>
        <v>2810.9200000000037</v>
      </c>
      <c r="E91" s="15"/>
      <c r="F91" s="32">
        <f>IF(D$12=0,0,D91/D$12)</f>
        <v>2.3374860441209545E-2</v>
      </c>
      <c r="G91" s="15"/>
      <c r="H91" s="31">
        <f>SUM(H88:H90)</f>
        <v>-10256.36</v>
      </c>
      <c r="I91" s="15"/>
      <c r="J91" s="32">
        <f>IF(H$12=0,0,H91/H$12)</f>
        <v>0</v>
      </c>
      <c r="K91" s="17"/>
      <c r="L91" s="31">
        <f>+D91-H91</f>
        <v>13067.280000000004</v>
      </c>
      <c r="M91" s="17"/>
      <c r="N91" s="32">
        <f>IF(H91=0,0,L91/H91)</f>
        <v>-1.2740660429236106</v>
      </c>
      <c r="O91" s="28"/>
      <c r="P91" s="31">
        <f>SUM(P88:P90)</f>
        <v>-102503.45999999999</v>
      </c>
      <c r="Q91" s="15"/>
      <c r="R91" s="32">
        <f>IF(P$12=0,0,P91/P$12)</f>
        <v>-0.21229921987123213</v>
      </c>
      <c r="S91" s="15"/>
      <c r="T91" s="31">
        <f>SUM(T88:T90)</f>
        <v>-64468.869999999995</v>
      </c>
      <c r="U91" s="15"/>
      <c r="V91" s="32">
        <f>IF(T$12=0,0,T91/T$12)</f>
        <v>0</v>
      </c>
      <c r="W91" s="17"/>
      <c r="X91" s="31">
        <f>+P91-T91</f>
        <v>-38034.589999999997</v>
      </c>
      <c r="Y91" s="17"/>
      <c r="Z91" s="32">
        <f>IF(T91=0,0,X91/T91)</f>
        <v>0.58996830563340108</v>
      </c>
    </row>
    <row r="92" spans="1:26" ht="15" customHeight="1" x14ac:dyDescent="0.3">
      <c r="A92" s="10"/>
      <c r="C92" s="10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A93" s="10"/>
      <c r="B93" s="56">
        <v>44663.03859679398</v>
      </c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  <row r="94" spans="1:26" ht="15" customHeight="1" x14ac:dyDescent="0.3">
      <c r="A94" s="10"/>
      <c r="B94" s="57" t="s">
        <v>297</v>
      </c>
      <c r="D94" s="19"/>
      <c r="E94" s="19"/>
      <c r="G94" s="19"/>
      <c r="H94" s="19"/>
      <c r="I94" s="19"/>
      <c r="J94" s="40"/>
      <c r="K94" s="19"/>
      <c r="L94" s="19"/>
      <c r="M94" s="19"/>
      <c r="P94" s="19"/>
      <c r="Q94" s="19"/>
      <c r="R94" s="40"/>
      <c r="S94" s="19"/>
      <c r="T94" s="19"/>
      <c r="U94" s="19"/>
      <c r="V94" s="40"/>
      <c r="W94" s="19"/>
      <c r="X94" s="19"/>
    </row>
    <row r="95" spans="1:26" ht="15" customHeight="1" x14ac:dyDescent="0.3">
      <c r="A95" s="10"/>
      <c r="B95" s="58"/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82114-FE1A-779A-E9DE-EC5ADF716FE1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","406"," - ","OPA! Greek")</f>
        <v>Department 406 - OPA! Greek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0</v>
      </c>
      <c r="E18" s="23"/>
      <c r="F18" s="35">
        <f t="shared" ref="F18:F28" si="0">IF(D$12=0,0,D18/D$12)</f>
        <v>0</v>
      </c>
      <c r="G18" s="23"/>
      <c r="H18" s="23" cm="1">
        <f t="array" ref="H18">SUM(OSRRefH22x_0)</f>
        <v>188.84</v>
      </c>
      <c r="I18" s="23"/>
      <c r="J18" s="35">
        <f t="shared" ref="J18:J28" si="1">IF(H$12=0,0,H18/H$12)</f>
        <v>0</v>
      </c>
      <c r="K18" s="5"/>
      <c r="L18" s="23">
        <f t="shared" ref="L18:L28" si="2">+D18-H18</f>
        <v>-188.84</v>
      </c>
      <c r="M18" s="5"/>
      <c r="N18" s="35">
        <f t="shared" ref="N18:N28" si="3">IF(H18=0,0,L18/H18)</f>
        <v>-1</v>
      </c>
      <c r="O18" s="11"/>
      <c r="P18" s="23" cm="1">
        <f t="array" ref="P18">SUM(OSRRefP22x_0)</f>
        <v>69.290000000000006</v>
      </c>
      <c r="Q18" s="23"/>
      <c r="R18" s="35">
        <f t="shared" ref="R18:R28" si="4">IF(P$12=0,0,P18/P$12)</f>
        <v>0</v>
      </c>
      <c r="S18" s="23"/>
      <c r="T18" s="23" cm="1">
        <f t="array" ref="T18">SUM(OSRRefT22x_0)</f>
        <v>2172.4399999999996</v>
      </c>
      <c r="U18" s="23"/>
      <c r="V18" s="35">
        <f t="shared" ref="V18:V28" si="5">IF(T$12=0,0,T18/T$12)</f>
        <v>0</v>
      </c>
      <c r="W18" s="5"/>
      <c r="X18" s="23">
        <f t="shared" ref="X18:X28" si="6">+P18-T18</f>
        <v>-2103.1499999999996</v>
      </c>
      <c r="Y18" s="5"/>
      <c r="Z18" s="35">
        <f t="shared" ref="Z18:Z28" si="7">IF(T18=0,0,X18/T18)</f>
        <v>-0.96810498793982802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660.8</v>
      </c>
      <c r="U19" s="2"/>
      <c r="V19" s="6">
        <f t="shared" si="5"/>
        <v>0</v>
      </c>
      <c r="W19" s="2"/>
      <c r="X19" s="2">
        <f t="shared" si="6"/>
        <v>-660.8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5"/>
      <c r="B20" s="12" t="str">
        <f>CONCATENATE("          ","6113"," - ","GROUP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660.8</v>
      </c>
      <c r="U20" s="3"/>
      <c r="V20" s="7">
        <f t="shared" si="5"/>
        <v>0</v>
      </c>
      <c r="W20" s="3"/>
      <c r="X20" s="8">
        <f t="shared" si="6"/>
        <v>-660.8</v>
      </c>
      <c r="Y20" s="3"/>
      <c r="Z20" s="7">
        <f t="shared" si="7"/>
        <v>-1</v>
      </c>
    </row>
    <row r="21" spans="1:26" s="68" customFormat="1" ht="15" customHeight="1" outlineLevel="1" collapsed="1" x14ac:dyDescent="0.3">
      <c r="A21" s="26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119.55</v>
      </c>
      <c r="I21" s="2"/>
      <c r="J21" s="6">
        <f t="shared" si="1"/>
        <v>0</v>
      </c>
      <c r="K21" s="2"/>
      <c r="L21" s="2">
        <f t="shared" si="2"/>
        <v>-119.55</v>
      </c>
      <c r="M21" s="2"/>
      <c r="N21" s="6">
        <f t="shared" si="3"/>
        <v>-1</v>
      </c>
      <c r="O21" s="14"/>
      <c r="P21" s="2">
        <f>SUM(OSRRefP22_1x_0)</f>
        <v>0</v>
      </c>
      <c r="Q21" s="2"/>
      <c r="R21" s="6">
        <f t="shared" si="4"/>
        <v>0</v>
      </c>
      <c r="S21" s="2"/>
      <c r="T21" s="2">
        <f>SUM(OSRRefT22_1x_0)</f>
        <v>1075.95</v>
      </c>
      <c r="U21" s="2"/>
      <c r="V21" s="6">
        <f t="shared" si="5"/>
        <v>0</v>
      </c>
      <c r="W21" s="2"/>
      <c r="X21" s="2">
        <f t="shared" si="6"/>
        <v>-1075.95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5"/>
      <c r="B22" s="12" t="str">
        <f>CONCATENATE("          ","6322"," - ","EQUIPMENT DEPRECIATION EXPENSE")</f>
        <v xml:space="preserve">          6322 - EQUIPMENT DEPRECIATION EXPENSE</v>
      </c>
      <c r="C22" s="12"/>
      <c r="D22" s="8"/>
      <c r="E22" s="3"/>
      <c r="F22" s="7">
        <f t="shared" si="0"/>
        <v>0</v>
      </c>
      <c r="G22" s="3"/>
      <c r="H22" s="8">
        <v>119.55</v>
      </c>
      <c r="I22" s="3"/>
      <c r="J22" s="7">
        <f t="shared" si="1"/>
        <v>0</v>
      </c>
      <c r="K22" s="3"/>
      <c r="L22" s="8">
        <f t="shared" si="2"/>
        <v>-119.55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1075.95</v>
      </c>
      <c r="U22" s="3"/>
      <c r="V22" s="7">
        <f t="shared" si="5"/>
        <v>0</v>
      </c>
      <c r="W22" s="3"/>
      <c r="X22" s="8">
        <f t="shared" si="6"/>
        <v>-1075.95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6"/>
      <c r="B23" s="14" t="str">
        <f>CONCATENATE("     ","Equipment Rental                                  ")</f>
        <v xml:space="preserve">     Equipment Rental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64.02</v>
      </c>
      <c r="U23" s="2"/>
      <c r="V23" s="6">
        <f t="shared" si="5"/>
        <v>0</v>
      </c>
      <c r="W23" s="2"/>
      <c r="X23" s="2">
        <f t="shared" si="6"/>
        <v>-64.02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5"/>
      <c r="B24" s="12" t="str">
        <f>CONCATENATE("          ","6351"," - ","EQUIPMENT RENTAL")</f>
        <v xml:space="preserve">          6351 - EQUIPMENT RENTAL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64.02</v>
      </c>
      <c r="U24" s="3"/>
      <c r="V24" s="7">
        <f t="shared" si="5"/>
        <v>0</v>
      </c>
      <c r="W24" s="3"/>
      <c r="X24" s="8">
        <f t="shared" si="6"/>
        <v>-64.02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6"/>
      <c r="B25" s="14" t="str">
        <f>CONCATENATE("     ","Repair and Maintenance                            ")</f>
        <v xml:space="preserve">     Repair and Maintenance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69.290000000000006</v>
      </c>
      <c r="I25" s="2"/>
      <c r="J25" s="6">
        <f t="shared" si="1"/>
        <v>0</v>
      </c>
      <c r="K25" s="2"/>
      <c r="L25" s="2">
        <f t="shared" si="2"/>
        <v>-69.290000000000006</v>
      </c>
      <c r="M25" s="2"/>
      <c r="N25" s="6">
        <f t="shared" si="3"/>
        <v>-1</v>
      </c>
      <c r="O25" s="14"/>
      <c r="P25" s="2">
        <f>SUM(OSRRefP22_3x_0)</f>
        <v>69.290000000000006</v>
      </c>
      <c r="Q25" s="2"/>
      <c r="R25" s="6">
        <f t="shared" si="4"/>
        <v>0</v>
      </c>
      <c r="S25" s="2"/>
      <c r="T25" s="2">
        <f>SUM(OSRRefT22_3x_0)</f>
        <v>286.47000000000003</v>
      </c>
      <c r="U25" s="2"/>
      <c r="V25" s="6">
        <f t="shared" si="5"/>
        <v>0</v>
      </c>
      <c r="W25" s="2"/>
      <c r="X25" s="2">
        <f t="shared" si="6"/>
        <v>-217.18</v>
      </c>
      <c r="Y25" s="2"/>
      <c r="Z25" s="6">
        <f t="shared" si="7"/>
        <v>-0.75812476000977413</v>
      </c>
    </row>
    <row r="26" spans="1:26" s="69" customFormat="1" ht="15" hidden="1" customHeight="1" outlineLevel="2" x14ac:dyDescent="0.3">
      <c r="A26" s="25"/>
      <c r="B26" s="12" t="str">
        <f>CONCATENATE("          ","6373"," - ","MAINTENANCE CONTRACTS")</f>
        <v xml:space="preserve">          6373 - MAINTENANCE CONTRACTS</v>
      </c>
      <c r="C26" s="12"/>
      <c r="D26" s="8"/>
      <c r="E26" s="3"/>
      <c r="F26" s="7">
        <f t="shared" si="0"/>
        <v>0</v>
      </c>
      <c r="G26" s="3"/>
      <c r="H26" s="8">
        <v>69.290000000000006</v>
      </c>
      <c r="I26" s="3"/>
      <c r="J26" s="7">
        <f t="shared" si="1"/>
        <v>0</v>
      </c>
      <c r="K26" s="3"/>
      <c r="L26" s="8">
        <f t="shared" si="2"/>
        <v>-69.290000000000006</v>
      </c>
      <c r="M26" s="3"/>
      <c r="N26" s="7">
        <f t="shared" si="3"/>
        <v>-1</v>
      </c>
      <c r="O26" s="12"/>
      <c r="P26" s="8">
        <v>69.290000000000006</v>
      </c>
      <c r="Q26" s="3"/>
      <c r="R26" s="7">
        <f t="shared" si="4"/>
        <v>0</v>
      </c>
      <c r="S26" s="3"/>
      <c r="T26" s="8">
        <v>286.47000000000003</v>
      </c>
      <c r="U26" s="3"/>
      <c r="V26" s="7">
        <f t="shared" si="5"/>
        <v>0</v>
      </c>
      <c r="W26" s="3"/>
      <c r="X26" s="8">
        <f t="shared" si="6"/>
        <v>-217.18</v>
      </c>
      <c r="Y26" s="3"/>
      <c r="Z26" s="7">
        <f t="shared" si="7"/>
        <v>-0.75812476000977413</v>
      </c>
    </row>
    <row r="27" spans="1:26" s="68" customFormat="1" ht="15" customHeight="1" outlineLevel="1" collapsed="1" x14ac:dyDescent="0.3">
      <c r="A27" s="26"/>
      <c r="B27" s="14" t="str">
        <f>CONCATENATE("     ","Telephone/Data Lines                              ")</f>
        <v xml:space="preserve">     Telephone/Data Lines                              </v>
      </c>
      <c r="C27" s="14"/>
      <c r="D27" s="2">
        <f>SUM(OSRRefD22_4x_0)</f>
        <v>0</v>
      </c>
      <c r="E27" s="2"/>
      <c r="F27" s="6">
        <f t="shared" si="0"/>
        <v>0</v>
      </c>
      <c r="G27" s="2"/>
      <c r="H27" s="2">
        <f>SUM(OSRRefH22_4x_0)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SUM(OSRRefP22_4x_0)</f>
        <v>0</v>
      </c>
      <c r="Q27" s="2"/>
      <c r="R27" s="6">
        <f t="shared" si="4"/>
        <v>0</v>
      </c>
      <c r="S27" s="2"/>
      <c r="T27" s="2">
        <f>SUM(OSRRefT22_4x_0)</f>
        <v>85.2</v>
      </c>
      <c r="U27" s="2"/>
      <c r="V27" s="6">
        <f t="shared" si="5"/>
        <v>0</v>
      </c>
      <c r="W27" s="2"/>
      <c r="X27" s="2">
        <f t="shared" si="6"/>
        <v>-85.2</v>
      </c>
      <c r="Y27" s="2"/>
      <c r="Z27" s="6">
        <f t="shared" si="7"/>
        <v>-1</v>
      </c>
    </row>
    <row r="28" spans="1:26" s="69" customFormat="1" ht="15" hidden="1" customHeight="1" outlineLevel="2" x14ac:dyDescent="0.3">
      <c r="A28" s="25"/>
      <c r="B28" s="12" t="str">
        <f>CONCATENATE("          ","6309"," - ","TELEPHONE")</f>
        <v xml:space="preserve">          6309 - TELEPHONE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85.2</v>
      </c>
      <c r="U28" s="3"/>
      <c r="V28" s="7">
        <f t="shared" si="5"/>
        <v>0</v>
      </c>
      <c r="W28" s="3"/>
      <c r="X28" s="8">
        <f t="shared" si="6"/>
        <v>-85.2</v>
      </c>
      <c r="Y28" s="3"/>
      <c r="Z28" s="7">
        <f t="shared" si="7"/>
        <v>-1</v>
      </c>
    </row>
    <row r="29" spans="1:26" s="64" customFormat="1" ht="15" customHeight="1" x14ac:dyDescent="0.3">
      <c r="A29" s="36"/>
      <c r="B29" s="36"/>
      <c r="C29" s="36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2" customFormat="1" ht="15" customHeight="1" x14ac:dyDescent="0.3">
      <c r="A30" s="11"/>
      <c r="B30" s="28" t="s">
        <v>290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7" t="s">
        <v>291</v>
      </c>
      <c r="C32" s="27"/>
      <c r="D32" s="22">
        <f>+D16-D18+D30</f>
        <v>0</v>
      </c>
      <c r="E32" s="15"/>
      <c r="F32" s="21">
        <f>IF(D$12=0,0,D32/D$12)</f>
        <v>0</v>
      </c>
      <c r="G32" s="15"/>
      <c r="H32" s="22">
        <f>+H16-H18+H30</f>
        <v>-188.84</v>
      </c>
      <c r="I32" s="15"/>
      <c r="J32" s="21">
        <f>IF(H$12=0,0,H32/H$12)</f>
        <v>0</v>
      </c>
      <c r="K32" s="17"/>
      <c r="L32" s="22">
        <f>+D32-H32</f>
        <v>188.84</v>
      </c>
      <c r="M32" s="17"/>
      <c r="N32" s="21">
        <f>IF(H32=0,0,L32/H32)</f>
        <v>-1</v>
      </c>
      <c r="O32" s="28"/>
      <c r="P32" s="22">
        <f>+P16-P18+P30</f>
        <v>-69.290000000000006</v>
      </c>
      <c r="Q32" s="15"/>
      <c r="R32" s="21">
        <f>IF(P$12=0,0,P32/P$12)</f>
        <v>0</v>
      </c>
      <c r="S32" s="15"/>
      <c r="T32" s="22">
        <f>+T16-T18+T30</f>
        <v>-2172.4399999999996</v>
      </c>
      <c r="U32" s="15"/>
      <c r="V32" s="21">
        <f>IF(T$12=0,0,T32/T$12)</f>
        <v>0</v>
      </c>
      <c r="W32" s="17"/>
      <c r="X32" s="22">
        <f>+P32-T32</f>
        <v>2103.1499999999996</v>
      </c>
      <c r="Y32" s="17"/>
      <c r="Z32" s="21">
        <f>IF(T32=0,0,X32/T32)</f>
        <v>-0.96810498793982802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293</v>
      </c>
      <c r="C36" s="27"/>
      <c r="D36" s="34">
        <f>+D32-D34</f>
        <v>0</v>
      </c>
      <c r="E36" s="15"/>
      <c r="F36" s="33">
        <f>IF(D$12=0,0,D36/D$12)</f>
        <v>0</v>
      </c>
      <c r="G36" s="15"/>
      <c r="H36" s="34">
        <f>+H32-H34</f>
        <v>-188.84</v>
      </c>
      <c r="I36" s="15"/>
      <c r="J36" s="33">
        <f>IF(H$12=0,0,H36/H$12)</f>
        <v>0</v>
      </c>
      <c r="K36" s="17"/>
      <c r="L36" s="34">
        <f>D36-H36</f>
        <v>188.84</v>
      </c>
      <c r="M36" s="17"/>
      <c r="N36" s="33">
        <f>IF(H36=0,0,L36/H36)</f>
        <v>-1</v>
      </c>
      <c r="O36" s="28"/>
      <c r="P36" s="34">
        <f>+P32-P34</f>
        <v>-69.290000000000006</v>
      </c>
      <c r="Q36" s="15"/>
      <c r="R36" s="33">
        <f>IF(P$12=0,0,P36/P$12)</f>
        <v>0</v>
      </c>
      <c r="S36" s="15"/>
      <c r="T36" s="34">
        <f>+T32-T34</f>
        <v>-2172.4399999999996</v>
      </c>
      <c r="U36" s="15"/>
      <c r="V36" s="33">
        <f>IF(T$12=0,0,T36/T$12)</f>
        <v>0</v>
      </c>
      <c r="W36" s="17"/>
      <c r="X36" s="34">
        <f>P36-T36</f>
        <v>2103.1499999999996</v>
      </c>
      <c r="Y36" s="17"/>
      <c r="Z36" s="33">
        <f>IF(T36=0,0,X36/T36)</f>
        <v>-0.96810498793982802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7" t="s">
        <v>296</v>
      </c>
      <c r="C39" s="27"/>
      <c r="D39" s="31">
        <f>SUM(D36:D38)</f>
        <v>0</v>
      </c>
      <c r="E39" s="15"/>
      <c r="F39" s="32">
        <f>IF(D$12=0,0,D39/D$12)</f>
        <v>0</v>
      </c>
      <c r="G39" s="15"/>
      <c r="H39" s="31">
        <f>SUM(H36:H38)</f>
        <v>-188.84</v>
      </c>
      <c r="I39" s="15"/>
      <c r="J39" s="32">
        <f>IF(H$12=0,0,H39/H$12)</f>
        <v>0</v>
      </c>
      <c r="K39" s="17"/>
      <c r="L39" s="31">
        <f>+D39-H39</f>
        <v>188.84</v>
      </c>
      <c r="M39" s="17"/>
      <c r="N39" s="32">
        <f>IF(H39=0,0,L39/H39)</f>
        <v>-1</v>
      </c>
      <c r="O39" s="28"/>
      <c r="P39" s="31">
        <f>SUM(P36:P38)</f>
        <v>-69.290000000000006</v>
      </c>
      <c r="Q39" s="15"/>
      <c r="R39" s="32">
        <f>IF(P$12=0,0,P39/P$12)</f>
        <v>0</v>
      </c>
      <c r="S39" s="15"/>
      <c r="T39" s="31">
        <f>SUM(T36:T38)</f>
        <v>-2172.4399999999996</v>
      </c>
      <c r="U39" s="15"/>
      <c r="V39" s="32">
        <f>IF(T$12=0,0,T39/T$12)</f>
        <v>0</v>
      </c>
      <c r="W39" s="17"/>
      <c r="X39" s="31">
        <f>+P39-T39</f>
        <v>2103.1499999999996</v>
      </c>
      <c r="Y39" s="17"/>
      <c r="Z39" s="32">
        <f>IF(T39=0,0,X39/T39)</f>
        <v>-0.96810498793982802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6">
        <v>44663.03859679398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7" t="s">
        <v>297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8"/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A329-C368-437F-7B33-460BD5A9B9A6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","411"," - ","University Dining")</f>
        <v>Department 411 - University Dining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44741.879999999983</v>
      </c>
      <c r="E18" s="23"/>
      <c r="F18" s="35">
        <f t="shared" ref="F18:F49" si="0">IF(D$12=0,0,D18/D$12)</f>
        <v>0</v>
      </c>
      <c r="G18" s="23"/>
      <c r="H18" s="23" cm="1">
        <f t="array" ref="H18">SUM(OSRRefH22x_0)</f>
        <v>28376.869999999995</v>
      </c>
      <c r="I18" s="23"/>
      <c r="J18" s="35">
        <f t="shared" ref="J18:J49" si="1">IF(H$12=0,0,H18/H$12)</f>
        <v>0</v>
      </c>
      <c r="K18" s="5"/>
      <c r="L18" s="23">
        <f t="shared" ref="L18:L49" si="2">+D18-H18</f>
        <v>16365.009999999987</v>
      </c>
      <c r="M18" s="5"/>
      <c r="N18" s="35">
        <f t="shared" ref="N18:N49" si="3">IF(H18=0,0,L18/H18)</f>
        <v>0.57670243405985189</v>
      </c>
      <c r="O18" s="11"/>
      <c r="P18" s="23" cm="1">
        <f t="array" ref="P18">SUM(OSRRefP22x_0)</f>
        <v>443036.69000000018</v>
      </c>
      <c r="Q18" s="23"/>
      <c r="R18" s="35">
        <f t="shared" ref="R18:R49" si="4">IF(P$12=0,0,P18/P$12)</f>
        <v>0</v>
      </c>
      <c r="S18" s="23"/>
      <c r="T18" s="23" cm="1">
        <f t="array" ref="T18">SUM(OSRRefT22x_0)</f>
        <v>253313.37000000005</v>
      </c>
      <c r="U18" s="23"/>
      <c r="V18" s="35">
        <f t="shared" ref="V18:V49" si="5">IF(T$12=0,0,T18/T$12)</f>
        <v>0</v>
      </c>
      <c r="W18" s="5"/>
      <c r="X18" s="23">
        <f t="shared" ref="X18:X49" si="6">+P18-T18</f>
        <v>189723.32000000012</v>
      </c>
      <c r="Y18" s="5"/>
      <c r="Z18" s="35">
        <f t="shared" ref="Z18:Z49" si="7">IF(T18=0,0,X18/T18)</f>
        <v>0.74896686266500689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9425.75</v>
      </c>
      <c r="E19" s="2"/>
      <c r="F19" s="6">
        <f t="shared" si="0"/>
        <v>0</v>
      </c>
      <c r="G19" s="2"/>
      <c r="H19" s="2">
        <f>SUM(OSRRefH22_0x_0)</f>
        <v>5648.57</v>
      </c>
      <c r="I19" s="2"/>
      <c r="J19" s="6">
        <f t="shared" si="1"/>
        <v>0</v>
      </c>
      <c r="K19" s="2"/>
      <c r="L19" s="2">
        <f t="shared" si="2"/>
        <v>3777.1800000000003</v>
      </c>
      <c r="M19" s="2"/>
      <c r="N19" s="6">
        <f t="shared" si="3"/>
        <v>0.66869667898246821</v>
      </c>
      <c r="O19" s="14"/>
      <c r="P19" s="2">
        <f>SUM(OSRRefP22_0x_0)</f>
        <v>95723.360000000015</v>
      </c>
      <c r="Q19" s="2"/>
      <c r="R19" s="6">
        <f t="shared" si="4"/>
        <v>0</v>
      </c>
      <c r="S19" s="2"/>
      <c r="T19" s="2">
        <f>SUM(OSRRefT22_0x_0)</f>
        <v>53615.7</v>
      </c>
      <c r="U19" s="2"/>
      <c r="V19" s="6">
        <f t="shared" si="5"/>
        <v>0</v>
      </c>
      <c r="W19" s="2"/>
      <c r="X19" s="2">
        <f t="shared" si="6"/>
        <v>42107.660000000018</v>
      </c>
      <c r="Y19" s="2"/>
      <c r="Z19" s="6">
        <f t="shared" si="7"/>
        <v>0.78536063130762113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1381.25</v>
      </c>
      <c r="E20" s="3"/>
      <c r="F20" s="7">
        <f t="shared" si="0"/>
        <v>0</v>
      </c>
      <c r="G20" s="3"/>
      <c r="H20" s="8">
        <v>852.54</v>
      </c>
      <c r="I20" s="3"/>
      <c r="J20" s="7">
        <f t="shared" si="1"/>
        <v>0</v>
      </c>
      <c r="K20" s="3"/>
      <c r="L20" s="8">
        <f t="shared" si="2"/>
        <v>528.71</v>
      </c>
      <c r="M20" s="3"/>
      <c r="N20" s="7">
        <f t="shared" si="3"/>
        <v>0.62015858493443132</v>
      </c>
      <c r="O20" s="12"/>
      <c r="P20" s="8">
        <v>12956.92</v>
      </c>
      <c r="Q20" s="3"/>
      <c r="R20" s="7">
        <f t="shared" si="4"/>
        <v>0</v>
      </c>
      <c r="S20" s="3"/>
      <c r="T20" s="8">
        <v>7893.71</v>
      </c>
      <c r="U20" s="3"/>
      <c r="V20" s="7">
        <f t="shared" si="5"/>
        <v>0</v>
      </c>
      <c r="W20" s="3"/>
      <c r="X20" s="8">
        <f t="shared" si="6"/>
        <v>5063.21</v>
      </c>
      <c r="Y20" s="3"/>
      <c r="Z20" s="7">
        <f t="shared" si="7"/>
        <v>0.64142336113183784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232.92</v>
      </c>
      <c r="E21" s="3"/>
      <c r="F21" s="7">
        <f t="shared" si="0"/>
        <v>0</v>
      </c>
      <c r="G21" s="3"/>
      <c r="H21" s="8">
        <v>36.78</v>
      </c>
      <c r="I21" s="3"/>
      <c r="J21" s="7">
        <f t="shared" si="1"/>
        <v>0</v>
      </c>
      <c r="K21" s="3"/>
      <c r="L21" s="8">
        <f t="shared" si="2"/>
        <v>196.14</v>
      </c>
      <c r="M21" s="3"/>
      <c r="N21" s="7">
        <f t="shared" si="3"/>
        <v>5.3327895595432295</v>
      </c>
      <c r="O21" s="12"/>
      <c r="P21" s="8">
        <v>2169.84</v>
      </c>
      <c r="Q21" s="3"/>
      <c r="R21" s="7">
        <f t="shared" si="4"/>
        <v>0</v>
      </c>
      <c r="S21" s="3"/>
      <c r="T21" s="8">
        <v>477.08</v>
      </c>
      <c r="U21" s="3"/>
      <c r="V21" s="7">
        <f t="shared" si="5"/>
        <v>0</v>
      </c>
      <c r="W21" s="3"/>
      <c r="X21" s="8">
        <f t="shared" si="6"/>
        <v>1692.7600000000002</v>
      </c>
      <c r="Y21" s="3"/>
      <c r="Z21" s="7">
        <f t="shared" si="7"/>
        <v>3.5481680221346532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3042.72</v>
      </c>
      <c r="E22" s="3"/>
      <c r="F22" s="7">
        <f t="shared" si="0"/>
        <v>0</v>
      </c>
      <c r="G22" s="3"/>
      <c r="H22" s="8">
        <v>1920.87</v>
      </c>
      <c r="I22" s="3"/>
      <c r="J22" s="7">
        <f t="shared" si="1"/>
        <v>0</v>
      </c>
      <c r="K22" s="3"/>
      <c r="L22" s="8">
        <f t="shared" si="2"/>
        <v>1121.8499999999999</v>
      </c>
      <c r="M22" s="3"/>
      <c r="N22" s="7">
        <f t="shared" si="3"/>
        <v>0.58403223539333737</v>
      </c>
      <c r="O22" s="12"/>
      <c r="P22" s="8">
        <v>29057.07</v>
      </c>
      <c r="Q22" s="3"/>
      <c r="R22" s="7">
        <f t="shared" si="4"/>
        <v>0</v>
      </c>
      <c r="S22" s="3"/>
      <c r="T22" s="8">
        <v>16333.08</v>
      </c>
      <c r="U22" s="3"/>
      <c r="V22" s="7">
        <f t="shared" si="5"/>
        <v>0</v>
      </c>
      <c r="W22" s="3"/>
      <c r="X22" s="8">
        <f t="shared" si="6"/>
        <v>12723.99</v>
      </c>
      <c r="Y22" s="3"/>
      <c r="Z22" s="7">
        <f t="shared" si="7"/>
        <v>0.77903187886179459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46.94</v>
      </c>
      <c r="E23" s="3"/>
      <c r="F23" s="7">
        <f t="shared" si="0"/>
        <v>0</v>
      </c>
      <c r="G23" s="3"/>
      <c r="H23" s="8">
        <v>28.98</v>
      </c>
      <c r="I23" s="3"/>
      <c r="J23" s="7">
        <f t="shared" si="1"/>
        <v>0</v>
      </c>
      <c r="K23" s="3"/>
      <c r="L23" s="8">
        <f t="shared" si="2"/>
        <v>17.959999999999997</v>
      </c>
      <c r="M23" s="3"/>
      <c r="N23" s="7">
        <f t="shared" si="3"/>
        <v>0.61973775017253263</v>
      </c>
      <c r="O23" s="12"/>
      <c r="P23" s="8">
        <v>437.3</v>
      </c>
      <c r="Q23" s="3"/>
      <c r="R23" s="7">
        <f t="shared" si="4"/>
        <v>0</v>
      </c>
      <c r="S23" s="3"/>
      <c r="T23" s="8">
        <v>310.99</v>
      </c>
      <c r="U23" s="3"/>
      <c r="V23" s="7">
        <f t="shared" si="5"/>
        <v>0</v>
      </c>
      <c r="W23" s="3"/>
      <c r="X23" s="8">
        <f t="shared" si="6"/>
        <v>126.31</v>
      </c>
      <c r="Y23" s="3"/>
      <c r="Z23" s="7">
        <f t="shared" si="7"/>
        <v>0.40615453873114893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1948.13</v>
      </c>
      <c r="E24" s="3"/>
      <c r="F24" s="7">
        <f t="shared" si="0"/>
        <v>0</v>
      </c>
      <c r="G24" s="3"/>
      <c r="H24" s="8">
        <v>1221.05</v>
      </c>
      <c r="I24" s="3"/>
      <c r="J24" s="7">
        <f t="shared" si="1"/>
        <v>0</v>
      </c>
      <c r="K24" s="3"/>
      <c r="L24" s="8">
        <f t="shared" si="2"/>
        <v>727.08000000000015</v>
      </c>
      <c r="M24" s="3"/>
      <c r="N24" s="7">
        <f t="shared" si="3"/>
        <v>0.5954547315834734</v>
      </c>
      <c r="O24" s="12"/>
      <c r="P24" s="8">
        <v>18170.09</v>
      </c>
      <c r="Q24" s="3"/>
      <c r="R24" s="7">
        <f t="shared" si="4"/>
        <v>0</v>
      </c>
      <c r="S24" s="3"/>
      <c r="T24" s="8">
        <v>13260.89</v>
      </c>
      <c r="U24" s="3"/>
      <c r="V24" s="7">
        <f t="shared" si="5"/>
        <v>0</v>
      </c>
      <c r="W24" s="3"/>
      <c r="X24" s="8">
        <f t="shared" si="6"/>
        <v>4909.2000000000007</v>
      </c>
      <c r="Y24" s="3"/>
      <c r="Z24" s="7">
        <f t="shared" si="7"/>
        <v>0.37020139673883135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>
        <v>1579.7</v>
      </c>
      <c r="E25" s="3"/>
      <c r="F25" s="7">
        <f t="shared" si="0"/>
        <v>0</v>
      </c>
      <c r="G25" s="3"/>
      <c r="H25" s="8">
        <v>1022.52</v>
      </c>
      <c r="I25" s="3"/>
      <c r="J25" s="7">
        <f t="shared" si="1"/>
        <v>0</v>
      </c>
      <c r="K25" s="3"/>
      <c r="L25" s="8">
        <f t="shared" si="2"/>
        <v>557.18000000000006</v>
      </c>
      <c r="M25" s="3"/>
      <c r="N25" s="7">
        <f t="shared" si="3"/>
        <v>0.54490865704338309</v>
      </c>
      <c r="O25" s="12"/>
      <c r="P25" s="8">
        <v>16399.490000000002</v>
      </c>
      <c r="Q25" s="3"/>
      <c r="R25" s="7">
        <f t="shared" si="4"/>
        <v>0</v>
      </c>
      <c r="S25" s="3"/>
      <c r="T25" s="8">
        <v>9906.08</v>
      </c>
      <c r="U25" s="3"/>
      <c r="V25" s="7">
        <f t="shared" si="5"/>
        <v>0</v>
      </c>
      <c r="W25" s="3"/>
      <c r="X25" s="8">
        <f t="shared" si="6"/>
        <v>6493.4100000000017</v>
      </c>
      <c r="Y25" s="3"/>
      <c r="Z25" s="7">
        <f t="shared" si="7"/>
        <v>0.65549743188021914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>
        <v>825.9</v>
      </c>
      <c r="E26" s="3"/>
      <c r="F26" s="7">
        <f t="shared" si="0"/>
        <v>0</v>
      </c>
      <c r="G26" s="3"/>
      <c r="H26" s="8">
        <v>510.58</v>
      </c>
      <c r="I26" s="3"/>
      <c r="J26" s="7">
        <f t="shared" si="1"/>
        <v>0</v>
      </c>
      <c r="K26" s="3"/>
      <c r="L26" s="8">
        <f t="shared" si="2"/>
        <v>315.32</v>
      </c>
      <c r="M26" s="3"/>
      <c r="N26" s="7">
        <f t="shared" si="3"/>
        <v>0.61757217282306398</v>
      </c>
      <c r="O26" s="12"/>
      <c r="P26" s="8">
        <v>13757.52</v>
      </c>
      <c r="Q26" s="3"/>
      <c r="R26" s="7">
        <f t="shared" si="4"/>
        <v>0</v>
      </c>
      <c r="S26" s="3"/>
      <c r="T26" s="8">
        <v>4946.45</v>
      </c>
      <c r="U26" s="3"/>
      <c r="V26" s="7">
        <f t="shared" si="5"/>
        <v>0</v>
      </c>
      <c r="W26" s="3"/>
      <c r="X26" s="8">
        <f t="shared" si="6"/>
        <v>8811.07</v>
      </c>
      <c r="Y26" s="3"/>
      <c r="Z26" s="7">
        <f t="shared" si="7"/>
        <v>1.7812916333936459</v>
      </c>
    </row>
    <row r="27" spans="1:26" s="69" customFormat="1" ht="15" hidden="1" customHeight="1" outlineLevel="2" x14ac:dyDescent="0.3">
      <c r="A27" s="25"/>
      <c r="B27" s="12" t="str">
        <f>CONCATENATE("          ","6156"," - ","EMPLOYEE MEALS")</f>
        <v xml:space="preserve">          6156 - EMPLOYEE MEALS</v>
      </c>
      <c r="C27" s="12"/>
      <c r="D27" s="8">
        <v>368.19</v>
      </c>
      <c r="E27" s="3"/>
      <c r="F27" s="7">
        <f t="shared" si="0"/>
        <v>0</v>
      </c>
      <c r="G27" s="3"/>
      <c r="H27" s="8">
        <v>55.25</v>
      </c>
      <c r="I27" s="3"/>
      <c r="J27" s="7">
        <f t="shared" si="1"/>
        <v>0</v>
      </c>
      <c r="K27" s="3"/>
      <c r="L27" s="8">
        <f t="shared" si="2"/>
        <v>312.94</v>
      </c>
      <c r="M27" s="3"/>
      <c r="N27" s="7">
        <f t="shared" si="3"/>
        <v>5.6640723981900454</v>
      </c>
      <c r="O27" s="12"/>
      <c r="P27" s="8">
        <v>2775.13</v>
      </c>
      <c r="Q27" s="3"/>
      <c r="R27" s="7">
        <f t="shared" si="4"/>
        <v>0</v>
      </c>
      <c r="S27" s="3"/>
      <c r="T27" s="8">
        <v>487.42</v>
      </c>
      <c r="U27" s="3"/>
      <c r="V27" s="7">
        <f t="shared" si="5"/>
        <v>0</v>
      </c>
      <c r="W27" s="3"/>
      <c r="X27" s="8">
        <f t="shared" si="6"/>
        <v>2287.71</v>
      </c>
      <c r="Y27" s="3"/>
      <c r="Z27" s="7">
        <f t="shared" si="7"/>
        <v>4.6935086783472162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17266.28</v>
      </c>
      <c r="E28" s="2"/>
      <c r="F28" s="6">
        <f t="shared" si="0"/>
        <v>0</v>
      </c>
      <c r="G28" s="2"/>
      <c r="H28" s="2">
        <f>SUM(OSRRefH22_1x_0)</f>
        <v>10037.35</v>
      </c>
      <c r="I28" s="2"/>
      <c r="J28" s="6">
        <f t="shared" si="1"/>
        <v>0</v>
      </c>
      <c r="K28" s="2"/>
      <c r="L28" s="2">
        <f t="shared" si="2"/>
        <v>7228.9299999999985</v>
      </c>
      <c r="M28" s="2"/>
      <c r="N28" s="6">
        <f t="shared" si="3"/>
        <v>0.72020304163947635</v>
      </c>
      <c r="O28" s="14"/>
      <c r="P28" s="2">
        <f>SUM(OSRRefP22_1x_0)</f>
        <v>158909.02000000002</v>
      </c>
      <c r="Q28" s="2"/>
      <c r="R28" s="6">
        <f t="shared" si="4"/>
        <v>0</v>
      </c>
      <c r="S28" s="2"/>
      <c r="T28" s="2">
        <f>SUM(OSRRefT22_1x_0)</f>
        <v>99604.25</v>
      </c>
      <c r="U28" s="2"/>
      <c r="V28" s="6">
        <f t="shared" si="5"/>
        <v>0</v>
      </c>
      <c r="W28" s="2"/>
      <c r="X28" s="2">
        <f t="shared" si="6"/>
        <v>59304.770000000019</v>
      </c>
      <c r="Y28" s="2"/>
      <c r="Z28" s="6">
        <f t="shared" si="7"/>
        <v>0.59540401137501686</v>
      </c>
    </row>
    <row r="29" spans="1:26" s="69" customFormat="1" ht="15" hidden="1" customHeight="1" outlineLevel="2" x14ac:dyDescent="0.3">
      <c r="A29" s="25"/>
      <c r="B29" s="12" t="str">
        <f>CONCATENATE("          ","6001"," - ","ADMINISTRATIVE SALARIES")</f>
        <v xml:space="preserve">          6001 - ADMINISTRATIVE SALARIES</v>
      </c>
      <c r="C29" s="12"/>
      <c r="D29" s="8">
        <v>11512.06</v>
      </c>
      <c r="E29" s="3"/>
      <c r="F29" s="7">
        <f t="shared" si="0"/>
        <v>0</v>
      </c>
      <c r="G29" s="3"/>
      <c r="H29" s="8">
        <v>10037.35</v>
      </c>
      <c r="I29" s="3"/>
      <c r="J29" s="7">
        <f t="shared" si="1"/>
        <v>0</v>
      </c>
      <c r="K29" s="3"/>
      <c r="L29" s="8">
        <f t="shared" si="2"/>
        <v>1474.7099999999991</v>
      </c>
      <c r="M29" s="3"/>
      <c r="N29" s="7">
        <f t="shared" si="3"/>
        <v>0.14692224541338092</v>
      </c>
      <c r="O29" s="12"/>
      <c r="P29" s="8">
        <v>100708.35</v>
      </c>
      <c r="Q29" s="3"/>
      <c r="R29" s="7">
        <f t="shared" si="4"/>
        <v>0</v>
      </c>
      <c r="S29" s="3"/>
      <c r="T29" s="8">
        <v>97219.25</v>
      </c>
      <c r="U29" s="3"/>
      <c r="V29" s="7">
        <f t="shared" si="5"/>
        <v>0</v>
      </c>
      <c r="W29" s="3"/>
      <c r="X29" s="8">
        <f t="shared" si="6"/>
        <v>3489.1000000000058</v>
      </c>
      <c r="Y29" s="3"/>
      <c r="Z29" s="7">
        <f t="shared" si="7"/>
        <v>3.5888982891762754E-2</v>
      </c>
    </row>
    <row r="30" spans="1:26" s="69" customFormat="1" ht="15" hidden="1" customHeight="1" outlineLevel="2" x14ac:dyDescent="0.3">
      <c r="A30" s="25"/>
      <c r="B30" s="12" t="str">
        <f>CONCATENATE("          ","6002"," - ","STAFF SALARIES")</f>
        <v xml:space="preserve">          6002 - STAFF SALARIES</v>
      </c>
      <c r="C30" s="12"/>
      <c r="D30" s="8">
        <v>5754.22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5754.22</v>
      </c>
      <c r="M30" s="3"/>
      <c r="N30" s="7">
        <f t="shared" si="3"/>
        <v>0</v>
      </c>
      <c r="O30" s="12"/>
      <c r="P30" s="8">
        <v>55193.43</v>
      </c>
      <c r="Q30" s="3"/>
      <c r="R30" s="7">
        <f t="shared" si="4"/>
        <v>0</v>
      </c>
      <c r="S30" s="3"/>
      <c r="T30" s="8">
        <v>2080</v>
      </c>
      <c r="U30" s="3"/>
      <c r="V30" s="7">
        <f t="shared" si="5"/>
        <v>0</v>
      </c>
      <c r="W30" s="3"/>
      <c r="X30" s="8">
        <f t="shared" si="6"/>
        <v>53113.43</v>
      </c>
      <c r="Y30" s="3"/>
      <c r="Z30" s="7">
        <f t="shared" si="7"/>
        <v>25.535302884615383</v>
      </c>
    </row>
    <row r="31" spans="1:26" s="69" customFormat="1" ht="15" hidden="1" customHeight="1" outlineLevel="2" x14ac:dyDescent="0.3">
      <c r="A31" s="25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1380.76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1380.76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5"/>
      <c r="B32" s="12" t="str">
        <f>CONCATENATE("          ","6005"," - ","TEMPORARY WAGES-HOURLY")</f>
        <v xml:space="preserve">          6005 - TEMPORARY WAGES-HOURLY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1626.48</v>
      </c>
      <c r="Q32" s="3"/>
      <c r="R32" s="7">
        <f t="shared" si="4"/>
        <v>0</v>
      </c>
      <c r="S32" s="3"/>
      <c r="T32" s="8">
        <v>305</v>
      </c>
      <c r="U32" s="3"/>
      <c r="V32" s="7">
        <f t="shared" si="5"/>
        <v>0</v>
      </c>
      <c r="W32" s="3"/>
      <c r="X32" s="8">
        <f t="shared" si="6"/>
        <v>1321.48</v>
      </c>
      <c r="Y32" s="3"/>
      <c r="Z32" s="7">
        <f t="shared" si="7"/>
        <v>4.3327213114754102</v>
      </c>
    </row>
    <row r="33" spans="1:26" s="69" customFormat="1" ht="15" hidden="1" customHeight="1" outlineLevel="2" x14ac:dyDescent="0.3">
      <c r="A33" s="25"/>
      <c r="B33" s="12" t="str">
        <f>CONCATENATE("          ","6007"," - ","STUDENT HOURLY")</f>
        <v xml:space="preserve">          6007 - STUDENT HOURLY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0</v>
      </c>
      <c r="Q33" s="3"/>
      <c r="R33" s="7">
        <f t="shared" si="4"/>
        <v>0</v>
      </c>
      <c r="S33" s="3"/>
      <c r="T33" s="8"/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6"/>
      <c r="B34" s="14" t="str">
        <f>CONCATENATE("     ","Bank/card Fees                                    ")</f>
        <v xml:space="preserve">     Bank/card Fees                                    </v>
      </c>
      <c r="C34" s="14"/>
      <c r="D34" s="2">
        <f>SUM(OSRRefD22_2x_0)</f>
        <v>177.96</v>
      </c>
      <c r="E34" s="2"/>
      <c r="F34" s="6">
        <f t="shared" si="0"/>
        <v>0</v>
      </c>
      <c r="G34" s="2"/>
      <c r="H34" s="2">
        <f>SUM(OSRRefH22_2x_0)</f>
        <v>492.91</v>
      </c>
      <c r="I34" s="2"/>
      <c r="J34" s="6">
        <f t="shared" si="1"/>
        <v>0</v>
      </c>
      <c r="K34" s="2"/>
      <c r="L34" s="2">
        <f t="shared" si="2"/>
        <v>-314.95000000000005</v>
      </c>
      <c r="M34" s="2"/>
      <c r="N34" s="6">
        <f t="shared" si="3"/>
        <v>-0.63896045931305923</v>
      </c>
      <c r="O34" s="14"/>
      <c r="P34" s="2">
        <f>SUM(OSRRefP22_2x_0)</f>
        <v>1940.27</v>
      </c>
      <c r="Q34" s="2"/>
      <c r="R34" s="6">
        <f t="shared" si="4"/>
        <v>0</v>
      </c>
      <c r="S34" s="2"/>
      <c r="T34" s="2">
        <f>SUM(OSRRefT22_2x_0)</f>
        <v>3880.4</v>
      </c>
      <c r="U34" s="2"/>
      <c r="V34" s="6">
        <f t="shared" si="5"/>
        <v>0</v>
      </c>
      <c r="W34" s="2"/>
      <c r="X34" s="2">
        <f t="shared" si="6"/>
        <v>-1940.13</v>
      </c>
      <c r="Y34" s="2"/>
      <c r="Z34" s="6">
        <f t="shared" si="7"/>
        <v>-0.49998196062261624</v>
      </c>
    </row>
    <row r="35" spans="1:26" s="69" customFormat="1" ht="15" hidden="1" customHeight="1" outlineLevel="2" x14ac:dyDescent="0.3">
      <c r="A35" s="25"/>
      <c r="B35" s="12" t="str">
        <f>CONCATENATE("          ","6381"," - ","BANK/CREDIT CARD FEES")</f>
        <v xml:space="preserve">          6381 - BANK/CREDIT CARD FEES</v>
      </c>
      <c r="C35" s="12"/>
      <c r="D35" s="8">
        <v>177.96</v>
      </c>
      <c r="E35" s="3"/>
      <c r="F35" s="7">
        <f t="shared" si="0"/>
        <v>0</v>
      </c>
      <c r="G35" s="3"/>
      <c r="H35" s="8">
        <v>492.91</v>
      </c>
      <c r="I35" s="3"/>
      <c r="J35" s="7">
        <f t="shared" si="1"/>
        <v>0</v>
      </c>
      <c r="K35" s="3"/>
      <c r="L35" s="8">
        <f t="shared" si="2"/>
        <v>-314.95000000000005</v>
      </c>
      <c r="M35" s="3"/>
      <c r="N35" s="7">
        <f t="shared" si="3"/>
        <v>-0.63896045931305923</v>
      </c>
      <c r="O35" s="12"/>
      <c r="P35" s="8">
        <v>1940.27</v>
      </c>
      <c r="Q35" s="3"/>
      <c r="R35" s="7">
        <f t="shared" si="4"/>
        <v>0</v>
      </c>
      <c r="S35" s="3"/>
      <c r="T35" s="8">
        <v>3880.4</v>
      </c>
      <c r="U35" s="3"/>
      <c r="V35" s="7">
        <f t="shared" si="5"/>
        <v>0</v>
      </c>
      <c r="W35" s="3"/>
      <c r="X35" s="8">
        <f t="shared" si="6"/>
        <v>-1940.13</v>
      </c>
      <c r="Y35" s="3"/>
      <c r="Z35" s="7">
        <f t="shared" si="7"/>
        <v>-0.49998196062261624</v>
      </c>
    </row>
    <row r="36" spans="1:26" s="68" customFormat="1" ht="15" customHeight="1" outlineLevel="1" collapsed="1" x14ac:dyDescent="0.3">
      <c r="A36" s="26"/>
      <c r="B36" s="14" t="str">
        <f>CONCATENATE("     ","Depreciation                                      ")</f>
        <v xml:space="preserve">     Depreciation                                      </v>
      </c>
      <c r="C36" s="14"/>
      <c r="D36" s="2">
        <f>SUM(OSRRefD22_3x_0)</f>
        <v>4756.7300000000005</v>
      </c>
      <c r="E36" s="2"/>
      <c r="F36" s="6">
        <f t="shared" si="0"/>
        <v>0</v>
      </c>
      <c r="G36" s="2"/>
      <c r="H36" s="2">
        <f>SUM(OSRRefH22_3x_0)</f>
        <v>6779.8600000000006</v>
      </c>
      <c r="I36" s="2"/>
      <c r="J36" s="6">
        <f t="shared" si="1"/>
        <v>0</v>
      </c>
      <c r="K36" s="2"/>
      <c r="L36" s="2">
        <f t="shared" si="2"/>
        <v>-2023.13</v>
      </c>
      <c r="M36" s="2"/>
      <c r="N36" s="6">
        <f t="shared" si="3"/>
        <v>-0.29840291687438975</v>
      </c>
      <c r="O36" s="14"/>
      <c r="P36" s="2">
        <f>SUM(OSRRefP22_3x_0)</f>
        <v>47408.97</v>
      </c>
      <c r="Q36" s="2"/>
      <c r="R36" s="6">
        <f t="shared" si="4"/>
        <v>0</v>
      </c>
      <c r="S36" s="2"/>
      <c r="T36" s="2">
        <f>SUM(OSRRefT22_3x_0)</f>
        <v>61802.930000000008</v>
      </c>
      <c r="U36" s="2"/>
      <c r="V36" s="6">
        <f t="shared" si="5"/>
        <v>0</v>
      </c>
      <c r="W36" s="2"/>
      <c r="X36" s="2">
        <f t="shared" si="6"/>
        <v>-14393.960000000006</v>
      </c>
      <c r="Y36" s="2"/>
      <c r="Z36" s="6">
        <f t="shared" si="7"/>
        <v>-0.23290093204318962</v>
      </c>
    </row>
    <row r="37" spans="1:26" s="69" customFormat="1" ht="15" hidden="1" customHeight="1" outlineLevel="2" x14ac:dyDescent="0.3">
      <c r="A37" s="25"/>
      <c r="B37" s="12" t="str">
        <f>CONCATENATE("          ","6321"," - ","BUILDING DEPRECIATION")</f>
        <v xml:space="preserve">          6321 - BUILDING DEPRECIATION</v>
      </c>
      <c r="C37" s="12"/>
      <c r="D37" s="8">
        <v>1822.68</v>
      </c>
      <c r="E37" s="3"/>
      <c r="F37" s="7">
        <f t="shared" si="0"/>
        <v>0</v>
      </c>
      <c r="G37" s="3"/>
      <c r="H37" s="8">
        <v>1822.68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16404.12</v>
      </c>
      <c r="Q37" s="3"/>
      <c r="R37" s="7">
        <f t="shared" si="4"/>
        <v>0</v>
      </c>
      <c r="S37" s="3"/>
      <c r="T37" s="8">
        <v>17188.310000000001</v>
      </c>
      <c r="U37" s="3"/>
      <c r="V37" s="7">
        <f t="shared" si="5"/>
        <v>0</v>
      </c>
      <c r="W37" s="3"/>
      <c r="X37" s="8">
        <f t="shared" si="6"/>
        <v>-784.19000000000233</v>
      </c>
      <c r="Y37" s="3"/>
      <c r="Z37" s="7">
        <f t="shared" si="7"/>
        <v>-4.5623449891234347E-2</v>
      </c>
    </row>
    <row r="38" spans="1:26" s="69" customFormat="1" ht="15" hidden="1" customHeight="1" outlineLevel="2" x14ac:dyDescent="0.3">
      <c r="A38" s="25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2934.05</v>
      </c>
      <c r="E38" s="3"/>
      <c r="F38" s="7">
        <f t="shared" si="0"/>
        <v>0</v>
      </c>
      <c r="G38" s="3"/>
      <c r="H38" s="8">
        <v>4957.18</v>
      </c>
      <c r="I38" s="3"/>
      <c r="J38" s="7">
        <f t="shared" si="1"/>
        <v>0</v>
      </c>
      <c r="K38" s="3"/>
      <c r="L38" s="8">
        <f t="shared" si="2"/>
        <v>-2023.13</v>
      </c>
      <c r="M38" s="3"/>
      <c r="N38" s="7">
        <f t="shared" si="3"/>
        <v>-0.40812114952452805</v>
      </c>
      <c r="O38" s="12"/>
      <c r="P38" s="8">
        <v>31004.85</v>
      </c>
      <c r="Q38" s="3"/>
      <c r="R38" s="7">
        <f t="shared" si="4"/>
        <v>0</v>
      </c>
      <c r="S38" s="3"/>
      <c r="T38" s="8">
        <v>44614.62</v>
      </c>
      <c r="U38" s="3"/>
      <c r="V38" s="7">
        <f t="shared" si="5"/>
        <v>0</v>
      </c>
      <c r="W38" s="3"/>
      <c r="X38" s="8">
        <f t="shared" si="6"/>
        <v>-13609.770000000004</v>
      </c>
      <c r="Y38" s="3"/>
      <c r="Z38" s="7">
        <f t="shared" si="7"/>
        <v>-0.30505179692217493</v>
      </c>
    </row>
    <row r="39" spans="1:26" s="68" customFormat="1" ht="15" customHeight="1" outlineLevel="1" collapsed="1" x14ac:dyDescent="0.3">
      <c r="A39" s="26"/>
      <c r="B39" s="14" t="str">
        <f>CONCATENATE("     ","Employees' Appreciation                           ")</f>
        <v xml:space="preserve">     Employees' Appreciation                           </v>
      </c>
      <c r="C39" s="14"/>
      <c r="D39" s="2">
        <f>SUM(OSRRefD22_4x_0)</f>
        <v>0</v>
      </c>
      <c r="E39" s="2"/>
      <c r="F39" s="6">
        <f t="shared" si="0"/>
        <v>0</v>
      </c>
      <c r="G39" s="2"/>
      <c r="H39" s="2">
        <f>SUM(OSRRefH22_4x_0)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SUM(OSRRefP22_4x_0)</f>
        <v>18</v>
      </c>
      <c r="Q39" s="2"/>
      <c r="R39" s="6">
        <f t="shared" si="4"/>
        <v>0</v>
      </c>
      <c r="S39" s="2"/>
      <c r="T39" s="2">
        <f>SUM(OSRRefT22_4x_0)</f>
        <v>0</v>
      </c>
      <c r="U39" s="2"/>
      <c r="V39" s="6">
        <f t="shared" si="5"/>
        <v>0</v>
      </c>
      <c r="W39" s="2"/>
      <c r="X39" s="2">
        <f t="shared" si="6"/>
        <v>18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5"/>
      <c r="B40" s="12" t="str">
        <f>CONCATENATE("          ","6277"," - ","EMPLOYEE APPRECIATION")</f>
        <v xml:space="preserve">          6277 - EMPLOYEE APPRECIATION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18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18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6"/>
      <c r="B41" s="14" t="str">
        <f>CONCATENATE("     ","Equipment Rental                                  ")</f>
        <v xml:space="preserve">     Equipment Rental                                  </v>
      </c>
      <c r="C41" s="14"/>
      <c r="D41" s="2">
        <f>SUM(OSRRefD22_5x_0)</f>
        <v>91.26</v>
      </c>
      <c r="E41" s="2"/>
      <c r="F41" s="6">
        <f t="shared" si="0"/>
        <v>0</v>
      </c>
      <c r="G41" s="2"/>
      <c r="H41" s="2">
        <f>SUM(OSRRefH22_5x_0)</f>
        <v>91.26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730.08</v>
      </c>
      <c r="Q41" s="2"/>
      <c r="R41" s="6">
        <f t="shared" si="4"/>
        <v>0</v>
      </c>
      <c r="S41" s="2"/>
      <c r="T41" s="2">
        <f>SUM(OSRRefT22_5x_0)</f>
        <v>3019.49</v>
      </c>
      <c r="U41" s="2"/>
      <c r="V41" s="6">
        <f t="shared" si="5"/>
        <v>0</v>
      </c>
      <c r="W41" s="2"/>
      <c r="X41" s="2">
        <f t="shared" si="6"/>
        <v>-2289.41</v>
      </c>
      <c r="Y41" s="2"/>
      <c r="Z41" s="6">
        <f t="shared" si="7"/>
        <v>-0.75821082368214499</v>
      </c>
    </row>
    <row r="42" spans="1:26" s="69" customFormat="1" ht="15" hidden="1" customHeight="1" outlineLevel="2" x14ac:dyDescent="0.3">
      <c r="A42" s="25"/>
      <c r="B42" s="12" t="str">
        <f>CONCATENATE("          ","6351"," - ","EQUIPMENT RENTAL")</f>
        <v xml:space="preserve">          6351 - EQUIPMENT RENTAL</v>
      </c>
      <c r="C42" s="12"/>
      <c r="D42" s="8">
        <v>91.26</v>
      </c>
      <c r="E42" s="3"/>
      <c r="F42" s="7">
        <f t="shared" si="0"/>
        <v>0</v>
      </c>
      <c r="G42" s="3"/>
      <c r="H42" s="8">
        <v>91.26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730.08</v>
      </c>
      <c r="Q42" s="3"/>
      <c r="R42" s="7">
        <f t="shared" si="4"/>
        <v>0</v>
      </c>
      <c r="S42" s="3"/>
      <c r="T42" s="8">
        <v>3019.49</v>
      </c>
      <c r="U42" s="3"/>
      <c r="V42" s="7">
        <f t="shared" si="5"/>
        <v>0</v>
      </c>
      <c r="W42" s="3"/>
      <c r="X42" s="8">
        <f t="shared" si="6"/>
        <v>-2289.41</v>
      </c>
      <c r="Y42" s="3"/>
      <c r="Z42" s="7">
        <f t="shared" si="7"/>
        <v>-0.75821082368214499</v>
      </c>
    </row>
    <row r="43" spans="1:26" s="68" customFormat="1" ht="15" customHeight="1" outlineLevel="1" collapsed="1" x14ac:dyDescent="0.3">
      <c r="A43" s="26"/>
      <c r="B43" s="14" t="str">
        <f>CONCATENATE("     ","Freight out/Postage                               ")</f>
        <v xml:space="preserve">     Freight out/Postage                               </v>
      </c>
      <c r="C43" s="14"/>
      <c r="D43" s="2">
        <f>SUM(OSRRefD22_6x_0)</f>
        <v>0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0</v>
      </c>
      <c r="Q43" s="2"/>
      <c r="R43" s="6">
        <f t="shared" si="4"/>
        <v>0</v>
      </c>
      <c r="S43" s="2"/>
      <c r="T43" s="2">
        <f>SUM(OSRRefT22_6x_0)</f>
        <v>-5.41</v>
      </c>
      <c r="U43" s="2"/>
      <c r="V43" s="6">
        <f t="shared" si="5"/>
        <v>0</v>
      </c>
      <c r="W43" s="2"/>
      <c r="X43" s="2">
        <f t="shared" si="6"/>
        <v>5.41</v>
      </c>
      <c r="Y43" s="2"/>
      <c r="Z43" s="6">
        <f t="shared" si="7"/>
        <v>-1</v>
      </c>
    </row>
    <row r="44" spans="1:26" s="69" customFormat="1" ht="15" hidden="1" customHeight="1" outlineLevel="2" x14ac:dyDescent="0.3">
      <c r="A44" s="25"/>
      <c r="B44" s="12" t="str">
        <f>CONCATENATE("          ","6307"," - ","POSTAGE")</f>
        <v xml:space="preserve">          6307 - POSTAGE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-5.41</v>
      </c>
      <c r="U44" s="3"/>
      <c r="V44" s="7">
        <f t="shared" si="5"/>
        <v>0</v>
      </c>
      <c r="W44" s="3"/>
      <c r="X44" s="8">
        <f t="shared" si="6"/>
        <v>5.41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6"/>
      <c r="B45" s="14" t="str">
        <f>CONCATENATE("     ","General                                           ")</f>
        <v xml:space="preserve">     General            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SUM(OSRRefP22_7x_0)</f>
        <v>122.51</v>
      </c>
      <c r="Q45" s="2"/>
      <c r="R45" s="6">
        <f t="shared" si="4"/>
        <v>0</v>
      </c>
      <c r="S45" s="2"/>
      <c r="T45" s="2">
        <f>SUM(OSRRefT22_7x_0)</f>
        <v>516.41</v>
      </c>
      <c r="U45" s="2"/>
      <c r="V45" s="6">
        <f t="shared" si="5"/>
        <v>0</v>
      </c>
      <c r="W45" s="2"/>
      <c r="X45" s="2">
        <f t="shared" si="6"/>
        <v>-393.9</v>
      </c>
      <c r="Y45" s="2"/>
      <c r="Z45" s="6">
        <f t="shared" si="7"/>
        <v>-0.7627660192482717</v>
      </c>
    </row>
    <row r="46" spans="1:26" s="69" customFormat="1" ht="15" hidden="1" customHeight="1" outlineLevel="2" x14ac:dyDescent="0.3">
      <c r="A46" s="25"/>
      <c r="B46" s="12" t="str">
        <f>CONCATENATE("          ","6279"," - ","GENERAL EXPENSE")</f>
        <v xml:space="preserve">          6279 - GENERAL EXPENSE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122.51</v>
      </c>
      <c r="Q46" s="3"/>
      <c r="R46" s="7">
        <f t="shared" si="4"/>
        <v>0</v>
      </c>
      <c r="S46" s="3"/>
      <c r="T46" s="8">
        <v>516.41</v>
      </c>
      <c r="U46" s="3"/>
      <c r="V46" s="7">
        <f t="shared" si="5"/>
        <v>0</v>
      </c>
      <c r="W46" s="3"/>
      <c r="X46" s="8">
        <f t="shared" si="6"/>
        <v>-393.9</v>
      </c>
      <c r="Y46" s="3"/>
      <c r="Z46" s="7">
        <f t="shared" si="7"/>
        <v>-0.7627660192482717</v>
      </c>
    </row>
    <row r="47" spans="1:26" s="68" customFormat="1" ht="15" customHeight="1" outlineLevel="1" collapsed="1" x14ac:dyDescent="0.3">
      <c r="A47" s="26"/>
      <c r="B47" s="14" t="str">
        <f>CONCATENATE("     ","Insurance                                         ")</f>
        <v xml:space="preserve">     Insurance                                         </v>
      </c>
      <c r="C47" s="14"/>
      <c r="D47" s="2">
        <f>SUM(OSRRefD22_8x_0)</f>
        <v>4884.6000000000004</v>
      </c>
      <c r="E47" s="2"/>
      <c r="F47" s="6">
        <f t="shared" si="0"/>
        <v>0</v>
      </c>
      <c r="G47" s="2"/>
      <c r="H47" s="2">
        <f>SUM(OSRRefH22_8x_0)</f>
        <v>3598.85</v>
      </c>
      <c r="I47" s="2"/>
      <c r="J47" s="6">
        <f t="shared" si="1"/>
        <v>0</v>
      </c>
      <c r="K47" s="2"/>
      <c r="L47" s="2">
        <f t="shared" si="2"/>
        <v>1285.7500000000005</v>
      </c>
      <c r="M47" s="2"/>
      <c r="N47" s="6">
        <f t="shared" si="3"/>
        <v>0.35726690470567002</v>
      </c>
      <c r="O47" s="14"/>
      <c r="P47" s="2">
        <f>SUM(OSRRefP22_8x_0)</f>
        <v>50844.4</v>
      </c>
      <c r="Q47" s="2"/>
      <c r="R47" s="6">
        <f t="shared" si="4"/>
        <v>0</v>
      </c>
      <c r="S47" s="2"/>
      <c r="T47" s="2">
        <f>SUM(OSRRefT22_8x_0)</f>
        <v>38501.65</v>
      </c>
      <c r="U47" s="2"/>
      <c r="V47" s="6">
        <f t="shared" si="5"/>
        <v>0</v>
      </c>
      <c r="W47" s="2"/>
      <c r="X47" s="2">
        <f t="shared" si="6"/>
        <v>12342.75</v>
      </c>
      <c r="Y47" s="2"/>
      <c r="Z47" s="6">
        <f t="shared" si="7"/>
        <v>0.32057717006933467</v>
      </c>
    </row>
    <row r="48" spans="1:26" s="69" customFormat="1" ht="15" hidden="1" customHeight="1" outlineLevel="2" x14ac:dyDescent="0.3">
      <c r="A48" s="25"/>
      <c r="B48" s="12" t="str">
        <f>CONCATENATE("          ","6314"," - ","LIABILITY INSURANCE")</f>
        <v xml:space="preserve">          6314 - LIABILITY INSURANCE</v>
      </c>
      <c r="C48" s="12"/>
      <c r="D48" s="8">
        <v>4884.6000000000004</v>
      </c>
      <c r="E48" s="3"/>
      <c r="F48" s="7">
        <f t="shared" si="0"/>
        <v>0</v>
      </c>
      <c r="G48" s="3"/>
      <c r="H48" s="8">
        <v>3598.85</v>
      </c>
      <c r="I48" s="3"/>
      <c r="J48" s="7">
        <f t="shared" si="1"/>
        <v>0</v>
      </c>
      <c r="K48" s="3"/>
      <c r="L48" s="8">
        <f t="shared" si="2"/>
        <v>1285.7500000000005</v>
      </c>
      <c r="M48" s="3"/>
      <c r="N48" s="7">
        <f t="shared" si="3"/>
        <v>0.35726690470567002</v>
      </c>
      <c r="O48" s="12"/>
      <c r="P48" s="8">
        <v>50844.4</v>
      </c>
      <c r="Q48" s="3"/>
      <c r="R48" s="7">
        <f t="shared" si="4"/>
        <v>0</v>
      </c>
      <c r="S48" s="3"/>
      <c r="T48" s="8">
        <v>38501.65</v>
      </c>
      <c r="U48" s="3"/>
      <c r="V48" s="7">
        <f t="shared" si="5"/>
        <v>0</v>
      </c>
      <c r="W48" s="3"/>
      <c r="X48" s="8">
        <f t="shared" si="6"/>
        <v>12342.75</v>
      </c>
      <c r="Y48" s="3"/>
      <c r="Z48" s="7">
        <f t="shared" si="7"/>
        <v>0.32057717006933467</v>
      </c>
    </row>
    <row r="49" spans="1:26" s="68" customFormat="1" ht="15" customHeight="1" outlineLevel="1" collapsed="1" x14ac:dyDescent="0.3">
      <c r="A49" s="26"/>
      <c r="B49" s="14" t="str">
        <f>CONCATENATE("     ","Repair and Maintenance                            ")</f>
        <v xml:space="preserve">     Repair and Maintenance                            </v>
      </c>
      <c r="C49" s="14"/>
      <c r="D49" s="2">
        <f>SUM(OSRRefD22_9x_0)</f>
        <v>1580.0600000000002</v>
      </c>
      <c r="E49" s="2"/>
      <c r="F49" s="6">
        <f t="shared" si="0"/>
        <v>0</v>
      </c>
      <c r="G49" s="2"/>
      <c r="H49" s="2">
        <f>SUM(OSRRefH22_9x_0)</f>
        <v>3575.48</v>
      </c>
      <c r="I49" s="2"/>
      <c r="J49" s="6">
        <f t="shared" si="1"/>
        <v>0</v>
      </c>
      <c r="K49" s="2"/>
      <c r="L49" s="2">
        <f t="shared" si="2"/>
        <v>-1995.4199999999998</v>
      </c>
      <c r="M49" s="2"/>
      <c r="N49" s="6">
        <f t="shared" si="3"/>
        <v>-0.55808450893306627</v>
      </c>
      <c r="O49" s="14"/>
      <c r="P49" s="2">
        <f>SUM(OSRRefP22_9x_0)</f>
        <v>25171.39</v>
      </c>
      <c r="Q49" s="2"/>
      <c r="R49" s="6">
        <f t="shared" si="4"/>
        <v>0</v>
      </c>
      <c r="S49" s="2"/>
      <c r="T49" s="2">
        <f>SUM(OSRRefT22_9x_0)</f>
        <v>8241.84</v>
      </c>
      <c r="U49" s="2"/>
      <c r="V49" s="6">
        <f t="shared" si="5"/>
        <v>0</v>
      </c>
      <c r="W49" s="2"/>
      <c r="X49" s="2">
        <f t="shared" si="6"/>
        <v>16929.55</v>
      </c>
      <c r="Y49" s="2"/>
      <c r="Z49" s="6">
        <f t="shared" si="7"/>
        <v>2.0540983566776352</v>
      </c>
    </row>
    <row r="50" spans="1:26" s="69" customFormat="1" ht="15" hidden="1" customHeight="1" outlineLevel="2" x14ac:dyDescent="0.3">
      <c r="A50" s="25"/>
      <c r="B50" s="12" t="str">
        <f>CONCATENATE("          ","6371"," - ","COMPUTER SOFTWARE MAINTENANCE")</f>
        <v xml:space="preserve">          6371 - COMPUTER SOFTWARE MAINTENANCE</v>
      </c>
      <c r="C50" s="12"/>
      <c r="D50" s="8">
        <v>783.7</v>
      </c>
      <c r="E50" s="3"/>
      <c r="F50" s="7">
        <f t="shared" ref="F50:F69" si="8">IF(D$12=0,0,D50/D$12)</f>
        <v>0</v>
      </c>
      <c r="G50" s="3"/>
      <c r="H50" s="8"/>
      <c r="I50" s="3"/>
      <c r="J50" s="7">
        <f t="shared" ref="J50:J69" si="9">IF(H$12=0,0,H50/H$12)</f>
        <v>0</v>
      </c>
      <c r="K50" s="3"/>
      <c r="L50" s="8">
        <f t="shared" ref="L50:L69" si="10">+D50-H50</f>
        <v>783.7</v>
      </c>
      <c r="M50" s="3"/>
      <c r="N50" s="7">
        <f t="shared" ref="N50:N69" si="11">IF(H50=0,0,L50/H50)</f>
        <v>0</v>
      </c>
      <c r="O50" s="12"/>
      <c r="P50" s="8">
        <v>7600.87</v>
      </c>
      <c r="Q50" s="3"/>
      <c r="R50" s="7">
        <f t="shared" ref="R50:R69" si="12">IF(P$12=0,0,P50/P$12)</f>
        <v>0</v>
      </c>
      <c r="S50" s="3"/>
      <c r="T50" s="8">
        <v>702.27</v>
      </c>
      <c r="U50" s="3"/>
      <c r="V50" s="7">
        <f t="shared" ref="V50:V69" si="13">IF(T$12=0,0,T50/T$12)</f>
        <v>0</v>
      </c>
      <c r="W50" s="3"/>
      <c r="X50" s="8">
        <f t="shared" ref="X50:X69" si="14">+P50-T50</f>
        <v>6898.6</v>
      </c>
      <c r="Y50" s="3"/>
      <c r="Z50" s="7">
        <f t="shared" ref="Z50:Z69" si="15">IF(T50=0,0,X50/T50)</f>
        <v>9.8232873396272105</v>
      </c>
    </row>
    <row r="51" spans="1:26" s="69" customFormat="1" ht="15" hidden="1" customHeight="1" outlineLevel="2" x14ac:dyDescent="0.3">
      <c r="A51" s="25"/>
      <c r="B51" s="12" t="str">
        <f>CONCATENATE("          ","6372"," - ","COMPUTER HARDWARE MAINTENANCE")</f>
        <v xml:space="preserve">          6372 - COMPUTER HARDWARE MAINTENANCE</v>
      </c>
      <c r="C51" s="12"/>
      <c r="D51" s="8"/>
      <c r="E51" s="3"/>
      <c r="F51" s="7">
        <f t="shared" si="8"/>
        <v>0</v>
      </c>
      <c r="G51" s="3"/>
      <c r="H51" s="8">
        <v>100</v>
      </c>
      <c r="I51" s="3"/>
      <c r="J51" s="7">
        <f t="shared" si="9"/>
        <v>0</v>
      </c>
      <c r="K51" s="3"/>
      <c r="L51" s="8">
        <f t="shared" si="10"/>
        <v>-100</v>
      </c>
      <c r="M51" s="3"/>
      <c r="N51" s="7">
        <f t="shared" si="11"/>
        <v>-1</v>
      </c>
      <c r="O51" s="12"/>
      <c r="P51" s="8"/>
      <c r="Q51" s="3"/>
      <c r="R51" s="7">
        <f t="shared" si="12"/>
        <v>0</v>
      </c>
      <c r="S51" s="3"/>
      <c r="T51" s="8">
        <v>100</v>
      </c>
      <c r="U51" s="3"/>
      <c r="V51" s="7">
        <f t="shared" si="13"/>
        <v>0</v>
      </c>
      <c r="W51" s="3"/>
      <c r="X51" s="8">
        <f t="shared" si="14"/>
        <v>-100</v>
      </c>
      <c r="Y51" s="3"/>
      <c r="Z51" s="7">
        <f t="shared" si="15"/>
        <v>-1</v>
      </c>
    </row>
    <row r="52" spans="1:26" s="69" customFormat="1" ht="15" hidden="1" customHeight="1" outlineLevel="2" x14ac:dyDescent="0.3">
      <c r="A52" s="25"/>
      <c r="B52" s="12" t="str">
        <f>CONCATENATE("          ","6373"," - ","MAINTENANCE CONTRACTS")</f>
        <v xml:space="preserve">          6373 - MAINTENANCE CONTRACTS</v>
      </c>
      <c r="C52" s="12"/>
      <c r="D52" s="8">
        <v>463.64</v>
      </c>
      <c r="E52" s="3"/>
      <c r="F52" s="7">
        <f t="shared" si="8"/>
        <v>0</v>
      </c>
      <c r="G52" s="3"/>
      <c r="H52" s="8">
        <v>84.41</v>
      </c>
      <c r="I52" s="3"/>
      <c r="J52" s="7">
        <f t="shared" si="9"/>
        <v>0</v>
      </c>
      <c r="K52" s="3"/>
      <c r="L52" s="8">
        <f t="shared" si="10"/>
        <v>379.23</v>
      </c>
      <c r="M52" s="3"/>
      <c r="N52" s="7">
        <f t="shared" si="11"/>
        <v>4.4927141333965173</v>
      </c>
      <c r="O52" s="12"/>
      <c r="P52" s="8">
        <v>7716.27</v>
      </c>
      <c r="Q52" s="3"/>
      <c r="R52" s="7">
        <f t="shared" si="12"/>
        <v>0</v>
      </c>
      <c r="S52" s="3"/>
      <c r="T52" s="8">
        <v>2215.61</v>
      </c>
      <c r="U52" s="3"/>
      <c r="V52" s="7">
        <f t="shared" si="13"/>
        <v>0</v>
      </c>
      <c r="W52" s="3"/>
      <c r="X52" s="8">
        <f t="shared" si="14"/>
        <v>5500.66</v>
      </c>
      <c r="Y52" s="3"/>
      <c r="Z52" s="7">
        <f t="shared" si="15"/>
        <v>2.482684226917192</v>
      </c>
    </row>
    <row r="53" spans="1:26" s="69" customFormat="1" ht="15" hidden="1" customHeight="1" outlineLevel="2" x14ac:dyDescent="0.3">
      <c r="A53" s="25"/>
      <c r="B53" s="12" t="str">
        <f>CONCATENATE("          ","6375"," - ","OUTSIDE REPAIRS &amp; MAINTENANCE")</f>
        <v xml:space="preserve">          6375 - OUTSIDE REPAIRS &amp; MAINTENANCE</v>
      </c>
      <c r="C53" s="12"/>
      <c r="D53" s="8">
        <v>332.72</v>
      </c>
      <c r="E53" s="3"/>
      <c r="F53" s="7">
        <f t="shared" si="8"/>
        <v>0</v>
      </c>
      <c r="G53" s="3"/>
      <c r="H53" s="8">
        <v>3391.07</v>
      </c>
      <c r="I53" s="3"/>
      <c r="J53" s="7">
        <f t="shared" si="9"/>
        <v>0</v>
      </c>
      <c r="K53" s="3"/>
      <c r="L53" s="8">
        <f t="shared" si="10"/>
        <v>-3058.3500000000004</v>
      </c>
      <c r="M53" s="3"/>
      <c r="N53" s="7">
        <f t="shared" si="11"/>
        <v>-0.90188347630688848</v>
      </c>
      <c r="O53" s="12"/>
      <c r="P53" s="8">
        <v>9854.25</v>
      </c>
      <c r="Q53" s="3"/>
      <c r="R53" s="7">
        <f t="shared" si="12"/>
        <v>0</v>
      </c>
      <c r="S53" s="3"/>
      <c r="T53" s="8">
        <v>5223.96</v>
      </c>
      <c r="U53" s="3"/>
      <c r="V53" s="7">
        <f t="shared" si="13"/>
        <v>0</v>
      </c>
      <c r="W53" s="3"/>
      <c r="X53" s="8">
        <f t="shared" si="14"/>
        <v>4630.29</v>
      </c>
      <c r="Y53" s="3"/>
      <c r="Z53" s="7">
        <f t="shared" si="15"/>
        <v>0.88635632738382375</v>
      </c>
    </row>
    <row r="54" spans="1:26" s="68" customFormat="1" ht="15" customHeight="1" outlineLevel="1" collapsed="1" x14ac:dyDescent="0.3">
      <c r="A54" s="26"/>
      <c r="B54" s="14" t="str">
        <f>CONCATENATE("     ","Services                                          ")</f>
        <v xml:space="preserve">     Services                                          </v>
      </c>
      <c r="C54" s="14"/>
      <c r="D54" s="2">
        <f>SUM(OSRRefD22_10x_0)</f>
        <v>670.1</v>
      </c>
      <c r="E54" s="2"/>
      <c r="F54" s="6">
        <f t="shared" si="8"/>
        <v>0</v>
      </c>
      <c r="G54" s="2"/>
      <c r="H54" s="2">
        <f>SUM(OSRRefH22_10x_0)</f>
        <v>-2899.48</v>
      </c>
      <c r="I54" s="2"/>
      <c r="J54" s="6">
        <f t="shared" si="9"/>
        <v>0</v>
      </c>
      <c r="K54" s="2"/>
      <c r="L54" s="2">
        <f t="shared" si="10"/>
        <v>3569.58</v>
      </c>
      <c r="M54" s="2"/>
      <c r="N54" s="6">
        <f t="shared" si="11"/>
        <v>-1.2311104060038351</v>
      </c>
      <c r="O54" s="14"/>
      <c r="P54" s="2">
        <f>SUM(OSRRefP22_10x_0)</f>
        <v>9705.2199999999993</v>
      </c>
      <c r="Q54" s="2"/>
      <c r="R54" s="6">
        <f t="shared" si="12"/>
        <v>0</v>
      </c>
      <c r="S54" s="2"/>
      <c r="T54" s="2">
        <f>SUM(OSRRefT22_10x_0)</f>
        <v>22128.080000000002</v>
      </c>
      <c r="U54" s="2"/>
      <c r="V54" s="6">
        <f t="shared" si="13"/>
        <v>0</v>
      </c>
      <c r="W54" s="2"/>
      <c r="X54" s="2">
        <f t="shared" si="14"/>
        <v>-12422.860000000002</v>
      </c>
      <c r="Y54" s="2"/>
      <c r="Z54" s="6">
        <f t="shared" si="15"/>
        <v>-0.56140704480461034</v>
      </c>
    </row>
    <row r="55" spans="1:26" s="69" customFormat="1" ht="15" hidden="1" customHeight="1" outlineLevel="2" x14ac:dyDescent="0.3">
      <c r="A55" s="25"/>
      <c r="B55" s="12" t="str">
        <f>CONCATENATE("          ","6282"," - ","JANITORIAL/EXTERMINATOR EXPENS")</f>
        <v xml:space="preserve">          6282 - JANITORIAL/EXTERMINATOR EXPENS</v>
      </c>
      <c r="C55" s="12"/>
      <c r="D55" s="8">
        <v>670.1</v>
      </c>
      <c r="E55" s="3"/>
      <c r="F55" s="7">
        <f t="shared" si="8"/>
        <v>0</v>
      </c>
      <c r="G55" s="3"/>
      <c r="H55" s="8">
        <v>1252.52</v>
      </c>
      <c r="I55" s="3"/>
      <c r="J55" s="7">
        <f t="shared" si="9"/>
        <v>0</v>
      </c>
      <c r="K55" s="3"/>
      <c r="L55" s="8">
        <f t="shared" si="10"/>
        <v>-582.41999999999996</v>
      </c>
      <c r="M55" s="3"/>
      <c r="N55" s="7">
        <f t="shared" si="11"/>
        <v>-0.46499856289719921</v>
      </c>
      <c r="O55" s="12"/>
      <c r="P55" s="8">
        <v>6030.9</v>
      </c>
      <c r="Q55" s="3"/>
      <c r="R55" s="7">
        <f t="shared" si="12"/>
        <v>0</v>
      </c>
      <c r="S55" s="3"/>
      <c r="T55" s="8">
        <v>5010.08</v>
      </c>
      <c r="U55" s="3"/>
      <c r="V55" s="7">
        <f t="shared" si="13"/>
        <v>0</v>
      </c>
      <c r="W55" s="3"/>
      <c r="X55" s="8">
        <f t="shared" si="14"/>
        <v>1020.8199999999997</v>
      </c>
      <c r="Y55" s="3"/>
      <c r="Z55" s="7">
        <f t="shared" si="15"/>
        <v>0.20375323348130164</v>
      </c>
    </row>
    <row r="56" spans="1:26" s="69" customFormat="1" ht="15" hidden="1" customHeight="1" outlineLevel="2" x14ac:dyDescent="0.3">
      <c r="A56" s="25"/>
      <c r="B56" s="12" t="str">
        <f>CONCATENATE("          ","6284"," - ","TRASH REMOVAL EXPENSE")</f>
        <v xml:space="preserve">          6284 - TRASH REMOVAL EXPENSE</v>
      </c>
      <c r="C56" s="12"/>
      <c r="D56" s="8"/>
      <c r="E56" s="3"/>
      <c r="F56" s="7">
        <f t="shared" si="8"/>
        <v>0</v>
      </c>
      <c r="G56" s="3"/>
      <c r="H56" s="8">
        <v>-4152</v>
      </c>
      <c r="I56" s="3"/>
      <c r="J56" s="7">
        <f t="shared" si="9"/>
        <v>0</v>
      </c>
      <c r="K56" s="3"/>
      <c r="L56" s="8">
        <f t="shared" si="10"/>
        <v>4152</v>
      </c>
      <c r="M56" s="3"/>
      <c r="N56" s="7">
        <f t="shared" si="11"/>
        <v>-1</v>
      </c>
      <c r="O56" s="12"/>
      <c r="P56" s="8"/>
      <c r="Q56" s="3"/>
      <c r="R56" s="7">
        <f t="shared" si="12"/>
        <v>0</v>
      </c>
      <c r="S56" s="3"/>
      <c r="T56" s="8">
        <v>17118</v>
      </c>
      <c r="U56" s="3"/>
      <c r="V56" s="7">
        <f t="shared" si="13"/>
        <v>0</v>
      </c>
      <c r="W56" s="3"/>
      <c r="X56" s="8">
        <f t="shared" si="14"/>
        <v>-17118</v>
      </c>
      <c r="Y56" s="3"/>
      <c r="Z56" s="7">
        <f t="shared" si="15"/>
        <v>-1</v>
      </c>
    </row>
    <row r="57" spans="1:26" s="69" customFormat="1" ht="15" hidden="1" customHeight="1" outlineLevel="2" x14ac:dyDescent="0.3">
      <c r="A57" s="25"/>
      <c r="B57" s="12" t="str">
        <f>CONCATENATE("          ","6285"," - ","JANITORIAL SERVICES")</f>
        <v xml:space="preserve">          6285 - JANITORIAL SERVICES</v>
      </c>
      <c r="C57" s="12"/>
      <c r="D57" s="8"/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0</v>
      </c>
      <c r="M57" s="3"/>
      <c r="N57" s="7">
        <f t="shared" si="11"/>
        <v>0</v>
      </c>
      <c r="O57" s="12"/>
      <c r="P57" s="8">
        <v>3674.32</v>
      </c>
      <c r="Q57" s="3"/>
      <c r="R57" s="7">
        <f t="shared" si="12"/>
        <v>0</v>
      </c>
      <c r="S57" s="3"/>
      <c r="T57" s="8"/>
      <c r="U57" s="3"/>
      <c r="V57" s="7">
        <f t="shared" si="13"/>
        <v>0</v>
      </c>
      <c r="W57" s="3"/>
      <c r="X57" s="8">
        <f t="shared" si="14"/>
        <v>3674.32</v>
      </c>
      <c r="Y57" s="3"/>
      <c r="Z57" s="7">
        <f t="shared" si="15"/>
        <v>0</v>
      </c>
    </row>
    <row r="58" spans="1:26" s="68" customFormat="1" ht="15" customHeight="1" outlineLevel="1" collapsed="1" x14ac:dyDescent="0.3">
      <c r="A58" s="26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2">
        <f>SUM(OSRRefD22_11x_0)</f>
        <v>119.2</v>
      </c>
      <c r="E58" s="2"/>
      <c r="F58" s="6">
        <f t="shared" si="8"/>
        <v>0</v>
      </c>
      <c r="G58" s="2"/>
      <c r="H58" s="2">
        <f>SUM(OSRRefH22_11x_0)</f>
        <v>119.07</v>
      </c>
      <c r="I58" s="2"/>
      <c r="J58" s="6">
        <f t="shared" si="9"/>
        <v>0</v>
      </c>
      <c r="K58" s="2"/>
      <c r="L58" s="2">
        <f t="shared" si="10"/>
        <v>0.13000000000000966</v>
      </c>
      <c r="M58" s="2"/>
      <c r="N58" s="6">
        <f t="shared" si="11"/>
        <v>1.0917947425884745E-3</v>
      </c>
      <c r="O58" s="14"/>
      <c r="P58" s="2">
        <f>SUM(OSRRefP22_11x_0)</f>
        <v>119.2</v>
      </c>
      <c r="Q58" s="2"/>
      <c r="R58" s="6">
        <f t="shared" si="12"/>
        <v>0</v>
      </c>
      <c r="S58" s="2"/>
      <c r="T58" s="2">
        <f>SUM(OSRRefT22_11x_0)</f>
        <v>119.07</v>
      </c>
      <c r="U58" s="2"/>
      <c r="V58" s="6">
        <f t="shared" si="13"/>
        <v>0</v>
      </c>
      <c r="W58" s="2"/>
      <c r="X58" s="2">
        <f t="shared" si="14"/>
        <v>0.13000000000000966</v>
      </c>
      <c r="Y58" s="2"/>
      <c r="Z58" s="6">
        <f t="shared" si="15"/>
        <v>1.0917947425884745E-3</v>
      </c>
    </row>
    <row r="59" spans="1:26" s="69" customFormat="1" ht="15" hidden="1" customHeight="1" outlineLevel="2" x14ac:dyDescent="0.3">
      <c r="A59" s="25"/>
      <c r="B59" s="12" t="str">
        <f>CONCATENATE("          ","6275"," - ","SUBSCRIPTIONS")</f>
        <v xml:space="preserve">          6275 - SUBSCRIPTIONS</v>
      </c>
      <c r="C59" s="12"/>
      <c r="D59" s="8">
        <v>119.2</v>
      </c>
      <c r="E59" s="3"/>
      <c r="F59" s="7">
        <f t="shared" si="8"/>
        <v>0</v>
      </c>
      <c r="G59" s="3"/>
      <c r="H59" s="8">
        <v>119.07</v>
      </c>
      <c r="I59" s="3"/>
      <c r="J59" s="7">
        <f t="shared" si="9"/>
        <v>0</v>
      </c>
      <c r="K59" s="3"/>
      <c r="L59" s="8">
        <f t="shared" si="10"/>
        <v>0.13000000000000966</v>
      </c>
      <c r="M59" s="3"/>
      <c r="N59" s="7">
        <f t="shared" si="11"/>
        <v>1.0917947425884745E-3</v>
      </c>
      <c r="O59" s="12"/>
      <c r="P59" s="8">
        <v>119.2</v>
      </c>
      <c r="Q59" s="3"/>
      <c r="R59" s="7">
        <f t="shared" si="12"/>
        <v>0</v>
      </c>
      <c r="S59" s="3"/>
      <c r="T59" s="8">
        <v>119.07</v>
      </c>
      <c r="U59" s="3"/>
      <c r="V59" s="7">
        <f t="shared" si="13"/>
        <v>0</v>
      </c>
      <c r="W59" s="3"/>
      <c r="X59" s="8">
        <f t="shared" si="14"/>
        <v>0.13000000000000966</v>
      </c>
      <c r="Y59" s="3"/>
      <c r="Z59" s="7">
        <f t="shared" si="15"/>
        <v>1.0917947425884745E-3</v>
      </c>
    </row>
    <row r="60" spans="1:26" s="68" customFormat="1" ht="15" customHeight="1" outlineLevel="1" collapsed="1" x14ac:dyDescent="0.3">
      <c r="A60" s="26"/>
      <c r="B60" s="14" t="str">
        <f>CONCATENATE("     ","Supplies                                          ")</f>
        <v xml:space="preserve">     Supplies                                          </v>
      </c>
      <c r="C60" s="14"/>
      <c r="D60" s="2">
        <f>SUM(OSRRefD22_12x_0)</f>
        <v>32.840000000000003</v>
      </c>
      <c r="E60" s="2"/>
      <c r="F60" s="6">
        <f t="shared" si="8"/>
        <v>0</v>
      </c>
      <c r="G60" s="2"/>
      <c r="H60" s="2">
        <f>SUM(OSRRefH22_12x_0)</f>
        <v>0</v>
      </c>
      <c r="I60" s="2"/>
      <c r="J60" s="6">
        <f t="shared" si="9"/>
        <v>0</v>
      </c>
      <c r="K60" s="2"/>
      <c r="L60" s="2">
        <f t="shared" si="10"/>
        <v>32.840000000000003</v>
      </c>
      <c r="M60" s="2"/>
      <c r="N60" s="6">
        <f t="shared" si="11"/>
        <v>0</v>
      </c>
      <c r="O60" s="14"/>
      <c r="P60" s="2">
        <f>SUM(OSRRefP22_12x_0)</f>
        <v>526.82000000000005</v>
      </c>
      <c r="Q60" s="2"/>
      <c r="R60" s="6">
        <f t="shared" si="12"/>
        <v>0</v>
      </c>
      <c r="S60" s="2"/>
      <c r="T60" s="2">
        <f>SUM(OSRRefT22_12x_0)</f>
        <v>-29072.880000000001</v>
      </c>
      <c r="U60" s="2"/>
      <c r="V60" s="6">
        <f t="shared" si="13"/>
        <v>0</v>
      </c>
      <c r="W60" s="2"/>
      <c r="X60" s="2">
        <f t="shared" si="14"/>
        <v>29599.7</v>
      </c>
      <c r="Y60" s="2"/>
      <c r="Z60" s="6">
        <f t="shared" si="15"/>
        <v>-1.018120667783859</v>
      </c>
    </row>
    <row r="61" spans="1:26" s="69" customFormat="1" ht="15" hidden="1" customHeight="1" outlineLevel="2" x14ac:dyDescent="0.3">
      <c r="A61" s="25"/>
      <c r="B61" s="12" t="str">
        <f>CONCATENATE("          ","6235"," - ","COVID-19 EXPENSES")</f>
        <v xml:space="preserve">          6235 - COVID-19 EXPENSES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318.42</v>
      </c>
      <c r="Q61" s="3"/>
      <c r="R61" s="7">
        <f t="shared" si="12"/>
        <v>0</v>
      </c>
      <c r="S61" s="3"/>
      <c r="T61" s="8">
        <v>127.89</v>
      </c>
      <c r="U61" s="3"/>
      <c r="V61" s="7">
        <f t="shared" si="13"/>
        <v>0</v>
      </c>
      <c r="W61" s="3"/>
      <c r="X61" s="8">
        <f t="shared" si="14"/>
        <v>190.53000000000003</v>
      </c>
      <c r="Y61" s="3"/>
      <c r="Z61" s="7">
        <f t="shared" si="15"/>
        <v>1.4897959183673473</v>
      </c>
    </row>
    <row r="62" spans="1:26" s="69" customFormat="1" ht="15" hidden="1" customHeight="1" outlineLevel="2" x14ac:dyDescent="0.3">
      <c r="A62" s="25"/>
      <c r="B62" s="12" t="str">
        <f>CONCATENATE("          ","6241"," - ","OFFICE EXPENSE")</f>
        <v xml:space="preserve">          6241 - OFFICE EXPENSE</v>
      </c>
      <c r="C62" s="12"/>
      <c r="D62" s="8">
        <v>32.840000000000003</v>
      </c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32.840000000000003</v>
      </c>
      <c r="M62" s="3"/>
      <c r="N62" s="7">
        <f t="shared" si="11"/>
        <v>0</v>
      </c>
      <c r="O62" s="12"/>
      <c r="P62" s="8">
        <v>208.4</v>
      </c>
      <c r="Q62" s="3"/>
      <c r="R62" s="7">
        <f t="shared" si="12"/>
        <v>0</v>
      </c>
      <c r="S62" s="3"/>
      <c r="T62" s="8">
        <v>-29200.77</v>
      </c>
      <c r="U62" s="3"/>
      <c r="V62" s="7">
        <f t="shared" si="13"/>
        <v>0</v>
      </c>
      <c r="W62" s="3"/>
      <c r="X62" s="8">
        <f t="shared" si="14"/>
        <v>29409.170000000002</v>
      </c>
      <c r="Y62" s="3"/>
      <c r="Z62" s="7">
        <f t="shared" si="15"/>
        <v>-1.0071367981049815</v>
      </c>
    </row>
    <row r="63" spans="1:26" s="68" customFormat="1" ht="15" customHeight="1" outlineLevel="1" collapsed="1" x14ac:dyDescent="0.3">
      <c r="A63" s="26"/>
      <c r="B63" s="14" t="str">
        <f>CONCATENATE("     ","Telephone/Data Lines                              ")</f>
        <v xml:space="preserve">     Telephone/Data Lines                              </v>
      </c>
      <c r="C63" s="14"/>
      <c r="D63" s="2">
        <f>SUM(OSRRefD22_13x_0)</f>
        <v>187.1</v>
      </c>
      <c r="E63" s="2"/>
      <c r="F63" s="6">
        <f t="shared" si="8"/>
        <v>0</v>
      </c>
      <c r="G63" s="2"/>
      <c r="H63" s="2">
        <f>SUM(OSRRefH22_13x_0)</f>
        <v>96</v>
      </c>
      <c r="I63" s="2"/>
      <c r="J63" s="6">
        <f t="shared" si="9"/>
        <v>0</v>
      </c>
      <c r="K63" s="2"/>
      <c r="L63" s="2">
        <f t="shared" si="10"/>
        <v>91.1</v>
      </c>
      <c r="M63" s="2"/>
      <c r="N63" s="6">
        <f t="shared" si="11"/>
        <v>0.94895833333333324</v>
      </c>
      <c r="O63" s="14"/>
      <c r="P63" s="2">
        <f>SUM(OSRRefP22_13x_0)</f>
        <v>1726.21</v>
      </c>
      <c r="Q63" s="2"/>
      <c r="R63" s="6">
        <f t="shared" si="12"/>
        <v>0</v>
      </c>
      <c r="S63" s="2"/>
      <c r="T63" s="2">
        <f>SUM(OSRRefT22_13x_0)</f>
        <v>1668.63</v>
      </c>
      <c r="U63" s="2"/>
      <c r="V63" s="6">
        <f t="shared" si="13"/>
        <v>0</v>
      </c>
      <c r="W63" s="2"/>
      <c r="X63" s="2">
        <f t="shared" si="14"/>
        <v>57.579999999999927</v>
      </c>
      <c r="Y63" s="2"/>
      <c r="Z63" s="6">
        <f t="shared" si="15"/>
        <v>3.4507350341297906E-2</v>
      </c>
    </row>
    <row r="64" spans="1:26" s="69" customFormat="1" ht="15" hidden="1" customHeight="1" outlineLevel="2" x14ac:dyDescent="0.3">
      <c r="A64" s="25"/>
      <c r="B64" s="12" t="str">
        <f>CONCATENATE("          ","6309"," - ","TELEPHONE")</f>
        <v xml:space="preserve">          6309 - TELEPHONE</v>
      </c>
      <c r="C64" s="12"/>
      <c r="D64" s="8">
        <v>187.1</v>
      </c>
      <c r="E64" s="3"/>
      <c r="F64" s="7">
        <f t="shared" si="8"/>
        <v>0</v>
      </c>
      <c r="G64" s="3"/>
      <c r="H64" s="8">
        <v>96</v>
      </c>
      <c r="I64" s="3"/>
      <c r="J64" s="7">
        <f t="shared" si="9"/>
        <v>0</v>
      </c>
      <c r="K64" s="3"/>
      <c r="L64" s="8">
        <f t="shared" si="10"/>
        <v>91.1</v>
      </c>
      <c r="M64" s="3"/>
      <c r="N64" s="7">
        <f t="shared" si="11"/>
        <v>0.94895833333333324</v>
      </c>
      <c r="O64" s="12"/>
      <c r="P64" s="8">
        <v>1726.21</v>
      </c>
      <c r="Q64" s="3"/>
      <c r="R64" s="7">
        <f t="shared" si="12"/>
        <v>0</v>
      </c>
      <c r="S64" s="3"/>
      <c r="T64" s="8">
        <v>1668.63</v>
      </c>
      <c r="U64" s="3"/>
      <c r="V64" s="7">
        <f t="shared" si="13"/>
        <v>0</v>
      </c>
      <c r="W64" s="3"/>
      <c r="X64" s="8">
        <f t="shared" si="14"/>
        <v>57.579999999999927</v>
      </c>
      <c r="Y64" s="3"/>
      <c r="Z64" s="7">
        <f t="shared" si="15"/>
        <v>3.4507350341297906E-2</v>
      </c>
    </row>
    <row r="65" spans="1:26" s="68" customFormat="1" ht="15" customHeight="1" outlineLevel="1" collapsed="1" x14ac:dyDescent="0.3">
      <c r="A65" s="26"/>
      <c r="B65" s="14" t="str">
        <f>CONCATENATE("     ","Travel                                            ")</f>
        <v xml:space="preserve">     Travel                                            </v>
      </c>
      <c r="C65" s="14"/>
      <c r="D65" s="2">
        <f>SUM(OSRRefD22_14x_0)</f>
        <v>0</v>
      </c>
      <c r="E65" s="2"/>
      <c r="F65" s="6">
        <f t="shared" si="8"/>
        <v>0</v>
      </c>
      <c r="G65" s="2"/>
      <c r="H65" s="2">
        <f>SUM(OSRRefH22_14x_0)</f>
        <v>0</v>
      </c>
      <c r="I65" s="2"/>
      <c r="J65" s="6">
        <f t="shared" si="9"/>
        <v>0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SUM(OSRRefP22_14x_0)</f>
        <v>141.24</v>
      </c>
      <c r="Q65" s="2"/>
      <c r="R65" s="6">
        <f t="shared" si="12"/>
        <v>0</v>
      </c>
      <c r="S65" s="2"/>
      <c r="T65" s="2">
        <f>SUM(OSRRefT22_14x_0)</f>
        <v>332.21</v>
      </c>
      <c r="U65" s="2"/>
      <c r="V65" s="6">
        <f t="shared" si="13"/>
        <v>0</v>
      </c>
      <c r="W65" s="2"/>
      <c r="X65" s="2">
        <f t="shared" si="14"/>
        <v>-190.96999999999997</v>
      </c>
      <c r="Y65" s="2"/>
      <c r="Z65" s="6">
        <f t="shared" si="15"/>
        <v>-0.5748472351825652</v>
      </c>
    </row>
    <row r="66" spans="1:26" s="69" customFormat="1" ht="15" hidden="1" customHeight="1" outlineLevel="2" x14ac:dyDescent="0.3">
      <c r="A66" s="25"/>
      <c r="B66" s="12" t="str">
        <f>CONCATENATE("          ","6292"," - ","TRAVEL/CONFERENCE")</f>
        <v xml:space="preserve">          6292 - TRAVEL/CONFERENCE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18.59</v>
      </c>
      <c r="Q66" s="3"/>
      <c r="R66" s="7">
        <f t="shared" si="12"/>
        <v>0</v>
      </c>
      <c r="S66" s="3"/>
      <c r="T66" s="8"/>
      <c r="U66" s="3"/>
      <c r="V66" s="7">
        <f t="shared" si="13"/>
        <v>0</v>
      </c>
      <c r="W66" s="3"/>
      <c r="X66" s="8">
        <f t="shared" si="14"/>
        <v>18.59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5"/>
      <c r="B67" s="12" t="str">
        <f>CONCATENATE("          ","6298"," - ","VEHICLE MILEAGE")</f>
        <v xml:space="preserve">          6298 - VEHICLE MILEAGE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122.65</v>
      </c>
      <c r="Q67" s="3"/>
      <c r="R67" s="7">
        <f t="shared" si="12"/>
        <v>0</v>
      </c>
      <c r="S67" s="3"/>
      <c r="T67" s="8">
        <v>332.21</v>
      </c>
      <c r="U67" s="3"/>
      <c r="V67" s="7">
        <f t="shared" si="13"/>
        <v>0</v>
      </c>
      <c r="W67" s="3"/>
      <c r="X67" s="8">
        <f t="shared" si="14"/>
        <v>-209.55999999999997</v>
      </c>
      <c r="Y67" s="3"/>
      <c r="Z67" s="7">
        <f t="shared" si="15"/>
        <v>-0.63080581559856708</v>
      </c>
    </row>
    <row r="68" spans="1:26" s="68" customFormat="1" ht="15" customHeight="1" outlineLevel="1" collapsed="1" x14ac:dyDescent="0.3">
      <c r="A68" s="26"/>
      <c r="B68" s="14" t="str">
        <f>CONCATENATE("     ","Utilities                                         ")</f>
        <v xml:space="preserve">     Utilities                                         </v>
      </c>
      <c r="C68" s="14"/>
      <c r="D68" s="2">
        <f>SUM(OSRRefD22_15x_0)</f>
        <v>5550</v>
      </c>
      <c r="E68" s="2"/>
      <c r="F68" s="6">
        <f t="shared" si="8"/>
        <v>0</v>
      </c>
      <c r="G68" s="2"/>
      <c r="H68" s="2">
        <f>SUM(OSRRefH22_15x_0)</f>
        <v>837</v>
      </c>
      <c r="I68" s="2"/>
      <c r="J68" s="6">
        <f t="shared" si="9"/>
        <v>0</v>
      </c>
      <c r="K68" s="2"/>
      <c r="L68" s="2">
        <f t="shared" si="10"/>
        <v>4713</v>
      </c>
      <c r="M68" s="2"/>
      <c r="N68" s="6">
        <f t="shared" si="11"/>
        <v>5.6308243727598564</v>
      </c>
      <c r="O68" s="14"/>
      <c r="P68" s="2">
        <f>SUM(OSRRefP22_15x_0)</f>
        <v>49950</v>
      </c>
      <c r="Q68" s="2"/>
      <c r="R68" s="6">
        <f t="shared" si="12"/>
        <v>0</v>
      </c>
      <c r="S68" s="2"/>
      <c r="T68" s="2">
        <f>SUM(OSRRefT22_15x_0)</f>
        <v>-11039</v>
      </c>
      <c r="U68" s="2"/>
      <c r="V68" s="6">
        <f t="shared" si="13"/>
        <v>0</v>
      </c>
      <c r="W68" s="2"/>
      <c r="X68" s="2">
        <f t="shared" si="14"/>
        <v>60989</v>
      </c>
      <c r="Y68" s="2"/>
      <c r="Z68" s="6">
        <f t="shared" si="15"/>
        <v>-5.5248663828245315</v>
      </c>
    </row>
    <row r="69" spans="1:26" s="69" customFormat="1" ht="15" hidden="1" customHeight="1" outlineLevel="2" x14ac:dyDescent="0.3">
      <c r="A69" s="25"/>
      <c r="B69" s="12" t="str">
        <f>CONCATENATE("          ","6274"," - ","UTILITIES")</f>
        <v xml:space="preserve">          6274 - UTILITIES</v>
      </c>
      <c r="C69" s="12"/>
      <c r="D69" s="8">
        <v>5550</v>
      </c>
      <c r="E69" s="3"/>
      <c r="F69" s="7">
        <f t="shared" si="8"/>
        <v>0</v>
      </c>
      <c r="G69" s="3"/>
      <c r="H69" s="8">
        <v>837</v>
      </c>
      <c r="I69" s="3"/>
      <c r="J69" s="7">
        <f t="shared" si="9"/>
        <v>0</v>
      </c>
      <c r="K69" s="3"/>
      <c r="L69" s="8">
        <f t="shared" si="10"/>
        <v>4713</v>
      </c>
      <c r="M69" s="3"/>
      <c r="N69" s="7">
        <f t="shared" si="11"/>
        <v>5.6308243727598564</v>
      </c>
      <c r="O69" s="12"/>
      <c r="P69" s="8">
        <v>49950</v>
      </c>
      <c r="Q69" s="3"/>
      <c r="R69" s="7">
        <f t="shared" si="12"/>
        <v>0</v>
      </c>
      <c r="S69" s="3"/>
      <c r="T69" s="8">
        <v>-11039</v>
      </c>
      <c r="U69" s="3"/>
      <c r="V69" s="7">
        <f t="shared" si="13"/>
        <v>0</v>
      </c>
      <c r="W69" s="3"/>
      <c r="X69" s="8">
        <f t="shared" si="14"/>
        <v>60989</v>
      </c>
      <c r="Y69" s="3"/>
      <c r="Z69" s="7">
        <f t="shared" si="15"/>
        <v>-5.5248663828245315</v>
      </c>
    </row>
    <row r="70" spans="1:26" s="64" customFormat="1" ht="15" customHeight="1" x14ac:dyDescent="0.3">
      <c r="A70" s="36"/>
      <c r="B70" s="36"/>
      <c r="C70" s="36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3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62" customFormat="1" ht="15" customHeight="1" collapsed="1" x14ac:dyDescent="0.3">
      <c r="A71" s="11"/>
      <c r="B71" s="28" t="s">
        <v>290</v>
      </c>
      <c r="C71" s="11"/>
      <c r="D71" s="5">
        <f>SUM(OSRRefD25x_0)</f>
        <v>19579.439999999999</v>
      </c>
      <c r="E71" s="5"/>
      <c r="F71" s="13">
        <f>IF(D$12=0,0,D71/D$12)</f>
        <v>0</v>
      </c>
      <c r="G71" s="5"/>
      <c r="H71" s="5">
        <f>SUM(OSRRefH25x_0)</f>
        <v>3116.44</v>
      </c>
      <c r="I71" s="5"/>
      <c r="J71" s="13">
        <f>IF(H$12=0,0,H71/H$12)</f>
        <v>0</v>
      </c>
      <c r="K71" s="5"/>
      <c r="L71" s="5">
        <f>+D71-H71</f>
        <v>16463</v>
      </c>
      <c r="M71" s="5"/>
      <c r="N71" s="13">
        <f>IF(H71=0,0,L71/H71)</f>
        <v>5.2826301805906741</v>
      </c>
      <c r="O71" s="11"/>
      <c r="P71" s="5">
        <f>SUM(OSRRefP25x_0)</f>
        <v>34156.61</v>
      </c>
      <c r="Q71" s="5"/>
      <c r="R71" s="13">
        <f>IF(P$12=0,0,P71/P$12)</f>
        <v>0</v>
      </c>
      <c r="S71" s="5"/>
      <c r="T71" s="5">
        <f>SUM(OSRRefT25x_0)</f>
        <v>5549.42</v>
      </c>
      <c r="U71" s="5"/>
      <c r="V71" s="13">
        <f>IF(T$12=0,0,T71/T$12)</f>
        <v>0</v>
      </c>
      <c r="W71" s="5"/>
      <c r="X71" s="5">
        <f>+P71-T71</f>
        <v>28607.190000000002</v>
      </c>
      <c r="Y71" s="5"/>
      <c r="Z71" s="13">
        <f>IF(T71=0,0,X71/T71)</f>
        <v>5.1549873680492739</v>
      </c>
    </row>
    <row r="72" spans="1:26" s="69" customFormat="1" ht="15" hidden="1" customHeight="1" outlineLevel="1" x14ac:dyDescent="0.3">
      <c r="A72" s="42"/>
      <c r="B72" s="12" t="str">
        <f>CONCATENATE("          ","9150"," - ","MISC. INCOME")</f>
        <v xml:space="preserve">          9150 - MISC. INCOME</v>
      </c>
      <c r="C72" s="12"/>
      <c r="D72" s="3">
        <f>--19579.44</f>
        <v>19579.439999999999</v>
      </c>
      <c r="E72" s="3"/>
      <c r="F72" s="20">
        <f>IF(D$12=0,0,D72/D$12)</f>
        <v>0</v>
      </c>
      <c r="G72" s="3"/>
      <c r="H72" s="3">
        <f>--3116.44</f>
        <v>3116.44</v>
      </c>
      <c r="I72" s="3"/>
      <c r="J72" s="20">
        <f>IF(H$12=0,0,H72/H$12)</f>
        <v>0</v>
      </c>
      <c r="K72" s="3"/>
      <c r="L72" s="3">
        <f>+D72-H72</f>
        <v>16463</v>
      </c>
      <c r="M72" s="3"/>
      <c r="N72" s="20">
        <f>IF(H72=0,0,L72/H72)</f>
        <v>5.2826301805906741</v>
      </c>
      <c r="O72" s="12"/>
      <c r="P72" s="3">
        <f>--34156.61</f>
        <v>34156.61</v>
      </c>
      <c r="Q72" s="3"/>
      <c r="R72" s="20">
        <f>IF(P$12=0,0,P72/P$12)</f>
        <v>0</v>
      </c>
      <c r="S72" s="3"/>
      <c r="T72" s="3">
        <f>--4733.07</f>
        <v>4733.07</v>
      </c>
      <c r="U72" s="3"/>
      <c r="V72" s="20">
        <f>IF(T$12=0,0,T72/T$12)</f>
        <v>0</v>
      </c>
      <c r="W72" s="3"/>
      <c r="X72" s="3">
        <f>+P72-T72</f>
        <v>29423.54</v>
      </c>
      <c r="Y72" s="3"/>
      <c r="Z72" s="20">
        <f>IF(T72=0,0,X72/T72)</f>
        <v>6.2165866974289417</v>
      </c>
    </row>
    <row r="73" spans="1:26" s="69" customFormat="1" ht="15" hidden="1" customHeight="1" outlineLevel="1" x14ac:dyDescent="0.3">
      <c r="A73" s="42"/>
      <c r="B73" s="12" t="str">
        <f>CONCATENATE("          ","9160"," - ","MISC. INCOME")</f>
        <v xml:space="preserve">          9160 - MISC. INCOME</v>
      </c>
      <c r="C73" s="12"/>
      <c r="D73" s="3">
        <f>0</f>
        <v>0</v>
      </c>
      <c r="E73" s="3"/>
      <c r="F73" s="20">
        <f>IF(D$12=0,0,D73/D$12)</f>
        <v>0</v>
      </c>
      <c r="G73" s="3"/>
      <c r="H73" s="3">
        <f>0</f>
        <v>0</v>
      </c>
      <c r="I73" s="3"/>
      <c r="J73" s="20">
        <f>IF(H$12=0,0,H73/H$12)</f>
        <v>0</v>
      </c>
      <c r="K73" s="3"/>
      <c r="L73" s="3">
        <f>+D73-H73</f>
        <v>0</v>
      </c>
      <c r="M73" s="3"/>
      <c r="N73" s="20">
        <f>IF(H73=0,0,L73/H73)</f>
        <v>0</v>
      </c>
      <c r="O73" s="12"/>
      <c r="P73" s="3">
        <f>0</f>
        <v>0</v>
      </c>
      <c r="Q73" s="3"/>
      <c r="R73" s="20">
        <f>IF(P$12=0,0,P73/P$12)</f>
        <v>0</v>
      </c>
      <c r="S73" s="3"/>
      <c r="T73" s="3">
        <f>--816.35</f>
        <v>816.35</v>
      </c>
      <c r="U73" s="3"/>
      <c r="V73" s="20">
        <f>IF(T$12=0,0,T73/T$12)</f>
        <v>0</v>
      </c>
      <c r="W73" s="3"/>
      <c r="X73" s="3">
        <f>+P73-T73</f>
        <v>-816.35</v>
      </c>
      <c r="Y73" s="3"/>
      <c r="Z73" s="20">
        <f>IF(T73=0,0,X73/T73)</f>
        <v>-1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2" customFormat="1" ht="15" customHeight="1" x14ac:dyDescent="0.3">
      <c r="A75" s="11"/>
      <c r="B75" s="27" t="s">
        <v>291</v>
      </c>
      <c r="C75" s="27"/>
      <c r="D75" s="22">
        <f>+D16-D18+D71</f>
        <v>-25162.439999999984</v>
      </c>
      <c r="E75" s="15"/>
      <c r="F75" s="21">
        <f>IF(D$12=0,0,D75/D$12)</f>
        <v>0</v>
      </c>
      <c r="G75" s="15"/>
      <c r="H75" s="22">
        <f>+H16-H18+H71</f>
        <v>-25260.429999999997</v>
      </c>
      <c r="I75" s="15"/>
      <c r="J75" s="21">
        <f>IF(H$12=0,0,H75/H$12)</f>
        <v>0</v>
      </c>
      <c r="K75" s="17"/>
      <c r="L75" s="22">
        <f>+D75-H75</f>
        <v>97.990000000012515</v>
      </c>
      <c r="M75" s="17"/>
      <c r="N75" s="21">
        <f>IF(H75=0,0,L75/H75)</f>
        <v>-3.8791897050055178E-3</v>
      </c>
      <c r="O75" s="28"/>
      <c r="P75" s="22">
        <f>+P16-P18+P71</f>
        <v>-408880.08000000019</v>
      </c>
      <c r="Q75" s="15"/>
      <c r="R75" s="21">
        <f>IF(P$12=0,0,P75/P$12)</f>
        <v>0</v>
      </c>
      <c r="S75" s="15"/>
      <c r="T75" s="22">
        <f>+T16-T18+T71</f>
        <v>-247763.95000000004</v>
      </c>
      <c r="U75" s="15"/>
      <c r="V75" s="21">
        <f>IF(T$12=0,0,T75/T$12)</f>
        <v>0</v>
      </c>
      <c r="W75" s="17"/>
      <c r="X75" s="22">
        <f>+P75-T75</f>
        <v>-161116.13000000015</v>
      </c>
      <c r="Y75" s="17"/>
      <c r="Z75" s="21">
        <f>IF(T75=0,0,X75/T75)</f>
        <v>0.6502807611841841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3">
      <c r="A77" s="48"/>
      <c r="B77" s="11" t="s">
        <v>292</v>
      </c>
      <c r="C77" s="11"/>
      <c r="D77" s="5"/>
      <c r="E77" s="5"/>
      <c r="F77" s="13">
        <f>IF(D$12=0,0,D77/D$12)</f>
        <v>0</v>
      </c>
      <c r="G77" s="5"/>
      <c r="H77" s="5"/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/>
      <c r="Q77" s="5"/>
      <c r="R77" s="13">
        <f>IF(P$12=0,0,P77/P$12)</f>
        <v>0</v>
      </c>
      <c r="S77" s="5"/>
      <c r="T77" s="5"/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11"/>
      <c r="B79" s="27" t="s">
        <v>293</v>
      </c>
      <c r="C79" s="27"/>
      <c r="D79" s="34">
        <f>+D75-D77</f>
        <v>-25162.439999999984</v>
      </c>
      <c r="E79" s="15"/>
      <c r="F79" s="33">
        <f>IF(D$12=0,0,D79/D$12)</f>
        <v>0</v>
      </c>
      <c r="G79" s="15"/>
      <c r="H79" s="34">
        <f>+H75-H77</f>
        <v>-25260.429999999997</v>
      </c>
      <c r="I79" s="15"/>
      <c r="J79" s="33">
        <f>IF(H$12=0,0,H79/H$12)</f>
        <v>0</v>
      </c>
      <c r="K79" s="17"/>
      <c r="L79" s="34">
        <f>D79-H79</f>
        <v>97.990000000012515</v>
      </c>
      <c r="M79" s="17"/>
      <c r="N79" s="33">
        <f>IF(H79=0,0,L79/H79)</f>
        <v>-3.8791897050055178E-3</v>
      </c>
      <c r="O79" s="28"/>
      <c r="P79" s="34">
        <f>+P75-P77</f>
        <v>-408880.08000000019</v>
      </c>
      <c r="Q79" s="15"/>
      <c r="R79" s="33">
        <f>IF(P$12=0,0,P79/P$12)</f>
        <v>0</v>
      </c>
      <c r="S79" s="15"/>
      <c r="T79" s="34">
        <f>+T75-T77</f>
        <v>-247763.95000000004</v>
      </c>
      <c r="U79" s="15"/>
      <c r="V79" s="33">
        <f>IF(T$12=0,0,T79/T$12)</f>
        <v>0</v>
      </c>
      <c r="W79" s="17"/>
      <c r="X79" s="34">
        <f>P79-T79</f>
        <v>-161116.13000000015</v>
      </c>
      <c r="Y79" s="17"/>
      <c r="Z79" s="33">
        <f>IF(T79=0,0,X79/T79)</f>
        <v>0.6502807611841841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x14ac:dyDescent="0.3">
      <c r="A82" s="11"/>
      <c r="B82" s="27" t="s">
        <v>296</v>
      </c>
      <c r="C82" s="27"/>
      <c r="D82" s="31">
        <f>SUM(D79:D81)</f>
        <v>-25162.439999999984</v>
      </c>
      <c r="E82" s="15"/>
      <c r="F82" s="32">
        <f>IF(D$12=0,0,D82/D$12)</f>
        <v>0</v>
      </c>
      <c r="G82" s="15"/>
      <c r="H82" s="31">
        <f>SUM(H79:H81)</f>
        <v>-25260.429999999997</v>
      </c>
      <c r="I82" s="15"/>
      <c r="J82" s="32">
        <f>IF(H$12=0,0,H82/H$12)</f>
        <v>0</v>
      </c>
      <c r="K82" s="17"/>
      <c r="L82" s="31">
        <f>+D82-H82</f>
        <v>97.990000000012515</v>
      </c>
      <c r="M82" s="17"/>
      <c r="N82" s="32">
        <f>IF(H82=0,0,L82/H82)</f>
        <v>-3.8791897050055178E-3</v>
      </c>
      <c r="O82" s="28"/>
      <c r="P82" s="31">
        <f>SUM(P79:P81)</f>
        <v>-408880.08000000019</v>
      </c>
      <c r="Q82" s="15"/>
      <c r="R82" s="32">
        <f>IF(P$12=0,0,P82/P$12)</f>
        <v>0</v>
      </c>
      <c r="S82" s="15"/>
      <c r="T82" s="31">
        <f>SUM(T79:T81)</f>
        <v>-247763.95000000004</v>
      </c>
      <c r="U82" s="15"/>
      <c r="V82" s="32">
        <f>IF(T$12=0,0,T82/T$12)</f>
        <v>0</v>
      </c>
      <c r="W82" s="17"/>
      <c r="X82" s="31">
        <f>+P82-T82</f>
        <v>-161116.13000000015</v>
      </c>
      <c r="Y82" s="17"/>
      <c r="Z82" s="32">
        <f>IF(T82=0,0,X82/T82)</f>
        <v>0.6502807611841841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6">
        <v>44663.03859679398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7" t="s">
        <v>297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8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6261-52D6-D932-D67C-4017C62456B8}">
  <sheetPr>
    <tabColor rgb="FF92D050"/>
    <outlinePr summaryBelow="0" summaryRight="0"/>
  </sheetPr>
  <dimension ref="A2:Z4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","412"," - ","Chartroom")</f>
        <v>Department 412 - Chartroom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640.63</v>
      </c>
      <c r="E18" s="23"/>
      <c r="F18" s="35">
        <f t="shared" ref="F18:F29" si="0">IF(D$12=0,0,D18/D$12)</f>
        <v>0</v>
      </c>
      <c r="G18" s="23"/>
      <c r="H18" s="23" cm="1">
        <f t="array" ref="H18">SUM(OSRRefH22x_0)</f>
        <v>673.96</v>
      </c>
      <c r="I18" s="23"/>
      <c r="J18" s="35">
        <f t="shared" ref="J18:J29" si="1">IF(H$12=0,0,H18/H$12)</f>
        <v>0</v>
      </c>
      <c r="K18" s="5"/>
      <c r="L18" s="23">
        <f t="shared" ref="L18:L29" si="2">+D18-H18</f>
        <v>-33.330000000000041</v>
      </c>
      <c r="M18" s="5"/>
      <c r="N18" s="35">
        <f t="shared" ref="N18:N29" si="3">IF(H18=0,0,L18/H18)</f>
        <v>-4.9453973529586387E-2</v>
      </c>
      <c r="O18" s="11"/>
      <c r="P18" s="23" cm="1">
        <f t="array" ref="P18">SUM(OSRRefP22x_0)</f>
        <v>5518.81</v>
      </c>
      <c r="Q18" s="23"/>
      <c r="R18" s="35">
        <f t="shared" ref="R18:R29" si="4">IF(P$12=0,0,P18/P$12)</f>
        <v>0</v>
      </c>
      <c r="S18" s="23"/>
      <c r="T18" s="23" cm="1">
        <f t="array" ref="T18">SUM(OSRRefT22x_0)</f>
        <v>7950.2099999999991</v>
      </c>
      <c r="U18" s="23"/>
      <c r="V18" s="35">
        <f t="shared" ref="V18:V29" si="5">IF(T$12=0,0,T18/T$12)</f>
        <v>0</v>
      </c>
      <c r="W18" s="5"/>
      <c r="X18" s="23">
        <f t="shared" ref="X18:X29" si="6">+P18-T18</f>
        <v>-2431.3999999999987</v>
      </c>
      <c r="Y18" s="5"/>
      <c r="Z18" s="35">
        <f t="shared" ref="Z18:Z29" si="7">IF(T18=0,0,X18/T18)</f>
        <v>-0.30582839950139667</v>
      </c>
    </row>
    <row r="19" spans="1:26" s="68" customFormat="1" ht="15" customHeight="1" outlineLevel="1" collapsed="1" x14ac:dyDescent="0.3">
      <c r="A19" s="26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577.36</v>
      </c>
      <c r="E19" s="2"/>
      <c r="F19" s="6">
        <f t="shared" si="0"/>
        <v>0</v>
      </c>
      <c r="G19" s="2"/>
      <c r="H19" s="2">
        <f>SUM(OSRRefH22_0x_0)</f>
        <v>577.36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5196.24</v>
      </c>
      <c r="Q19" s="2"/>
      <c r="R19" s="6">
        <f t="shared" si="4"/>
        <v>0</v>
      </c>
      <c r="S19" s="2"/>
      <c r="T19" s="2">
        <f>SUM(OSRRefT22_0x_0)</f>
        <v>5535.23</v>
      </c>
      <c r="U19" s="2"/>
      <c r="V19" s="6">
        <f t="shared" si="5"/>
        <v>0</v>
      </c>
      <c r="W19" s="2"/>
      <c r="X19" s="2">
        <f t="shared" si="6"/>
        <v>-338.98999999999978</v>
      </c>
      <c r="Y19" s="2"/>
      <c r="Z19" s="6">
        <f t="shared" si="7"/>
        <v>-6.1242260935859903E-2</v>
      </c>
    </row>
    <row r="20" spans="1:26" s="69" customFormat="1" ht="15" hidden="1" customHeight="1" outlineLevel="2" x14ac:dyDescent="0.3">
      <c r="A20" s="25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577.36</v>
      </c>
      <c r="E20" s="3"/>
      <c r="F20" s="7">
        <f t="shared" si="0"/>
        <v>0</v>
      </c>
      <c r="G20" s="3"/>
      <c r="H20" s="8">
        <v>577.36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5196.24</v>
      </c>
      <c r="Q20" s="3"/>
      <c r="R20" s="7">
        <f t="shared" si="4"/>
        <v>0</v>
      </c>
      <c r="S20" s="3"/>
      <c r="T20" s="8">
        <v>5535.23</v>
      </c>
      <c r="U20" s="3"/>
      <c r="V20" s="7">
        <f t="shared" si="5"/>
        <v>0</v>
      </c>
      <c r="W20" s="3"/>
      <c r="X20" s="8">
        <f t="shared" si="6"/>
        <v>-338.98999999999978</v>
      </c>
      <c r="Y20" s="3"/>
      <c r="Z20" s="7">
        <f t="shared" si="7"/>
        <v>-6.1242260935859903E-2</v>
      </c>
    </row>
    <row r="21" spans="1:26" s="68" customFormat="1" ht="15" customHeight="1" outlineLevel="1" collapsed="1" x14ac:dyDescent="0.3">
      <c r="A21" s="26"/>
      <c r="B21" s="14" t="str">
        <f>CONCATENATE("     ","Equipment Rental                                  ")</f>
        <v xml:space="preserve">     Equipment Rental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0</v>
      </c>
      <c r="Q21" s="2"/>
      <c r="R21" s="6">
        <f t="shared" si="4"/>
        <v>0</v>
      </c>
      <c r="S21" s="2"/>
      <c r="T21" s="2">
        <f>SUM(OSRRefT22_1x_0)</f>
        <v>16.239999999999998</v>
      </c>
      <c r="U21" s="2"/>
      <c r="V21" s="6">
        <f t="shared" si="5"/>
        <v>0</v>
      </c>
      <c r="W21" s="2"/>
      <c r="X21" s="2">
        <f t="shared" si="6"/>
        <v>-16.239999999999998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5"/>
      <c r="B22" s="12" t="str">
        <f>CONCATENATE("          ","6351"," - ","EQUIPMENT RENTAL")</f>
        <v xml:space="preserve">          6351 - EQUIPMENT RENTAL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16.239999999999998</v>
      </c>
      <c r="U22" s="3"/>
      <c r="V22" s="7">
        <f t="shared" si="5"/>
        <v>0</v>
      </c>
      <c r="W22" s="3"/>
      <c r="X22" s="8">
        <f t="shared" si="6"/>
        <v>-16.239999999999998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6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63.27</v>
      </c>
      <c r="E23" s="2"/>
      <c r="F23" s="6">
        <f t="shared" si="0"/>
        <v>0</v>
      </c>
      <c r="G23" s="2"/>
      <c r="H23" s="2">
        <f>SUM(OSRRefH22_2x_0)</f>
        <v>60.6</v>
      </c>
      <c r="I23" s="2"/>
      <c r="J23" s="6">
        <f t="shared" si="1"/>
        <v>0</v>
      </c>
      <c r="K23" s="2"/>
      <c r="L23" s="2">
        <f t="shared" si="2"/>
        <v>2.6700000000000017</v>
      </c>
      <c r="M23" s="2"/>
      <c r="N23" s="6">
        <f t="shared" si="3"/>
        <v>4.4059405940594085E-2</v>
      </c>
      <c r="O23" s="14"/>
      <c r="P23" s="2">
        <f>SUM(OSRRefP22_2x_0)</f>
        <v>186.97</v>
      </c>
      <c r="Q23" s="2"/>
      <c r="R23" s="6">
        <f t="shared" si="4"/>
        <v>0</v>
      </c>
      <c r="S23" s="2"/>
      <c r="T23" s="2">
        <f>SUM(OSRRefT22_2x_0)</f>
        <v>1677.13</v>
      </c>
      <c r="U23" s="2"/>
      <c r="V23" s="6">
        <f t="shared" si="5"/>
        <v>0</v>
      </c>
      <c r="W23" s="2"/>
      <c r="X23" s="2">
        <f t="shared" si="6"/>
        <v>-1490.16</v>
      </c>
      <c r="Y23" s="2"/>
      <c r="Z23" s="6">
        <f t="shared" si="7"/>
        <v>-0.88851788471972948</v>
      </c>
    </row>
    <row r="24" spans="1:26" s="69" customFormat="1" ht="15" hidden="1" customHeight="1" outlineLevel="2" x14ac:dyDescent="0.3">
      <c r="A24" s="25"/>
      <c r="B24" s="12" t="str">
        <f>CONCATENATE("          ","6373"," - ","MAINTENANCE CONTRACTS")</f>
        <v xml:space="preserve">          6373 - MAINTENANCE CONTRACTS</v>
      </c>
      <c r="C24" s="12"/>
      <c r="D24" s="8">
        <v>63.27</v>
      </c>
      <c r="E24" s="3"/>
      <c r="F24" s="7">
        <f t="shared" si="0"/>
        <v>0</v>
      </c>
      <c r="G24" s="3"/>
      <c r="H24" s="8">
        <v>60.6</v>
      </c>
      <c r="I24" s="3"/>
      <c r="J24" s="7">
        <f t="shared" si="1"/>
        <v>0</v>
      </c>
      <c r="K24" s="3"/>
      <c r="L24" s="8">
        <f t="shared" si="2"/>
        <v>2.6700000000000017</v>
      </c>
      <c r="M24" s="3"/>
      <c r="N24" s="7">
        <f t="shared" si="3"/>
        <v>4.4059405940594085E-2</v>
      </c>
      <c r="O24" s="12"/>
      <c r="P24" s="8">
        <v>186.97</v>
      </c>
      <c r="Q24" s="3"/>
      <c r="R24" s="7">
        <f t="shared" si="4"/>
        <v>0</v>
      </c>
      <c r="S24" s="3"/>
      <c r="T24" s="8">
        <v>339</v>
      </c>
      <c r="U24" s="3"/>
      <c r="V24" s="7">
        <f t="shared" si="5"/>
        <v>0</v>
      </c>
      <c r="W24" s="3"/>
      <c r="X24" s="8">
        <f t="shared" si="6"/>
        <v>-152.03</v>
      </c>
      <c r="Y24" s="3"/>
      <c r="Z24" s="7">
        <f t="shared" si="7"/>
        <v>-0.44846607669616517</v>
      </c>
    </row>
    <row r="25" spans="1:26" s="69" customFormat="1" ht="15" hidden="1" customHeight="1" outlineLevel="2" x14ac:dyDescent="0.3">
      <c r="A25" s="25"/>
      <c r="B25" s="12" t="str">
        <f>CONCATENATE("          ","6375"," - ","OUTSIDE REPAIRS &amp; MAINTENANCE")</f>
        <v xml:space="preserve">          6375 - OUTSIDE REPAIRS &amp; MAINTENANCE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1338.13</v>
      </c>
      <c r="U25" s="3"/>
      <c r="V25" s="7">
        <f t="shared" si="5"/>
        <v>0</v>
      </c>
      <c r="W25" s="3"/>
      <c r="X25" s="8">
        <f t="shared" si="6"/>
        <v>-1338.13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6"/>
      <c r="B26" s="14" t="str">
        <f>CONCATENATE("     ","Services                                          ")</f>
        <v xml:space="preserve">     Services                                          </v>
      </c>
      <c r="C26" s="14"/>
      <c r="D26" s="2">
        <f>SUM(OSRRefD22_3x_0)</f>
        <v>0</v>
      </c>
      <c r="E26" s="2"/>
      <c r="F26" s="6">
        <f t="shared" si="0"/>
        <v>0</v>
      </c>
      <c r="G26" s="2"/>
      <c r="H26" s="2">
        <f>SUM(OSRRefH22_3x_0)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SUM(OSRRefP22_3x_0)</f>
        <v>0</v>
      </c>
      <c r="Q26" s="2"/>
      <c r="R26" s="6">
        <f t="shared" si="4"/>
        <v>0</v>
      </c>
      <c r="S26" s="2"/>
      <c r="T26" s="2">
        <f>SUM(OSRRefT22_3x_0)</f>
        <v>320.58</v>
      </c>
      <c r="U26" s="2"/>
      <c r="V26" s="6">
        <f t="shared" si="5"/>
        <v>0</v>
      </c>
      <c r="W26" s="2"/>
      <c r="X26" s="2">
        <f t="shared" si="6"/>
        <v>-320.58</v>
      </c>
      <c r="Y26" s="2"/>
      <c r="Z26" s="6">
        <f t="shared" si="7"/>
        <v>-1</v>
      </c>
    </row>
    <row r="27" spans="1:26" s="69" customFormat="1" ht="15" hidden="1" customHeight="1" outlineLevel="2" x14ac:dyDescent="0.3">
      <c r="A27" s="25"/>
      <c r="B27" s="12" t="str">
        <f>CONCATENATE("          ","6286"," - ","LAUNDRY EXPENSE")</f>
        <v xml:space="preserve">          6286 - LAUNDRY EXPENSE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320.58</v>
      </c>
      <c r="U27" s="3"/>
      <c r="V27" s="7">
        <f t="shared" si="5"/>
        <v>0</v>
      </c>
      <c r="W27" s="3"/>
      <c r="X27" s="8">
        <f t="shared" si="6"/>
        <v>-320.58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6"/>
      <c r="B28" s="14" t="str">
        <f>CONCATENATE("     ","Telephone/Data Lines                              ")</f>
        <v xml:space="preserve">     Telephone/Data Lines                              </v>
      </c>
      <c r="C28" s="14"/>
      <c r="D28" s="2">
        <f>SUM(OSRRefD22_4x_0)</f>
        <v>0</v>
      </c>
      <c r="E28" s="2"/>
      <c r="F28" s="6">
        <f t="shared" si="0"/>
        <v>0</v>
      </c>
      <c r="G28" s="2"/>
      <c r="H28" s="2">
        <f>SUM(OSRRefH22_4x_0)</f>
        <v>36</v>
      </c>
      <c r="I28" s="2"/>
      <c r="J28" s="6">
        <f t="shared" si="1"/>
        <v>0</v>
      </c>
      <c r="K28" s="2"/>
      <c r="L28" s="2">
        <f t="shared" si="2"/>
        <v>-36</v>
      </c>
      <c r="M28" s="2"/>
      <c r="N28" s="6">
        <f t="shared" si="3"/>
        <v>-1</v>
      </c>
      <c r="O28" s="14"/>
      <c r="P28" s="2">
        <f>SUM(OSRRefP22_4x_0)</f>
        <v>135.6</v>
      </c>
      <c r="Q28" s="2"/>
      <c r="R28" s="6">
        <f t="shared" si="4"/>
        <v>0</v>
      </c>
      <c r="S28" s="2"/>
      <c r="T28" s="2">
        <f>SUM(OSRRefT22_4x_0)</f>
        <v>401.03</v>
      </c>
      <c r="U28" s="2"/>
      <c r="V28" s="6">
        <f t="shared" si="5"/>
        <v>0</v>
      </c>
      <c r="W28" s="2"/>
      <c r="X28" s="2">
        <f t="shared" si="6"/>
        <v>-265.42999999999995</v>
      </c>
      <c r="Y28" s="2"/>
      <c r="Z28" s="6">
        <f t="shared" si="7"/>
        <v>-0.66187068299129737</v>
      </c>
    </row>
    <row r="29" spans="1:26" s="69" customFormat="1" ht="15" hidden="1" customHeight="1" outlineLevel="2" x14ac:dyDescent="0.3">
      <c r="A29" s="25"/>
      <c r="B29" s="12" t="str">
        <f>CONCATENATE("          ","6309"," - ","TELEPHONE")</f>
        <v xml:space="preserve">          6309 - TELEPHONE</v>
      </c>
      <c r="C29" s="12"/>
      <c r="D29" s="8"/>
      <c r="E29" s="3"/>
      <c r="F29" s="7">
        <f t="shared" si="0"/>
        <v>0</v>
      </c>
      <c r="G29" s="3"/>
      <c r="H29" s="8">
        <v>36</v>
      </c>
      <c r="I29" s="3"/>
      <c r="J29" s="7">
        <f t="shared" si="1"/>
        <v>0</v>
      </c>
      <c r="K29" s="3"/>
      <c r="L29" s="8">
        <f t="shared" si="2"/>
        <v>-36</v>
      </c>
      <c r="M29" s="3"/>
      <c r="N29" s="7">
        <f t="shared" si="3"/>
        <v>-1</v>
      </c>
      <c r="O29" s="12"/>
      <c r="P29" s="8">
        <v>135.6</v>
      </c>
      <c r="Q29" s="3"/>
      <c r="R29" s="7">
        <f t="shared" si="4"/>
        <v>0</v>
      </c>
      <c r="S29" s="3"/>
      <c r="T29" s="8">
        <v>401.03</v>
      </c>
      <c r="U29" s="3"/>
      <c r="V29" s="7">
        <f t="shared" si="5"/>
        <v>0</v>
      </c>
      <c r="W29" s="3"/>
      <c r="X29" s="8">
        <f t="shared" si="6"/>
        <v>-265.42999999999995</v>
      </c>
      <c r="Y29" s="3"/>
      <c r="Z29" s="7">
        <f t="shared" si="7"/>
        <v>-0.66187068299129737</v>
      </c>
    </row>
    <row r="30" spans="1:26" s="64" customFormat="1" ht="15" customHeight="1" x14ac:dyDescent="0.3">
      <c r="A30" s="36"/>
      <c r="B30" s="36"/>
      <c r="C30" s="36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3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62" customFormat="1" ht="15" customHeight="1" x14ac:dyDescent="0.3">
      <c r="A31" s="11"/>
      <c r="B31" s="28" t="s">
        <v>290</v>
      </c>
      <c r="C31" s="11"/>
      <c r="D31" s="5">
        <f>SUM(0)</f>
        <v>0</v>
      </c>
      <c r="E31" s="5"/>
      <c r="F31" s="13">
        <f>IF(D$12=0,0,D31/D$12)</f>
        <v>0</v>
      </c>
      <c r="G31" s="5"/>
      <c r="H31" s="5">
        <f>SUM(0)</f>
        <v>0</v>
      </c>
      <c r="I31" s="5"/>
      <c r="J31" s="13">
        <f>IF(H$12=0,0,H31/H$12)</f>
        <v>0</v>
      </c>
      <c r="K31" s="5"/>
      <c r="L31" s="5">
        <f>+D31-H31</f>
        <v>0</v>
      </c>
      <c r="M31" s="5"/>
      <c r="N31" s="13">
        <f>IF(H31=0,0,L31/H31)</f>
        <v>0</v>
      </c>
      <c r="O31" s="11"/>
      <c r="P31" s="5">
        <f>SUM(0)</f>
        <v>0</v>
      </c>
      <c r="Q31" s="5"/>
      <c r="R31" s="13">
        <f>IF(P$12=0,0,P31/P$12)</f>
        <v>0</v>
      </c>
      <c r="S31" s="5"/>
      <c r="T31" s="5">
        <f>SUM(0)</f>
        <v>0</v>
      </c>
      <c r="U31" s="5"/>
      <c r="V31" s="13">
        <f>IF(T$12=0,0,T31/T$12)</f>
        <v>0</v>
      </c>
      <c r="W31" s="5"/>
      <c r="X31" s="5">
        <f>+P31-T31</f>
        <v>0</v>
      </c>
      <c r="Y31" s="5"/>
      <c r="Z31" s="13">
        <f>IF(T31=0,0,X31/T31)</f>
        <v>0</v>
      </c>
    </row>
    <row r="32" spans="1:26" ht="15" customHeight="1" x14ac:dyDescent="0.3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7" t="s">
        <v>291</v>
      </c>
      <c r="C33" s="27"/>
      <c r="D33" s="22">
        <f>+D16-D18+D31</f>
        <v>-640.63</v>
      </c>
      <c r="E33" s="15"/>
      <c r="F33" s="21">
        <f>IF(D$12=0,0,D33/D$12)</f>
        <v>0</v>
      </c>
      <c r="G33" s="15"/>
      <c r="H33" s="22">
        <f>+H16-H18+H31</f>
        <v>-673.96</v>
      </c>
      <c r="I33" s="15"/>
      <c r="J33" s="21">
        <f>IF(H$12=0,0,H33/H$12)</f>
        <v>0</v>
      </c>
      <c r="K33" s="17"/>
      <c r="L33" s="22">
        <f>+D33-H33</f>
        <v>33.330000000000041</v>
      </c>
      <c r="M33" s="17"/>
      <c r="N33" s="21">
        <f>IF(H33=0,0,L33/H33)</f>
        <v>-4.9453973529586387E-2</v>
      </c>
      <c r="O33" s="28"/>
      <c r="P33" s="22">
        <f>+P16-P18+P31</f>
        <v>-5518.81</v>
      </c>
      <c r="Q33" s="15"/>
      <c r="R33" s="21">
        <f>IF(P$12=0,0,P33/P$12)</f>
        <v>0</v>
      </c>
      <c r="S33" s="15"/>
      <c r="T33" s="22">
        <f>+T16-T18+T31</f>
        <v>-7950.2099999999991</v>
      </c>
      <c r="U33" s="15"/>
      <c r="V33" s="21">
        <f>IF(T$12=0,0,T33/T$12)</f>
        <v>0</v>
      </c>
      <c r="W33" s="17"/>
      <c r="X33" s="22">
        <f>+P33-T33</f>
        <v>2431.3999999999987</v>
      </c>
      <c r="Y33" s="17"/>
      <c r="Z33" s="21">
        <f>IF(T33=0,0,X33/T33)</f>
        <v>-0.30582839950139667</v>
      </c>
    </row>
    <row r="34" spans="1:26" ht="15" customHeight="1" x14ac:dyDescent="0.3">
      <c r="A34" s="10"/>
      <c r="B34" s="11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x14ac:dyDescent="0.3">
      <c r="A35" s="48"/>
      <c r="B35" s="11" t="s">
        <v>292</v>
      </c>
      <c r="C35" s="11"/>
      <c r="D35" s="5"/>
      <c r="E35" s="5"/>
      <c r="F35" s="13">
        <f>IF(D$12=0,0,D35/D$12)</f>
        <v>0</v>
      </c>
      <c r="G35" s="5"/>
      <c r="H35" s="5"/>
      <c r="I35" s="5"/>
      <c r="J35" s="13">
        <f>IF(H$12=0,0,H35/H$12)</f>
        <v>0</v>
      </c>
      <c r="K35" s="5"/>
      <c r="L35" s="5">
        <f>+D35-H35</f>
        <v>0</v>
      </c>
      <c r="M35" s="5"/>
      <c r="N35" s="13">
        <f>IF(H35=0,0,L35/H35)</f>
        <v>0</v>
      </c>
      <c r="O35" s="11"/>
      <c r="P35" s="5"/>
      <c r="Q35" s="5"/>
      <c r="R35" s="13">
        <f>IF(P$12=0,0,P35/P$12)</f>
        <v>0</v>
      </c>
      <c r="S35" s="5"/>
      <c r="T35" s="5"/>
      <c r="U35" s="5"/>
      <c r="V35" s="13">
        <f>IF(T$12=0,0,T35/T$12)</f>
        <v>0</v>
      </c>
      <c r="W35" s="5"/>
      <c r="X35" s="5">
        <f>+P35-T35</f>
        <v>0</v>
      </c>
      <c r="Y35" s="5"/>
      <c r="Z35" s="13">
        <f>IF(T35=0,0,X35/T35)</f>
        <v>0</v>
      </c>
    </row>
    <row r="36" spans="1:26" ht="15" customHeight="1" x14ac:dyDescent="0.3">
      <c r="A36" s="10"/>
      <c r="B36" s="11"/>
      <c r="C36" s="11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O36" s="11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7" t="s">
        <v>293</v>
      </c>
      <c r="C37" s="27"/>
      <c r="D37" s="34">
        <f>+D33-D35</f>
        <v>-640.63</v>
      </c>
      <c r="E37" s="15"/>
      <c r="F37" s="33">
        <f>IF(D$12=0,0,D37/D$12)</f>
        <v>0</v>
      </c>
      <c r="G37" s="15"/>
      <c r="H37" s="34">
        <f>+H33-H35</f>
        <v>-673.96</v>
      </c>
      <c r="I37" s="15"/>
      <c r="J37" s="33">
        <f>IF(H$12=0,0,H37/H$12)</f>
        <v>0</v>
      </c>
      <c r="K37" s="17"/>
      <c r="L37" s="34">
        <f>D37-H37</f>
        <v>33.330000000000041</v>
      </c>
      <c r="M37" s="17"/>
      <c r="N37" s="33">
        <f>IF(H37=0,0,L37/H37)</f>
        <v>-4.9453973529586387E-2</v>
      </c>
      <c r="O37" s="28"/>
      <c r="P37" s="34">
        <f>+P33-P35</f>
        <v>-5518.81</v>
      </c>
      <c r="Q37" s="15"/>
      <c r="R37" s="33">
        <f>IF(P$12=0,0,P37/P$12)</f>
        <v>0</v>
      </c>
      <c r="S37" s="15"/>
      <c r="T37" s="34">
        <f>+T33-T35</f>
        <v>-7950.2099999999991</v>
      </c>
      <c r="U37" s="15"/>
      <c r="V37" s="33">
        <f>IF(T$12=0,0,T37/T$12)</f>
        <v>0</v>
      </c>
      <c r="W37" s="17"/>
      <c r="X37" s="34">
        <f>P37-T37</f>
        <v>2431.3999999999987</v>
      </c>
      <c r="Y37" s="17"/>
      <c r="Z37" s="33">
        <f>IF(T37=0,0,X37/T37)</f>
        <v>-0.30582839950139667</v>
      </c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ht="15" customHeight="1" x14ac:dyDescent="0.3">
      <c r="A39" s="10"/>
      <c r="B39" s="10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11"/>
      <c r="B40" s="27" t="s">
        <v>296</v>
      </c>
      <c r="C40" s="27"/>
      <c r="D40" s="31">
        <f>SUM(D37:D39)</f>
        <v>-640.63</v>
      </c>
      <c r="E40" s="15"/>
      <c r="F40" s="32">
        <f>IF(D$12=0,0,D40/D$12)</f>
        <v>0</v>
      </c>
      <c r="G40" s="15"/>
      <c r="H40" s="31">
        <f>SUM(H37:H39)</f>
        <v>-673.96</v>
      </c>
      <c r="I40" s="15"/>
      <c r="J40" s="32">
        <f>IF(H$12=0,0,H40/H$12)</f>
        <v>0</v>
      </c>
      <c r="K40" s="17"/>
      <c r="L40" s="31">
        <f>+D40-H40</f>
        <v>33.330000000000041</v>
      </c>
      <c r="M40" s="17"/>
      <c r="N40" s="32">
        <f>IF(H40=0,0,L40/H40)</f>
        <v>-4.9453973529586387E-2</v>
      </c>
      <c r="O40" s="28"/>
      <c r="P40" s="31">
        <f>SUM(P37:P39)</f>
        <v>-5518.81</v>
      </c>
      <c r="Q40" s="15"/>
      <c r="R40" s="32">
        <f>IF(P$12=0,0,P40/P$12)</f>
        <v>0</v>
      </c>
      <c r="S40" s="15"/>
      <c r="T40" s="31">
        <f>SUM(T37:T39)</f>
        <v>-7950.2099999999991</v>
      </c>
      <c r="U40" s="15"/>
      <c r="V40" s="32">
        <f>IF(T$12=0,0,T40/T$12)</f>
        <v>0</v>
      </c>
      <c r="W40" s="17"/>
      <c r="X40" s="31">
        <f>+P40-T40</f>
        <v>2431.3999999999987</v>
      </c>
      <c r="Y40" s="17"/>
      <c r="Z40" s="32">
        <f>IF(T40=0,0,X40/T40)</f>
        <v>-0.30582839950139667</v>
      </c>
    </row>
    <row r="41" spans="1:26" ht="15" customHeight="1" x14ac:dyDescent="0.3">
      <c r="A41" s="10"/>
      <c r="C41" s="10"/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6">
        <v>44663.03859679398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7" t="s">
        <v>297</v>
      </c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A44" s="10"/>
      <c r="B44" s="58"/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  <row r="45" spans="1:26" ht="15" customHeight="1" x14ac:dyDescent="0.3">
      <c r="D45" s="19"/>
      <c r="E45" s="19"/>
      <c r="G45" s="19"/>
      <c r="H45" s="19"/>
      <c r="I45" s="19"/>
      <c r="J45" s="40"/>
      <c r="K45" s="19"/>
      <c r="L45" s="19"/>
      <c r="M45" s="19"/>
      <c r="P45" s="19"/>
      <c r="Q45" s="19"/>
      <c r="R45" s="40"/>
      <c r="S45" s="19"/>
      <c r="T45" s="19"/>
      <c r="U45" s="19"/>
      <c r="V45" s="40"/>
      <c r="W45" s="19"/>
      <c r="X4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B760A-BD93-ACEC-F875-FD3C9CA2A0DA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","413"," - ","Beach Walk")</f>
        <v>Department 413 - Beach Walk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157.88999999999999</v>
      </c>
      <c r="E18" s="23"/>
      <c r="F18" s="35">
        <f t="shared" ref="F18:F34" si="0">IF(D$12=0,0,D18/D$12)</f>
        <v>0</v>
      </c>
      <c r="G18" s="23"/>
      <c r="H18" s="23" cm="1">
        <f t="array" ref="H18">SUM(OSRRefH22x_0)</f>
        <v>223.78</v>
      </c>
      <c r="I18" s="23"/>
      <c r="J18" s="35">
        <f t="shared" ref="J18:J34" si="1">IF(H$12=0,0,H18/H$12)</f>
        <v>0</v>
      </c>
      <c r="K18" s="5"/>
      <c r="L18" s="23">
        <f t="shared" ref="L18:L34" si="2">+D18-H18</f>
        <v>-65.890000000000015</v>
      </c>
      <c r="M18" s="5"/>
      <c r="N18" s="35">
        <f t="shared" ref="N18:N34" si="3">IF(H18=0,0,L18/H18)</f>
        <v>-0.29444096880865139</v>
      </c>
      <c r="O18" s="11"/>
      <c r="P18" s="23" cm="1">
        <f t="array" ref="P18">SUM(OSRRefP22x_0)</f>
        <v>887.07999999999993</v>
      </c>
      <c r="Q18" s="23"/>
      <c r="R18" s="35">
        <f t="shared" ref="R18:R34" si="4">IF(P$12=0,0,P18/P$12)</f>
        <v>0</v>
      </c>
      <c r="S18" s="23"/>
      <c r="T18" s="23" cm="1">
        <f t="array" ref="T18">SUM(OSRRefT22x_0)</f>
        <v>5187.3500000000004</v>
      </c>
      <c r="U18" s="23"/>
      <c r="V18" s="35">
        <f t="shared" ref="V18:V34" si="5">IF(T$12=0,0,T18/T$12)</f>
        <v>0</v>
      </c>
      <c r="W18" s="5"/>
      <c r="X18" s="23">
        <f t="shared" ref="X18:X34" si="6">+P18-T18</f>
        <v>-4300.2700000000004</v>
      </c>
      <c r="Y18" s="5"/>
      <c r="Z18" s="35">
        <f t="shared" ref="Z18:Z34" si="7">IF(T18=0,0,X18/T18)</f>
        <v>-0.82899168168718129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1493.43</v>
      </c>
      <c r="U19" s="2"/>
      <c r="V19" s="6">
        <f t="shared" si="5"/>
        <v>0</v>
      </c>
      <c r="W19" s="2"/>
      <c r="X19" s="2">
        <f t="shared" si="6"/>
        <v>-1493.43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191.51</v>
      </c>
      <c r="U20" s="3"/>
      <c r="V20" s="7">
        <f t="shared" si="5"/>
        <v>0</v>
      </c>
      <c r="W20" s="3"/>
      <c r="X20" s="8">
        <f t="shared" si="6"/>
        <v>-191.51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5"/>
      <c r="B21" s="12" t="str">
        <f>CONCATENATE("          ","6113"," - ","GROUP INSURANCE")</f>
        <v xml:space="preserve">          6113 - GROUP INSURANCE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718.51</v>
      </c>
      <c r="U21" s="3"/>
      <c r="V21" s="7">
        <f t="shared" si="5"/>
        <v>0</v>
      </c>
      <c r="W21" s="3"/>
      <c r="X21" s="8">
        <f t="shared" si="6"/>
        <v>-718.51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5"/>
      <c r="B22" s="12" t="str">
        <f>CONCATENATE("          ","6115"," - ","P.E.R.S.")</f>
        <v xml:space="preserve">          6115 - P.E.R.S.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377.03</v>
      </c>
      <c r="U22" s="3"/>
      <c r="V22" s="7">
        <f t="shared" si="5"/>
        <v>0</v>
      </c>
      <c r="W22" s="3"/>
      <c r="X22" s="8">
        <f t="shared" si="6"/>
        <v>-377.03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5"/>
      <c r="B23" s="12" t="str">
        <f>CONCATENATE("          ","6118"," - ","VACATION")</f>
        <v xml:space="preserve">          6118 - VACATION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93.89</v>
      </c>
      <c r="U23" s="3"/>
      <c r="V23" s="7">
        <f t="shared" si="5"/>
        <v>0</v>
      </c>
      <c r="W23" s="3"/>
      <c r="X23" s="8">
        <f t="shared" si="6"/>
        <v>-93.89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5"/>
      <c r="B24" s="12" t="str">
        <f>CONCATENATE("          ","6119"," - ","SICK LEAVE")</f>
        <v xml:space="preserve">          6119 - SICK LEAVE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112.49</v>
      </c>
      <c r="U24" s="3"/>
      <c r="V24" s="7">
        <f t="shared" si="5"/>
        <v>0</v>
      </c>
      <c r="W24" s="3"/>
      <c r="X24" s="8">
        <f t="shared" si="6"/>
        <v>-112.49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6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0</v>
      </c>
      <c r="E25" s="2"/>
      <c r="F25" s="6">
        <f t="shared" si="0"/>
        <v>0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SUM(OSRRefP22_1x_0)</f>
        <v>0</v>
      </c>
      <c r="Q25" s="2"/>
      <c r="R25" s="6">
        <f t="shared" si="4"/>
        <v>0</v>
      </c>
      <c r="S25" s="2"/>
      <c r="T25" s="2">
        <f>SUM(OSRRefT22_1x_0)</f>
        <v>2259.48</v>
      </c>
      <c r="U25" s="2"/>
      <c r="V25" s="6">
        <f t="shared" si="5"/>
        <v>0</v>
      </c>
      <c r="W25" s="2"/>
      <c r="X25" s="2">
        <f t="shared" si="6"/>
        <v>-2259.48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","6002"," - ","STAFF SALARIES")</f>
        <v xml:space="preserve">          6002 - STAFF SALARIES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2259.48</v>
      </c>
      <c r="U26" s="3"/>
      <c r="V26" s="7">
        <f t="shared" si="5"/>
        <v>0</v>
      </c>
      <c r="W26" s="3"/>
      <c r="X26" s="8">
        <f t="shared" si="6"/>
        <v>-2259.48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6"/>
      <c r="B27" s="14" t="str">
        <f>CONCATENATE("     ","Depreciation                                      ")</f>
        <v xml:space="preserve">     Depreciation                                      </v>
      </c>
      <c r="C27" s="14"/>
      <c r="D27" s="2">
        <f>SUM(OSRRefD22_2x_0)</f>
        <v>58.03</v>
      </c>
      <c r="E27" s="2"/>
      <c r="F27" s="6">
        <f t="shared" si="0"/>
        <v>0</v>
      </c>
      <c r="G27" s="2"/>
      <c r="H27" s="2">
        <f>SUM(OSRRefH22_2x_0)</f>
        <v>58.03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522.27</v>
      </c>
      <c r="Q27" s="2"/>
      <c r="R27" s="6">
        <f t="shared" si="4"/>
        <v>0</v>
      </c>
      <c r="S27" s="2"/>
      <c r="T27" s="2">
        <f>SUM(OSRRefT22_2x_0)</f>
        <v>522.27</v>
      </c>
      <c r="U27" s="2"/>
      <c r="V27" s="6">
        <f t="shared" si="5"/>
        <v>0</v>
      </c>
      <c r="W27" s="2"/>
      <c r="X27" s="2">
        <f t="shared" si="6"/>
        <v>0</v>
      </c>
      <c r="Y27" s="2"/>
      <c r="Z27" s="6">
        <f t="shared" si="7"/>
        <v>0</v>
      </c>
    </row>
    <row r="28" spans="1:26" s="69" customFormat="1" ht="15" hidden="1" customHeight="1" outlineLevel="2" x14ac:dyDescent="0.3">
      <c r="A28" s="25"/>
      <c r="B28" s="12" t="str">
        <f>CONCATENATE("          ","6322"," - ","EQUIPMENT DEPRECIATION EXPENSE")</f>
        <v xml:space="preserve">          6322 - EQUIPMENT DEPRECIATION EXPENSE</v>
      </c>
      <c r="C28" s="12"/>
      <c r="D28" s="8">
        <v>58.03</v>
      </c>
      <c r="E28" s="3"/>
      <c r="F28" s="7">
        <f t="shared" si="0"/>
        <v>0</v>
      </c>
      <c r="G28" s="3"/>
      <c r="H28" s="8">
        <v>58.03</v>
      </c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522.27</v>
      </c>
      <c r="Q28" s="3"/>
      <c r="R28" s="7">
        <f t="shared" si="4"/>
        <v>0</v>
      </c>
      <c r="S28" s="3"/>
      <c r="T28" s="8">
        <v>522.27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6"/>
      <c r="B29" s="14" t="str">
        <f>CONCATENATE("     ","Repair and Maintenance                            ")</f>
        <v xml:space="preserve">     Repair and Maintenance                            </v>
      </c>
      <c r="C29" s="14"/>
      <c r="D29" s="2">
        <f>SUM(OSRRefD22_3x_0)</f>
        <v>99.86</v>
      </c>
      <c r="E29" s="2"/>
      <c r="F29" s="6">
        <f t="shared" si="0"/>
        <v>0</v>
      </c>
      <c r="G29" s="2"/>
      <c r="H29" s="2">
        <f>SUM(OSRRefH22_3x_0)</f>
        <v>165.75</v>
      </c>
      <c r="I29" s="2"/>
      <c r="J29" s="6">
        <f t="shared" si="1"/>
        <v>0</v>
      </c>
      <c r="K29" s="2"/>
      <c r="L29" s="2">
        <f t="shared" si="2"/>
        <v>-65.89</v>
      </c>
      <c r="M29" s="2"/>
      <c r="N29" s="6">
        <f t="shared" si="3"/>
        <v>-0.39752639517345401</v>
      </c>
      <c r="O29" s="14"/>
      <c r="P29" s="2">
        <f>SUM(OSRRefP22_3x_0)</f>
        <v>364.81</v>
      </c>
      <c r="Q29" s="2"/>
      <c r="R29" s="6">
        <f t="shared" si="4"/>
        <v>0</v>
      </c>
      <c r="S29" s="2"/>
      <c r="T29" s="2">
        <f>SUM(OSRRefT22_3x_0)</f>
        <v>575.85</v>
      </c>
      <c r="U29" s="2"/>
      <c r="V29" s="6">
        <f t="shared" si="5"/>
        <v>0</v>
      </c>
      <c r="W29" s="2"/>
      <c r="X29" s="2">
        <f t="shared" si="6"/>
        <v>-211.04000000000002</v>
      </c>
      <c r="Y29" s="2"/>
      <c r="Z29" s="6">
        <f t="shared" si="7"/>
        <v>-0.36648432751584614</v>
      </c>
    </row>
    <row r="30" spans="1:26" s="69" customFormat="1" ht="15" hidden="1" customHeight="1" outlineLevel="2" x14ac:dyDescent="0.3">
      <c r="A30" s="25"/>
      <c r="B30" s="12" t="str">
        <f>CONCATENATE("          ","6373"," - ","MAINTENANCE CONTRACTS")</f>
        <v xml:space="preserve">          6373 - MAINTENANCE CONTRACTS</v>
      </c>
      <c r="C30" s="12"/>
      <c r="D30" s="8">
        <v>99.86</v>
      </c>
      <c r="E30" s="3"/>
      <c r="F30" s="7">
        <f t="shared" si="0"/>
        <v>0</v>
      </c>
      <c r="G30" s="3"/>
      <c r="H30" s="8">
        <v>165.75</v>
      </c>
      <c r="I30" s="3"/>
      <c r="J30" s="7">
        <f t="shared" si="1"/>
        <v>0</v>
      </c>
      <c r="K30" s="3"/>
      <c r="L30" s="8">
        <f t="shared" si="2"/>
        <v>-65.89</v>
      </c>
      <c r="M30" s="3"/>
      <c r="N30" s="7">
        <f t="shared" si="3"/>
        <v>-0.39752639517345401</v>
      </c>
      <c r="O30" s="12"/>
      <c r="P30" s="8">
        <v>364.81</v>
      </c>
      <c r="Q30" s="3"/>
      <c r="R30" s="7">
        <f t="shared" si="4"/>
        <v>0</v>
      </c>
      <c r="S30" s="3"/>
      <c r="T30" s="8">
        <v>575.85</v>
      </c>
      <c r="U30" s="3"/>
      <c r="V30" s="7">
        <f t="shared" si="5"/>
        <v>0</v>
      </c>
      <c r="W30" s="3"/>
      <c r="X30" s="8">
        <f t="shared" si="6"/>
        <v>-211.04000000000002</v>
      </c>
      <c r="Y30" s="3"/>
      <c r="Z30" s="7">
        <f t="shared" si="7"/>
        <v>-0.36648432751584614</v>
      </c>
    </row>
    <row r="31" spans="1:26" s="68" customFormat="1" ht="15" customHeight="1" outlineLevel="1" collapsed="1" x14ac:dyDescent="0.3">
      <c r="A31" s="26"/>
      <c r="B31" s="14" t="str">
        <f>CONCATENATE("     ","Services                                          ")</f>
        <v xml:space="preserve">     Services              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0</v>
      </c>
      <c r="Q31" s="2"/>
      <c r="R31" s="6">
        <f t="shared" si="4"/>
        <v>0</v>
      </c>
      <c r="S31" s="2"/>
      <c r="T31" s="2">
        <f>SUM(OSRRefT22_4x_0)</f>
        <v>286.62</v>
      </c>
      <c r="U31" s="2"/>
      <c r="V31" s="6">
        <f t="shared" si="5"/>
        <v>0</v>
      </c>
      <c r="W31" s="2"/>
      <c r="X31" s="2">
        <f t="shared" si="6"/>
        <v>-286.62</v>
      </c>
      <c r="Y31" s="2"/>
      <c r="Z31" s="6">
        <f t="shared" si="7"/>
        <v>-1</v>
      </c>
    </row>
    <row r="32" spans="1:26" s="69" customFormat="1" ht="15" hidden="1" customHeight="1" outlineLevel="2" x14ac:dyDescent="0.3">
      <c r="A32" s="25"/>
      <c r="B32" s="12" t="str">
        <f>CONCATENATE("          ","6282"," - ","JANITORIAL/EXTERMINATOR EXPENS")</f>
        <v xml:space="preserve">          6282 - JANITORIAL/EXTERMINATOR EXPENS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286.62</v>
      </c>
      <c r="U32" s="3"/>
      <c r="V32" s="7">
        <f t="shared" si="5"/>
        <v>0</v>
      </c>
      <c r="W32" s="3"/>
      <c r="X32" s="8">
        <f t="shared" si="6"/>
        <v>-286.62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6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49.7</v>
      </c>
      <c r="U33" s="2"/>
      <c r="V33" s="6">
        <f t="shared" si="5"/>
        <v>0</v>
      </c>
      <c r="W33" s="2"/>
      <c r="X33" s="2">
        <f t="shared" si="6"/>
        <v>-49.7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5"/>
      <c r="B34" s="12" t="str">
        <f>CONCATENATE("          ","6309"," - ","TELEPHONE")</f>
        <v xml:space="preserve">          6309 - TELEPHONE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49.7</v>
      </c>
      <c r="U34" s="3"/>
      <c r="V34" s="7">
        <f t="shared" si="5"/>
        <v>0</v>
      </c>
      <c r="W34" s="3"/>
      <c r="X34" s="8">
        <f t="shared" si="6"/>
        <v>-49.7</v>
      </c>
      <c r="Y34" s="3"/>
      <c r="Z34" s="7">
        <f t="shared" si="7"/>
        <v>-1</v>
      </c>
    </row>
    <row r="35" spans="1:26" s="64" customFormat="1" ht="15" customHeight="1" x14ac:dyDescent="0.3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3">
      <c r="A36" s="11"/>
      <c r="B36" s="28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3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3">
      <c r="A38" s="11"/>
      <c r="B38" s="27" t="s">
        <v>291</v>
      </c>
      <c r="C38" s="27"/>
      <c r="D38" s="22">
        <f>+D16-D18+D36</f>
        <v>-157.88999999999999</v>
      </c>
      <c r="E38" s="15"/>
      <c r="F38" s="21">
        <f>IF(D$12=0,0,D38/D$12)</f>
        <v>0</v>
      </c>
      <c r="G38" s="15"/>
      <c r="H38" s="22">
        <f>+H16-H18+H36</f>
        <v>-223.78</v>
      </c>
      <c r="I38" s="15"/>
      <c r="J38" s="21">
        <f>IF(H$12=0,0,H38/H$12)</f>
        <v>0</v>
      </c>
      <c r="K38" s="17"/>
      <c r="L38" s="22">
        <f>+D38-H38</f>
        <v>65.890000000000015</v>
      </c>
      <c r="M38" s="17"/>
      <c r="N38" s="21">
        <f>IF(H38=0,0,L38/H38)</f>
        <v>-0.29444096880865139</v>
      </c>
      <c r="O38" s="28"/>
      <c r="P38" s="22">
        <f>+P16-P18+P36</f>
        <v>-887.07999999999993</v>
      </c>
      <c r="Q38" s="15"/>
      <c r="R38" s="21">
        <f>IF(P$12=0,0,P38/P$12)</f>
        <v>0</v>
      </c>
      <c r="S38" s="15"/>
      <c r="T38" s="22">
        <f>+T16-T18+T36</f>
        <v>-5187.3500000000004</v>
      </c>
      <c r="U38" s="15"/>
      <c r="V38" s="21">
        <f>IF(T$12=0,0,T38/T$12)</f>
        <v>0</v>
      </c>
      <c r="W38" s="17"/>
      <c r="X38" s="22">
        <f>+P38-T38</f>
        <v>4300.2700000000004</v>
      </c>
      <c r="Y38" s="17"/>
      <c r="Z38" s="21">
        <f>IF(T38=0,0,X38/T38)</f>
        <v>-0.82899168168718129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48"/>
      <c r="B40" s="11" t="s">
        <v>292</v>
      </c>
      <c r="C40" s="11"/>
      <c r="D40" s="5"/>
      <c r="E40" s="5"/>
      <c r="F40" s="13">
        <f>IF(D$12=0,0,D40/D$12)</f>
        <v>0</v>
      </c>
      <c r="G40" s="5"/>
      <c r="H40" s="5"/>
      <c r="I40" s="5"/>
      <c r="J40" s="13">
        <f>IF(H$12=0,0,H40/H$12)</f>
        <v>0</v>
      </c>
      <c r="K40" s="5"/>
      <c r="L40" s="5">
        <f>+D40-H40</f>
        <v>0</v>
      </c>
      <c r="M40" s="5"/>
      <c r="N40" s="13">
        <f>IF(H40=0,0,L40/H40)</f>
        <v>0</v>
      </c>
      <c r="O40" s="11"/>
      <c r="P40" s="5"/>
      <c r="Q40" s="5"/>
      <c r="R40" s="13">
        <f>IF(P$12=0,0,P40/P$12)</f>
        <v>0</v>
      </c>
      <c r="S40" s="5"/>
      <c r="T40" s="5"/>
      <c r="U40" s="5"/>
      <c r="V40" s="13">
        <f>IF(T$12=0,0,T40/T$12)</f>
        <v>0</v>
      </c>
      <c r="W40" s="5"/>
      <c r="X40" s="5">
        <f>+P40-T40</f>
        <v>0</v>
      </c>
      <c r="Y40" s="5"/>
      <c r="Z40" s="13">
        <f>IF(T40=0,0,X40/T40)</f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3">
      <c r="A42" s="11"/>
      <c r="B42" s="27" t="s">
        <v>293</v>
      </c>
      <c r="C42" s="27"/>
      <c r="D42" s="34">
        <f>+D38-D40</f>
        <v>-157.88999999999999</v>
      </c>
      <c r="E42" s="15"/>
      <c r="F42" s="33">
        <f>IF(D$12=0,0,D42/D$12)</f>
        <v>0</v>
      </c>
      <c r="G42" s="15"/>
      <c r="H42" s="34">
        <f>+H38-H40</f>
        <v>-223.78</v>
      </c>
      <c r="I42" s="15"/>
      <c r="J42" s="33">
        <f>IF(H$12=0,0,H42/H$12)</f>
        <v>0</v>
      </c>
      <c r="K42" s="17"/>
      <c r="L42" s="34">
        <f>D42-H42</f>
        <v>65.890000000000015</v>
      </c>
      <c r="M42" s="17"/>
      <c r="N42" s="33">
        <f>IF(H42=0,0,L42/H42)</f>
        <v>-0.29444096880865139</v>
      </c>
      <c r="O42" s="28"/>
      <c r="P42" s="34">
        <f>+P38-P40</f>
        <v>-887.07999999999993</v>
      </c>
      <c r="Q42" s="15"/>
      <c r="R42" s="33">
        <f>IF(P$12=0,0,P42/P$12)</f>
        <v>0</v>
      </c>
      <c r="S42" s="15"/>
      <c r="T42" s="34">
        <f>+T38-T40</f>
        <v>-5187.3500000000004</v>
      </c>
      <c r="U42" s="15"/>
      <c r="V42" s="33">
        <f>IF(T$12=0,0,T42/T$12)</f>
        <v>0</v>
      </c>
      <c r="W42" s="17"/>
      <c r="X42" s="34">
        <f>P42-T42</f>
        <v>4300.2700000000004</v>
      </c>
      <c r="Y42" s="17"/>
      <c r="Z42" s="33">
        <f>IF(T42=0,0,X42/T42)</f>
        <v>-0.82899168168718129</v>
      </c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3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3">
      <c r="A45" s="11"/>
      <c r="B45" s="27" t="s">
        <v>296</v>
      </c>
      <c r="C45" s="27"/>
      <c r="D45" s="31">
        <f>SUM(D42:D44)</f>
        <v>-157.88999999999999</v>
      </c>
      <c r="E45" s="15"/>
      <c r="F45" s="32">
        <f>IF(D$12=0,0,D45/D$12)</f>
        <v>0</v>
      </c>
      <c r="G45" s="15"/>
      <c r="H45" s="31">
        <f>SUM(H42:H44)</f>
        <v>-223.78</v>
      </c>
      <c r="I45" s="15"/>
      <c r="J45" s="32">
        <f>IF(H$12=0,0,H45/H$12)</f>
        <v>0</v>
      </c>
      <c r="K45" s="17"/>
      <c r="L45" s="31">
        <f>+D45-H45</f>
        <v>65.890000000000015</v>
      </c>
      <c r="M45" s="17"/>
      <c r="N45" s="32">
        <f>IF(H45=0,0,L45/H45)</f>
        <v>-0.29444096880865139</v>
      </c>
      <c r="O45" s="28"/>
      <c r="P45" s="31">
        <f>SUM(P42:P44)</f>
        <v>-887.07999999999993</v>
      </c>
      <c r="Q45" s="15"/>
      <c r="R45" s="32">
        <f>IF(P$12=0,0,P45/P$12)</f>
        <v>0</v>
      </c>
      <c r="S45" s="15"/>
      <c r="T45" s="31">
        <f>SUM(T42:T44)</f>
        <v>-5187.3500000000004</v>
      </c>
      <c r="U45" s="15"/>
      <c r="V45" s="32">
        <f>IF(T$12=0,0,T45/T$12)</f>
        <v>0</v>
      </c>
      <c r="W45" s="17"/>
      <c r="X45" s="31">
        <f>+P45-T45</f>
        <v>4300.2700000000004</v>
      </c>
      <c r="Y45" s="17"/>
      <c r="Z45" s="32">
        <f>IF(T45=0,0,X45/T45)</f>
        <v>-0.82899168168718129</v>
      </c>
    </row>
    <row r="46" spans="1:26" ht="15" customHeight="1" x14ac:dyDescent="0.3">
      <c r="A46" s="10"/>
      <c r="C46" s="10"/>
      <c r="D46" s="19"/>
      <c r="E46" s="19"/>
      <c r="G46" s="19"/>
      <c r="H46" s="19"/>
      <c r="I46" s="19"/>
      <c r="J46" s="40"/>
      <c r="K46" s="19"/>
      <c r="L46" s="19"/>
      <c r="M46" s="19"/>
      <c r="P46" s="19"/>
      <c r="Q46" s="19"/>
      <c r="R46" s="40"/>
      <c r="S46" s="19"/>
      <c r="T46" s="19"/>
      <c r="U46" s="19"/>
      <c r="V46" s="40"/>
      <c r="W46" s="19"/>
      <c r="X46" s="19"/>
    </row>
    <row r="47" spans="1:26" ht="15" customHeight="1" x14ac:dyDescent="0.3">
      <c r="A47" s="10"/>
      <c r="B47" s="56">
        <v>44663.03859679398</v>
      </c>
      <c r="D47" s="19"/>
      <c r="E47" s="19"/>
      <c r="G47" s="19"/>
      <c r="H47" s="19"/>
      <c r="I47" s="19"/>
      <c r="J47" s="40"/>
      <c r="K47" s="19"/>
      <c r="L47" s="19"/>
      <c r="M47" s="19"/>
      <c r="P47" s="19"/>
      <c r="Q47" s="19"/>
      <c r="R47" s="40"/>
      <c r="S47" s="19"/>
      <c r="T47" s="19"/>
      <c r="U47" s="19"/>
      <c r="V47" s="40"/>
      <c r="W47" s="19"/>
      <c r="X47" s="19"/>
    </row>
    <row r="48" spans="1:26" ht="15" customHeight="1" x14ac:dyDescent="0.3">
      <c r="A48" s="10"/>
      <c r="B48" s="57" t="s">
        <v>297</v>
      </c>
      <c r="D48" s="19"/>
      <c r="E48" s="19"/>
      <c r="G48" s="19"/>
      <c r="H48" s="19"/>
      <c r="I48" s="19"/>
      <c r="J48" s="40"/>
      <c r="K48" s="19"/>
      <c r="L48" s="19"/>
      <c r="M48" s="19"/>
      <c r="P48" s="19"/>
      <c r="Q48" s="19"/>
      <c r="R48" s="40"/>
      <c r="S48" s="19"/>
      <c r="T48" s="19"/>
      <c r="U48" s="19"/>
      <c r="V48" s="40"/>
      <c r="W48" s="19"/>
      <c r="X48" s="19"/>
    </row>
    <row r="49" spans="1:24" ht="15" customHeight="1" x14ac:dyDescent="0.3">
      <c r="A49" s="10"/>
      <c r="B49" s="58"/>
      <c r="D49" s="19"/>
      <c r="E49" s="19"/>
      <c r="G49" s="19"/>
      <c r="H49" s="19"/>
      <c r="I49" s="19"/>
      <c r="J49" s="40"/>
      <c r="K49" s="19"/>
      <c r="L49" s="19"/>
      <c r="M49" s="19"/>
      <c r="P49" s="19"/>
      <c r="Q49" s="19"/>
      <c r="R49" s="40"/>
      <c r="S49" s="19"/>
      <c r="T49" s="19"/>
      <c r="U49" s="19"/>
      <c r="V49" s="40"/>
      <c r="W49" s="19"/>
      <c r="X49" s="19"/>
    </row>
    <row r="50" spans="1:24" ht="15" customHeight="1" x14ac:dyDescent="0.3">
      <c r="D50" s="19"/>
      <c r="E50" s="19"/>
      <c r="G50" s="19"/>
      <c r="H50" s="19"/>
      <c r="I50" s="19"/>
      <c r="J50" s="40"/>
      <c r="K50" s="19"/>
      <c r="L50" s="19"/>
      <c r="M50" s="19"/>
      <c r="P50" s="19"/>
      <c r="Q50" s="19"/>
      <c r="R50" s="40"/>
      <c r="S50" s="19"/>
      <c r="T50" s="19"/>
      <c r="U50" s="19"/>
      <c r="V50" s="40"/>
      <c r="W50" s="19"/>
      <c r="X5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709E6-9EC2-2DC2-0D8E-B59EF10ED7D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298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C24A-84E9-8461-05E3-22E9A035706A}">
  <sheetPr>
    <tabColor rgb="FF92D050"/>
    <outlinePr summaryBelow="0" summaryRight="0"/>
  </sheetPr>
  <dimension ref="A2:Z4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","414"," - ","Starbucks UDP")</f>
        <v>Department 414 - Starbucks UDP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974.91</v>
      </c>
      <c r="U12" s="5"/>
      <c r="V12" s="13"/>
      <c r="W12" s="5"/>
      <c r="X12" s="5">
        <f>+P12-T12</f>
        <v>-974.91</v>
      </c>
      <c r="Y12" s="5"/>
      <c r="Z12" s="13">
        <f>IF(T12=0,0,X12/T12)</f>
        <v>-1</v>
      </c>
    </row>
    <row r="13" spans="1:26" s="69" customFormat="1" ht="15" hidden="1" customHeight="1" outlineLevel="1" x14ac:dyDescent="0.3">
      <c r="A13" s="42"/>
      <c r="B13" s="12" t="str">
        <f>CONCATENATE("          ","4058"," - ","TAXABLE SALES-FOOD")</f>
        <v xml:space="preserve">          4058 - TAXABLE SALES-FOOD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--974.91</f>
        <v>974.91</v>
      </c>
      <c r="U13" s="3"/>
      <c r="V13" s="20"/>
      <c r="W13" s="3"/>
      <c r="X13" s="3">
        <f>+P13-T13</f>
        <v>-974.91</v>
      </c>
      <c r="Y13" s="3"/>
      <c r="Z13" s="20">
        <f>IF(T13=0,0,X13/T13)</f>
        <v>-1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>
        <f>SUM(OSRRefD16x_0)</f>
        <v>0</v>
      </c>
      <c r="E15" s="5"/>
      <c r="F15" s="13">
        <f>IF(D$12=0,0,D15/D$12)</f>
        <v>0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SUM(OSRRefP16x_0)</f>
        <v>0</v>
      </c>
      <c r="Q15" s="5"/>
      <c r="R15" s="13">
        <f>IF(P$12=0,0,P15/P$12)</f>
        <v>0</v>
      </c>
      <c r="S15" s="5"/>
      <c r="T15" s="5">
        <f>SUM(OSRRefT16x_0)</f>
        <v>-2369.56</v>
      </c>
      <c r="U15" s="5"/>
      <c r="V15" s="13">
        <f>IF(T$12=0,0,T15/T$12)</f>
        <v>-2.4305423064693152</v>
      </c>
      <c r="W15" s="5"/>
      <c r="X15" s="5">
        <f>+P15-T15</f>
        <v>2369.56</v>
      </c>
      <c r="Y15" s="5"/>
      <c r="Z15" s="13">
        <f>IF(T15=0,0,X15/T15)</f>
        <v>-1</v>
      </c>
    </row>
    <row r="16" spans="1:26" s="69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/>
      <c r="E16" s="3"/>
      <c r="F16" s="20">
        <f>IF(D$12=0,0,D16/D$12)</f>
        <v>0</v>
      </c>
      <c r="G16" s="3"/>
      <c r="H16" s="3"/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-2369.56</v>
      </c>
      <c r="U16" s="3"/>
      <c r="V16" s="20">
        <f>IF(T$12=0,0,T16/T$12)</f>
        <v>-2.4305423064693152</v>
      </c>
      <c r="W16" s="3"/>
      <c r="X16" s="3">
        <f>+P16-T16</f>
        <v>2369.56</v>
      </c>
      <c r="Y16" s="3"/>
      <c r="Z16" s="20">
        <f>IF(T16=0,0,X16/T16)</f>
        <v>-1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>
        <f>D12-D15</f>
        <v>0</v>
      </c>
      <c r="E18" s="15"/>
      <c r="F18" s="21">
        <f>IF(D$12=0,0,D18/D$12)</f>
        <v>0</v>
      </c>
      <c r="G18" s="15"/>
      <c r="H18" s="22">
        <f>H12-H15</f>
        <v>0</v>
      </c>
      <c r="I18" s="15"/>
      <c r="J18" s="21">
        <f>IF(H$12=0,0,H18/H$12)</f>
        <v>0</v>
      </c>
      <c r="K18" s="17"/>
      <c r="L18" s="22">
        <f>+D18-H18</f>
        <v>0</v>
      </c>
      <c r="M18" s="17"/>
      <c r="N18" s="21">
        <f>IF(H18=0,0,L18/H18)</f>
        <v>0</v>
      </c>
      <c r="O18" s="28"/>
      <c r="P18" s="22">
        <f>P12-P15</f>
        <v>0</v>
      </c>
      <c r="Q18" s="15"/>
      <c r="R18" s="21">
        <f>IF(P$12=0,0,P18/P$12)</f>
        <v>0</v>
      </c>
      <c r="S18" s="15"/>
      <c r="T18" s="22">
        <f>T12-T15</f>
        <v>3344.47</v>
      </c>
      <c r="U18" s="15"/>
      <c r="V18" s="21">
        <f>IF(T$12=0,0,T18/T$12)</f>
        <v>3.4305423064693152</v>
      </c>
      <c r="W18" s="17"/>
      <c r="X18" s="22">
        <f>+P18-T18</f>
        <v>-3344.47</v>
      </c>
      <c r="Y18" s="17"/>
      <c r="Z18" s="21">
        <f>IF(T18=0,0,X18/T18)</f>
        <v>-1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cm="1">
        <f t="array" ref="D20">SUM(OSRRefD22x_0)</f>
        <v>62.41</v>
      </c>
      <c r="E20" s="23"/>
      <c r="F20" s="35">
        <f t="shared" ref="F20:F33" si="0">IF(D$12=0,0,D20/D$12)</f>
        <v>0</v>
      </c>
      <c r="G20" s="23"/>
      <c r="H20" s="23" cm="1">
        <f t="array" ref="H20">SUM(OSRRefH22x_0)</f>
        <v>1954.84</v>
      </c>
      <c r="I20" s="23"/>
      <c r="J20" s="35">
        <f t="shared" ref="J20:J33" si="1">IF(H$12=0,0,H20/H$12)</f>
        <v>0</v>
      </c>
      <c r="K20" s="5"/>
      <c r="L20" s="23">
        <f t="shared" ref="L20:L33" si="2">+D20-H20</f>
        <v>-1892.4299999999998</v>
      </c>
      <c r="M20" s="5"/>
      <c r="N20" s="35">
        <f t="shared" ref="N20:N33" si="3">IF(H20=0,0,L20/H20)</f>
        <v>-0.96807411348243333</v>
      </c>
      <c r="O20" s="11"/>
      <c r="P20" s="23" cm="1">
        <f t="array" ref="P20">SUM(OSRRefP22x_0)</f>
        <v>372.9</v>
      </c>
      <c r="Q20" s="23"/>
      <c r="R20" s="35">
        <f t="shared" ref="R20:R33" si="4">IF(P$12=0,0,P20/P$12)</f>
        <v>0</v>
      </c>
      <c r="S20" s="23"/>
      <c r="T20" s="23" cm="1">
        <f t="array" ref="T20">SUM(OSRRefT22x_0)</f>
        <v>18092.09</v>
      </c>
      <c r="U20" s="23"/>
      <c r="V20" s="35">
        <f t="shared" ref="V20:V33" si="5">IF(T$12=0,0,T20/T$12)</f>
        <v>18.557702762306263</v>
      </c>
      <c r="W20" s="5"/>
      <c r="X20" s="23">
        <f t="shared" ref="X20:X33" si="6">+P20-T20</f>
        <v>-17719.189999999999</v>
      </c>
      <c r="Y20" s="5"/>
      <c r="Z20" s="35">
        <f t="shared" ref="Z20:Z33" si="7">IF(T20=0,0,X20/T20)</f>
        <v>-0.97938878261162743</v>
      </c>
    </row>
    <row r="21" spans="1:26" s="68" customFormat="1" ht="15" customHeight="1" outlineLevel="1" collapsed="1" x14ac:dyDescent="0.3">
      <c r="A21" s="26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702.51</v>
      </c>
      <c r="U21" s="2"/>
      <c r="V21" s="6">
        <f t="shared" si="5"/>
        <v>0.72058959288549718</v>
      </c>
      <c r="W21" s="2"/>
      <c r="X21" s="2">
        <f t="shared" si="6"/>
        <v>-702.51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702.51</v>
      </c>
      <c r="U22" s="3"/>
      <c r="V22" s="7">
        <f t="shared" si="5"/>
        <v>0.72058959288549718</v>
      </c>
      <c r="W22" s="3"/>
      <c r="X22" s="8">
        <f t="shared" si="6"/>
        <v>-702.51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6"/>
      <c r="B23" s="14" t="str">
        <f>CONCATENATE("     ","Advertising/Promo                                 ")</f>
        <v xml:space="preserve">     Advertising/Promo                                 </v>
      </c>
      <c r="C23" s="14"/>
      <c r="D23" s="2">
        <f>SUM(OSRRefD22_1x_0)</f>
        <v>0</v>
      </c>
      <c r="E23" s="2"/>
      <c r="F23" s="6">
        <f t="shared" si="0"/>
        <v>0</v>
      </c>
      <c r="G23" s="2"/>
      <c r="H23" s="2">
        <f>SUM(OSRRefH22_1x_0)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SUM(OSRRefP22_1x_0)</f>
        <v>0</v>
      </c>
      <c r="Q23" s="2"/>
      <c r="R23" s="6">
        <f t="shared" si="4"/>
        <v>0</v>
      </c>
      <c r="S23" s="2"/>
      <c r="T23" s="2">
        <f>SUM(OSRRefT22_1x_0)</f>
        <v>83.83</v>
      </c>
      <c r="U23" s="2"/>
      <c r="V23" s="6">
        <f t="shared" si="5"/>
        <v>8.5987424480208435E-2</v>
      </c>
      <c r="W23" s="2"/>
      <c r="X23" s="2">
        <f t="shared" si="6"/>
        <v>-83.83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5"/>
      <c r="B24" s="12" t="str">
        <f>CONCATENATE("          ","6362"," - ","ADVERTISING EXPENSE")</f>
        <v xml:space="preserve">          6362 - ADVERTISING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83.83</v>
      </c>
      <c r="U24" s="3"/>
      <c r="V24" s="7">
        <f t="shared" si="5"/>
        <v>8.5987424480208435E-2</v>
      </c>
      <c r="W24" s="3"/>
      <c r="X24" s="8">
        <f t="shared" si="6"/>
        <v>-83.83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6"/>
      <c r="B25" s="14" t="str">
        <f>CONCATENATE("     ","Depreciation                                      ")</f>
        <v xml:space="preserve">     Depreciation                                      </v>
      </c>
      <c r="C25" s="14"/>
      <c r="D25" s="2">
        <f>SUM(OSRRefD22_2x_0)</f>
        <v>0</v>
      </c>
      <c r="E25" s="2"/>
      <c r="F25" s="6">
        <f t="shared" si="0"/>
        <v>0</v>
      </c>
      <c r="G25" s="2"/>
      <c r="H25" s="2">
        <f>SUM(OSRRefH22_2x_0)</f>
        <v>1825.26</v>
      </c>
      <c r="I25" s="2"/>
      <c r="J25" s="6">
        <f t="shared" si="1"/>
        <v>0</v>
      </c>
      <c r="K25" s="2"/>
      <c r="L25" s="2">
        <f t="shared" si="2"/>
        <v>-1825.26</v>
      </c>
      <c r="M25" s="2"/>
      <c r="N25" s="6">
        <f t="shared" si="3"/>
        <v>-1</v>
      </c>
      <c r="O25" s="14"/>
      <c r="P25" s="2">
        <f>SUM(OSRRefP22_2x_0)</f>
        <v>0</v>
      </c>
      <c r="Q25" s="2"/>
      <c r="R25" s="6">
        <f t="shared" si="4"/>
        <v>0</v>
      </c>
      <c r="S25" s="2"/>
      <c r="T25" s="2">
        <f>SUM(OSRRefT22_2x_0)</f>
        <v>16574.13</v>
      </c>
      <c r="U25" s="2"/>
      <c r="V25" s="6">
        <f t="shared" si="5"/>
        <v>17.0006769855679</v>
      </c>
      <c r="W25" s="2"/>
      <c r="X25" s="2">
        <f t="shared" si="6"/>
        <v>-16574.13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","6322"," - ","EQUIPMENT DEPRECIATION EXPENSE")</f>
        <v xml:space="preserve">          6322 - EQUIPMENT DEPRECIATION EXPENSE</v>
      </c>
      <c r="C26" s="12"/>
      <c r="D26" s="8"/>
      <c r="E26" s="3"/>
      <c r="F26" s="7">
        <f t="shared" si="0"/>
        <v>0</v>
      </c>
      <c r="G26" s="3"/>
      <c r="H26" s="8">
        <v>1825.26</v>
      </c>
      <c r="I26" s="3"/>
      <c r="J26" s="7">
        <f t="shared" si="1"/>
        <v>0</v>
      </c>
      <c r="K26" s="3"/>
      <c r="L26" s="8">
        <f t="shared" si="2"/>
        <v>-1825.26</v>
      </c>
      <c r="M26" s="3"/>
      <c r="N26" s="7">
        <f t="shared" si="3"/>
        <v>-1</v>
      </c>
      <c r="O26" s="12"/>
      <c r="P26" s="8"/>
      <c r="Q26" s="3"/>
      <c r="R26" s="7">
        <f t="shared" si="4"/>
        <v>0</v>
      </c>
      <c r="S26" s="3"/>
      <c r="T26" s="8">
        <v>16574.13</v>
      </c>
      <c r="U26" s="3"/>
      <c r="V26" s="7">
        <f t="shared" si="5"/>
        <v>17.0006769855679</v>
      </c>
      <c r="W26" s="3"/>
      <c r="X26" s="8">
        <f t="shared" si="6"/>
        <v>-16574.13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6"/>
      <c r="B27" s="14" t="str">
        <f>CONCATENATE("     ","Equipment Rental                                  ")</f>
        <v xml:space="preserve">     Equipment Rental                                  </v>
      </c>
      <c r="C27" s="14"/>
      <c r="D27" s="2">
        <f>SUM(OSRRefD22_3x_0)</f>
        <v>0</v>
      </c>
      <c r="E27" s="2"/>
      <c r="F27" s="6">
        <f t="shared" si="0"/>
        <v>0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SUM(OSRRefP22_3x_0)</f>
        <v>118.91</v>
      </c>
      <c r="Q27" s="2"/>
      <c r="R27" s="6">
        <f t="shared" si="4"/>
        <v>0</v>
      </c>
      <c r="S27" s="2"/>
      <c r="T27" s="2">
        <f>SUM(OSRRefT22_3x_0)</f>
        <v>96.3</v>
      </c>
      <c r="U27" s="2"/>
      <c r="V27" s="6">
        <f t="shared" si="5"/>
        <v>9.8778348770655749E-2</v>
      </c>
      <c r="W27" s="2"/>
      <c r="X27" s="2">
        <f t="shared" si="6"/>
        <v>22.61</v>
      </c>
      <c r="Y27" s="2"/>
      <c r="Z27" s="6">
        <f t="shared" si="7"/>
        <v>0.2347871235721703</v>
      </c>
    </row>
    <row r="28" spans="1:26" s="69" customFormat="1" ht="15" hidden="1" customHeight="1" outlineLevel="2" x14ac:dyDescent="0.3">
      <c r="A28" s="25"/>
      <c r="B28" s="12" t="str">
        <f>CONCATENATE("          ","6351"," - ","EQUIPMENT RENTAL")</f>
        <v xml:space="preserve">          6351 - EQUIPMENT RENTAL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118.91</v>
      </c>
      <c r="Q28" s="3"/>
      <c r="R28" s="7">
        <f t="shared" si="4"/>
        <v>0</v>
      </c>
      <c r="S28" s="3"/>
      <c r="T28" s="8">
        <v>96.3</v>
      </c>
      <c r="U28" s="3"/>
      <c r="V28" s="7">
        <f t="shared" si="5"/>
        <v>9.8778348770655749E-2</v>
      </c>
      <c r="W28" s="3"/>
      <c r="X28" s="8">
        <f t="shared" si="6"/>
        <v>22.61</v>
      </c>
      <c r="Y28" s="3"/>
      <c r="Z28" s="7">
        <f t="shared" si="7"/>
        <v>0.2347871235721703</v>
      </c>
    </row>
    <row r="29" spans="1:26" s="68" customFormat="1" ht="15" customHeight="1" outlineLevel="1" collapsed="1" x14ac:dyDescent="0.3">
      <c r="A29" s="26"/>
      <c r="B29" s="14" t="str">
        <f>CONCATENATE("     ","General                                           ")</f>
        <v xml:space="preserve">     General 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7.28</v>
      </c>
      <c r="U29" s="2"/>
      <c r="V29" s="6">
        <f t="shared" si="5"/>
        <v>7.467355961063073E-3</v>
      </c>
      <c r="W29" s="2"/>
      <c r="X29" s="2">
        <f t="shared" si="6"/>
        <v>-7.28</v>
      </c>
      <c r="Y29" s="2"/>
      <c r="Z29" s="6">
        <f t="shared" si="7"/>
        <v>-1</v>
      </c>
    </row>
    <row r="30" spans="1:26" s="69" customFormat="1" ht="15" hidden="1" customHeight="1" outlineLevel="2" x14ac:dyDescent="0.3">
      <c r="A30" s="25"/>
      <c r="B30" s="12" t="str">
        <f>CONCATENATE("          ","6279"," - ","GENERAL EXPENSE")</f>
        <v xml:space="preserve">          6279 - GENERAL EXPENSE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7.28</v>
      </c>
      <c r="U30" s="3"/>
      <c r="V30" s="7">
        <f t="shared" si="5"/>
        <v>7.467355961063073E-3</v>
      </c>
      <c r="W30" s="3"/>
      <c r="X30" s="8">
        <f t="shared" si="6"/>
        <v>-7.28</v>
      </c>
      <c r="Y30" s="3"/>
      <c r="Z30" s="7">
        <f t="shared" si="7"/>
        <v>-1</v>
      </c>
    </row>
    <row r="31" spans="1:26" s="68" customFormat="1" ht="15" customHeight="1" outlineLevel="1" collapsed="1" x14ac:dyDescent="0.3">
      <c r="A31" s="26"/>
      <c r="B31" s="14" t="str">
        <f>CONCATENATE("     ","Repair and Maintenance                            ")</f>
        <v xml:space="preserve">     Repair and Maintenance                            </v>
      </c>
      <c r="C31" s="14"/>
      <c r="D31" s="2">
        <f>SUM(OSRRefD22_5x_0)</f>
        <v>62.41</v>
      </c>
      <c r="E31" s="2"/>
      <c r="F31" s="6">
        <f t="shared" si="0"/>
        <v>0</v>
      </c>
      <c r="G31" s="2"/>
      <c r="H31" s="2">
        <f>SUM(OSRRefH22_5x_0)</f>
        <v>129.58000000000001</v>
      </c>
      <c r="I31" s="2"/>
      <c r="J31" s="6">
        <f t="shared" si="1"/>
        <v>0</v>
      </c>
      <c r="K31" s="2"/>
      <c r="L31" s="2">
        <f t="shared" si="2"/>
        <v>-67.170000000000016</v>
      </c>
      <c r="M31" s="2"/>
      <c r="N31" s="6">
        <f t="shared" si="3"/>
        <v>-0.51836703194937495</v>
      </c>
      <c r="O31" s="14"/>
      <c r="P31" s="2">
        <f>SUM(OSRRefP22_5x_0)</f>
        <v>253.99</v>
      </c>
      <c r="Q31" s="2"/>
      <c r="R31" s="6">
        <f t="shared" si="4"/>
        <v>0</v>
      </c>
      <c r="S31" s="2"/>
      <c r="T31" s="2">
        <f>SUM(OSRRefT22_5x_0)</f>
        <v>628.04</v>
      </c>
      <c r="U31" s="2"/>
      <c r="V31" s="6">
        <f t="shared" si="5"/>
        <v>0.64420305464094119</v>
      </c>
      <c r="W31" s="2"/>
      <c r="X31" s="2">
        <f t="shared" si="6"/>
        <v>-374.04999999999995</v>
      </c>
      <c r="Y31" s="2"/>
      <c r="Z31" s="6">
        <f t="shared" si="7"/>
        <v>-0.59558308388000758</v>
      </c>
    </row>
    <row r="32" spans="1:26" s="69" customFormat="1" ht="15" hidden="1" customHeight="1" outlineLevel="2" x14ac:dyDescent="0.3">
      <c r="A32" s="25"/>
      <c r="B32" s="12" t="str">
        <f>CONCATENATE("          ","6373"," - ","MAINTENANCE CONTRACTS")</f>
        <v xml:space="preserve">          6373 - MAINTENANCE CONTRACTS</v>
      </c>
      <c r="C32" s="12"/>
      <c r="D32" s="8">
        <v>62.41</v>
      </c>
      <c r="E32" s="3"/>
      <c r="F32" s="7">
        <f t="shared" si="0"/>
        <v>0</v>
      </c>
      <c r="G32" s="3"/>
      <c r="H32" s="8">
        <v>129.58000000000001</v>
      </c>
      <c r="I32" s="3"/>
      <c r="J32" s="7">
        <f t="shared" si="1"/>
        <v>0</v>
      </c>
      <c r="K32" s="3"/>
      <c r="L32" s="8">
        <f t="shared" si="2"/>
        <v>-67.170000000000016</v>
      </c>
      <c r="M32" s="3"/>
      <c r="N32" s="7">
        <f t="shared" si="3"/>
        <v>-0.51836703194937495</v>
      </c>
      <c r="O32" s="12"/>
      <c r="P32" s="8">
        <v>253.99</v>
      </c>
      <c r="Q32" s="3"/>
      <c r="R32" s="7">
        <f t="shared" si="4"/>
        <v>0</v>
      </c>
      <c r="S32" s="3"/>
      <c r="T32" s="8">
        <v>428.04</v>
      </c>
      <c r="U32" s="3"/>
      <c r="V32" s="7">
        <f t="shared" si="5"/>
        <v>0.43905591285349421</v>
      </c>
      <c r="W32" s="3"/>
      <c r="X32" s="8">
        <f t="shared" si="6"/>
        <v>-174.05</v>
      </c>
      <c r="Y32" s="3"/>
      <c r="Z32" s="7">
        <f t="shared" si="7"/>
        <v>-0.40662087655359314</v>
      </c>
    </row>
    <row r="33" spans="1:26" s="69" customFormat="1" ht="15" hidden="1" customHeight="1" outlineLevel="2" x14ac:dyDescent="0.3">
      <c r="A33" s="25"/>
      <c r="B33" s="12" t="str">
        <f>CONCATENATE("          ","6375"," - ","OUTSIDE REPAIRS &amp; MAINTENANCE")</f>
        <v xml:space="preserve">          6375 - OUTSIDE REPAIRS &amp; MAINTENANCE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200</v>
      </c>
      <c r="U33" s="3"/>
      <c r="V33" s="7">
        <f t="shared" si="5"/>
        <v>0.20514714178744706</v>
      </c>
      <c r="W33" s="3"/>
      <c r="X33" s="8">
        <f t="shared" si="6"/>
        <v>-200</v>
      </c>
      <c r="Y33" s="3"/>
      <c r="Z33" s="7">
        <f t="shared" si="7"/>
        <v>-1</v>
      </c>
    </row>
    <row r="34" spans="1:26" s="64" customFormat="1" ht="15" customHeight="1" x14ac:dyDescent="0.3">
      <c r="A34" s="36"/>
      <c r="B34" s="36"/>
      <c r="C34" s="36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3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62" customFormat="1" ht="15" customHeight="1" x14ac:dyDescent="0.3">
      <c r="A35" s="11"/>
      <c r="B35" s="28" t="s">
        <v>290</v>
      </c>
      <c r="C35" s="11"/>
      <c r="D35" s="5">
        <f>SUM(0)</f>
        <v>0</v>
      </c>
      <c r="E35" s="5"/>
      <c r="F35" s="13">
        <f>IF(D$12=0,0,D35/D$12)</f>
        <v>0</v>
      </c>
      <c r="G35" s="5"/>
      <c r="H35" s="5">
        <f>SUM(0)</f>
        <v>0</v>
      </c>
      <c r="I35" s="5"/>
      <c r="J35" s="13">
        <f>IF(H$12=0,0,H35/H$12)</f>
        <v>0</v>
      </c>
      <c r="K35" s="5"/>
      <c r="L35" s="5">
        <f>+D35-H35</f>
        <v>0</v>
      </c>
      <c r="M35" s="5"/>
      <c r="N35" s="13">
        <f>IF(H35=0,0,L35/H35)</f>
        <v>0</v>
      </c>
      <c r="O35" s="11"/>
      <c r="P35" s="5">
        <f>SUM(0)</f>
        <v>0</v>
      </c>
      <c r="Q35" s="5"/>
      <c r="R35" s="13">
        <f>IF(P$12=0,0,P35/P$12)</f>
        <v>0</v>
      </c>
      <c r="S35" s="5"/>
      <c r="T35" s="5">
        <f>SUM(0)</f>
        <v>0</v>
      </c>
      <c r="U35" s="5"/>
      <c r="V35" s="13">
        <f>IF(T$12=0,0,T35/T$12)</f>
        <v>0</v>
      </c>
      <c r="W35" s="5"/>
      <c r="X35" s="5">
        <f>+P35-T35</f>
        <v>0</v>
      </c>
      <c r="Y35" s="5"/>
      <c r="Z35" s="13">
        <f>IF(T35=0,0,X35/T35)</f>
        <v>0</v>
      </c>
    </row>
    <row r="36" spans="1:26" ht="15" customHeight="1" x14ac:dyDescent="0.3">
      <c r="A36" s="10"/>
      <c r="B36" s="11"/>
      <c r="C36" s="11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O36" s="11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7" t="s">
        <v>291</v>
      </c>
      <c r="C37" s="27"/>
      <c r="D37" s="22">
        <f>+D18-D20+D35</f>
        <v>-62.41</v>
      </c>
      <c r="E37" s="15"/>
      <c r="F37" s="21">
        <f>IF(D$12=0,0,D37/D$12)</f>
        <v>0</v>
      </c>
      <c r="G37" s="15"/>
      <c r="H37" s="22">
        <f>+H18-H20+H35</f>
        <v>-1954.84</v>
      </c>
      <c r="I37" s="15"/>
      <c r="J37" s="21">
        <f>IF(H$12=0,0,H37/H$12)</f>
        <v>0</v>
      </c>
      <c r="K37" s="17"/>
      <c r="L37" s="22">
        <f>+D37-H37</f>
        <v>1892.4299999999998</v>
      </c>
      <c r="M37" s="17"/>
      <c r="N37" s="21">
        <f>IF(H37=0,0,L37/H37)</f>
        <v>-0.96807411348243333</v>
      </c>
      <c r="O37" s="28"/>
      <c r="P37" s="22">
        <f>+P18-P20+P35</f>
        <v>-372.9</v>
      </c>
      <c r="Q37" s="15"/>
      <c r="R37" s="21">
        <f>IF(P$12=0,0,P37/P$12)</f>
        <v>0</v>
      </c>
      <c r="S37" s="15"/>
      <c r="T37" s="22">
        <f>+T18-T20+T35</f>
        <v>-14747.62</v>
      </c>
      <c r="U37" s="15"/>
      <c r="V37" s="21">
        <f>IF(T$12=0,0,T37/T$12)</f>
        <v>-15.12716045583695</v>
      </c>
      <c r="W37" s="17"/>
      <c r="X37" s="22">
        <f>+P37-T37</f>
        <v>14374.720000000001</v>
      </c>
      <c r="Y37" s="17"/>
      <c r="Z37" s="21">
        <f>IF(T37=0,0,X37/T37)</f>
        <v>-0.97471456411271784</v>
      </c>
    </row>
    <row r="38" spans="1:26" ht="15" customHeight="1" x14ac:dyDescent="0.3">
      <c r="A38" s="10"/>
      <c r="B38" s="11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48"/>
      <c r="B39" s="11" t="s">
        <v>292</v>
      </c>
      <c r="C39" s="11"/>
      <c r="D39" s="5"/>
      <c r="E39" s="5"/>
      <c r="F39" s="13">
        <f>IF(D$12=0,0,D39/D$12)</f>
        <v>0</v>
      </c>
      <c r="G39" s="5"/>
      <c r="H39" s="5">
        <v>7.85</v>
      </c>
      <c r="I39" s="5"/>
      <c r="J39" s="13">
        <f>IF(H$12=0,0,H39/H$12)</f>
        <v>0</v>
      </c>
      <c r="K39" s="5"/>
      <c r="L39" s="5">
        <f>+D39-H39</f>
        <v>-7.85</v>
      </c>
      <c r="M39" s="5"/>
      <c r="N39" s="13">
        <f>IF(H39=0,0,L39/H39)</f>
        <v>-1</v>
      </c>
      <c r="O39" s="11"/>
      <c r="P39" s="5"/>
      <c r="Q39" s="5"/>
      <c r="R39" s="13">
        <f>IF(P$12=0,0,P39/P$12)</f>
        <v>0</v>
      </c>
      <c r="S39" s="5"/>
      <c r="T39" s="5">
        <v>200.92</v>
      </c>
      <c r="U39" s="5"/>
      <c r="V39" s="13">
        <f>IF(T$12=0,0,T39/T$12)</f>
        <v>0.2060908186396693</v>
      </c>
      <c r="W39" s="5"/>
      <c r="X39" s="5">
        <f>+P39-T39</f>
        <v>-200.92</v>
      </c>
      <c r="Y39" s="5"/>
      <c r="Z39" s="13">
        <f>IF(T39=0,0,X39/T39)</f>
        <v>-1</v>
      </c>
    </row>
    <row r="40" spans="1:26" ht="15" customHeight="1" x14ac:dyDescent="0.3">
      <c r="A40" s="10"/>
      <c r="B40" s="11"/>
      <c r="C40" s="11"/>
      <c r="D40" s="4"/>
      <c r="E40" s="4"/>
      <c r="F40" s="9"/>
      <c r="G40" s="4"/>
      <c r="H40" s="4"/>
      <c r="I40" s="4"/>
      <c r="J40" s="9"/>
      <c r="K40" s="4"/>
      <c r="L40" s="4"/>
      <c r="M40" s="4"/>
      <c r="N40" s="9"/>
      <c r="O40" s="11"/>
      <c r="P40" s="4"/>
      <c r="Q40" s="4"/>
      <c r="R40" s="9"/>
      <c r="S40" s="4"/>
      <c r="T40" s="4"/>
      <c r="U40" s="4"/>
      <c r="V40" s="9"/>
      <c r="W40" s="4"/>
      <c r="X40" s="4"/>
      <c r="Y40" s="4"/>
      <c r="Z40" s="9"/>
    </row>
    <row r="41" spans="1:26" s="62" customFormat="1" ht="15" customHeight="1" x14ac:dyDescent="0.3">
      <c r="A41" s="11"/>
      <c r="B41" s="27" t="s">
        <v>293</v>
      </c>
      <c r="C41" s="27"/>
      <c r="D41" s="34">
        <f>+D37-D39</f>
        <v>-62.41</v>
      </c>
      <c r="E41" s="15"/>
      <c r="F41" s="33">
        <f>IF(D$12=0,0,D41/D$12)</f>
        <v>0</v>
      </c>
      <c r="G41" s="15"/>
      <c r="H41" s="34">
        <f>+H37-H39</f>
        <v>-1962.6899999999998</v>
      </c>
      <c r="I41" s="15"/>
      <c r="J41" s="33">
        <f>IF(H$12=0,0,H41/H$12)</f>
        <v>0</v>
      </c>
      <c r="K41" s="17"/>
      <c r="L41" s="34">
        <f>D41-H41</f>
        <v>1900.2799999999997</v>
      </c>
      <c r="M41" s="17"/>
      <c r="N41" s="33">
        <f>IF(H41=0,0,L41/H41)</f>
        <v>-0.968201804666045</v>
      </c>
      <c r="O41" s="28"/>
      <c r="P41" s="34">
        <f>+P37-P39</f>
        <v>-372.9</v>
      </c>
      <c r="Q41" s="15"/>
      <c r="R41" s="33">
        <f>IF(P$12=0,0,P41/P$12)</f>
        <v>0</v>
      </c>
      <c r="S41" s="15"/>
      <c r="T41" s="34">
        <f>+T37-T39</f>
        <v>-14948.54</v>
      </c>
      <c r="U41" s="15"/>
      <c r="V41" s="33">
        <f>IF(T$12=0,0,T41/T$12)</f>
        <v>-15.33325127447662</v>
      </c>
      <c r="W41" s="17"/>
      <c r="X41" s="34">
        <f>P41-T41</f>
        <v>14575.640000000001</v>
      </c>
      <c r="Y41" s="17"/>
      <c r="Z41" s="33">
        <f>IF(T41=0,0,X41/T41)</f>
        <v>-0.97505442003031739</v>
      </c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3">
      <c r="A44" s="11"/>
      <c r="B44" s="27" t="s">
        <v>296</v>
      </c>
      <c r="C44" s="27"/>
      <c r="D44" s="31">
        <f>SUM(D41:D43)</f>
        <v>-62.41</v>
      </c>
      <c r="E44" s="15"/>
      <c r="F44" s="32">
        <f>IF(D$12=0,0,D44/D$12)</f>
        <v>0</v>
      </c>
      <c r="G44" s="15"/>
      <c r="H44" s="31">
        <f>SUM(H41:H43)</f>
        <v>-1962.6899999999998</v>
      </c>
      <c r="I44" s="15"/>
      <c r="J44" s="32">
        <f>IF(H$12=0,0,H44/H$12)</f>
        <v>0</v>
      </c>
      <c r="K44" s="17"/>
      <c r="L44" s="31">
        <f>+D44-H44</f>
        <v>1900.2799999999997</v>
      </c>
      <c r="M44" s="17"/>
      <c r="N44" s="32">
        <f>IF(H44=0,0,L44/H44)</f>
        <v>-0.968201804666045</v>
      </c>
      <c r="O44" s="28"/>
      <c r="P44" s="31">
        <f>SUM(P41:P43)</f>
        <v>-372.9</v>
      </c>
      <c r="Q44" s="15"/>
      <c r="R44" s="32">
        <f>IF(P$12=0,0,P44/P$12)</f>
        <v>0</v>
      </c>
      <c r="S44" s="15"/>
      <c r="T44" s="31">
        <f>SUM(T41:T43)</f>
        <v>-14948.54</v>
      </c>
      <c r="U44" s="15"/>
      <c r="V44" s="32">
        <f>IF(T$12=0,0,T44/T$12)</f>
        <v>-15.33325127447662</v>
      </c>
      <c r="W44" s="17"/>
      <c r="X44" s="31">
        <f>+P44-T44</f>
        <v>14575.640000000001</v>
      </c>
      <c r="Y44" s="17"/>
      <c r="Z44" s="32">
        <f>IF(T44=0,0,X44/T44)</f>
        <v>-0.97505442003031739</v>
      </c>
    </row>
    <row r="45" spans="1:26" ht="15" customHeight="1" x14ac:dyDescent="0.3">
      <c r="A45" s="10"/>
      <c r="C45" s="10"/>
      <c r="D45" s="19"/>
      <c r="E45" s="19"/>
      <c r="G45" s="19"/>
      <c r="H45" s="19"/>
      <c r="I45" s="19"/>
      <c r="J45" s="40"/>
      <c r="K45" s="19"/>
      <c r="L45" s="19"/>
      <c r="M45" s="19"/>
      <c r="P45" s="19"/>
      <c r="Q45" s="19"/>
      <c r="R45" s="40"/>
      <c r="S45" s="19"/>
      <c r="T45" s="19"/>
      <c r="U45" s="19"/>
      <c r="V45" s="40"/>
      <c r="W45" s="19"/>
      <c r="X45" s="19"/>
    </row>
    <row r="46" spans="1:26" ht="15" customHeight="1" x14ac:dyDescent="0.3">
      <c r="A46" s="10"/>
      <c r="B46" s="56">
        <v>44663.03859679398</v>
      </c>
      <c r="D46" s="19"/>
      <c r="E46" s="19"/>
      <c r="G46" s="19"/>
      <c r="H46" s="19"/>
      <c r="I46" s="19"/>
      <c r="J46" s="40"/>
      <c r="K46" s="19"/>
      <c r="L46" s="19"/>
      <c r="M46" s="19"/>
      <c r="P46" s="19"/>
      <c r="Q46" s="19"/>
      <c r="R46" s="40"/>
      <c r="S46" s="19"/>
      <c r="T46" s="19"/>
      <c r="U46" s="19"/>
      <c r="V46" s="40"/>
      <c r="W46" s="19"/>
      <c r="X46" s="19"/>
    </row>
    <row r="47" spans="1:26" ht="15" customHeight="1" x14ac:dyDescent="0.3">
      <c r="A47" s="10"/>
      <c r="B47" s="57" t="s">
        <v>297</v>
      </c>
      <c r="D47" s="19"/>
      <c r="E47" s="19"/>
      <c r="G47" s="19"/>
      <c r="H47" s="19"/>
      <c r="I47" s="19"/>
      <c r="J47" s="40"/>
      <c r="K47" s="19"/>
      <c r="L47" s="19"/>
      <c r="M47" s="19"/>
      <c r="P47" s="19"/>
      <c r="Q47" s="19"/>
      <c r="R47" s="40"/>
      <c r="S47" s="19"/>
      <c r="T47" s="19"/>
      <c r="U47" s="19"/>
      <c r="V47" s="40"/>
      <c r="W47" s="19"/>
      <c r="X47" s="19"/>
    </row>
    <row r="48" spans="1:26" ht="15" customHeight="1" x14ac:dyDescent="0.3">
      <c r="A48" s="10"/>
      <c r="B48" s="58"/>
      <c r="D48" s="19"/>
      <c r="E48" s="19"/>
      <c r="G48" s="19"/>
      <c r="H48" s="19"/>
      <c r="I48" s="19"/>
      <c r="J48" s="40"/>
      <c r="K48" s="19"/>
      <c r="L48" s="19"/>
      <c r="M48" s="19"/>
      <c r="P48" s="19"/>
      <c r="Q48" s="19"/>
      <c r="R48" s="40"/>
      <c r="S48" s="19"/>
      <c r="T48" s="19"/>
      <c r="U48" s="19"/>
      <c r="V48" s="40"/>
      <c r="W48" s="19"/>
      <c r="X48" s="19"/>
    </row>
    <row r="49" spans="4:24" ht="15" customHeight="1" x14ac:dyDescent="0.3">
      <c r="D49" s="19"/>
      <c r="E49" s="19"/>
      <c r="G49" s="19"/>
      <c r="H49" s="19"/>
      <c r="I49" s="19"/>
      <c r="J49" s="40"/>
      <c r="K49" s="19"/>
      <c r="L49" s="19"/>
      <c r="M49" s="19"/>
      <c r="P49" s="19"/>
      <c r="Q49" s="19"/>
      <c r="R49" s="40"/>
      <c r="S49" s="19"/>
      <c r="T49" s="19"/>
      <c r="U49" s="19"/>
      <c r="V49" s="40"/>
      <c r="W49" s="19"/>
      <c r="X4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BB14-1338-D95F-AE7B-857D1906D6F9}">
  <sheetPr>
    <tabColor rgb="FF92D050"/>
    <outlinePr summaryBelow="0" summaryRight="0"/>
  </sheetPr>
  <dimension ref="A2:Z9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","415"," - ","Outpost")</f>
        <v>Department 415 - Outpost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149080.13</v>
      </c>
      <c r="E12" s="5"/>
      <c r="F12" s="13"/>
      <c r="G12" s="5"/>
      <c r="H12" s="5">
        <f>SUM(OSRRefH13x_0)</f>
        <v>5482.18</v>
      </c>
      <c r="I12" s="5"/>
      <c r="J12" s="13"/>
      <c r="K12" s="5"/>
      <c r="L12" s="5">
        <f>+D12-H12</f>
        <v>143597.95000000001</v>
      </c>
      <c r="M12" s="5"/>
      <c r="N12" s="13">
        <f>IF(H12=0,0,L12/H12)</f>
        <v>26.193585398509352</v>
      </c>
      <c r="O12" s="11"/>
      <c r="P12" s="5">
        <f>SUM(OSRRefP13x_0)</f>
        <v>590576.63</v>
      </c>
      <c r="Q12" s="5"/>
      <c r="R12" s="13"/>
      <c r="S12" s="5"/>
      <c r="T12" s="5">
        <f>SUM(OSRRefT13x_0)</f>
        <v>50617.880000000005</v>
      </c>
      <c r="U12" s="5"/>
      <c r="V12" s="13"/>
      <c r="W12" s="5"/>
      <c r="X12" s="5">
        <f>+P12-T12</f>
        <v>539958.75</v>
      </c>
      <c r="Y12" s="5"/>
      <c r="Z12" s="13">
        <f>IF(T12=0,0,X12/T12)</f>
        <v>10.667352129326632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--51011.12</f>
        <v>51011.12</v>
      </c>
      <c r="E13" s="3"/>
      <c r="F13" s="20"/>
      <c r="G13" s="3"/>
      <c r="H13" s="3">
        <f>--2604.58</f>
        <v>2604.58</v>
      </c>
      <c r="I13" s="3"/>
      <c r="J13" s="20"/>
      <c r="K13" s="3"/>
      <c r="L13" s="3">
        <f>+D13-H13</f>
        <v>48406.54</v>
      </c>
      <c r="M13" s="3"/>
      <c r="N13" s="20">
        <f>IF(H13=0,0,L13/H13)</f>
        <v>18.585161523163045</v>
      </c>
      <c r="O13" s="12"/>
      <c r="P13" s="3">
        <f>--213192.19</f>
        <v>213192.19</v>
      </c>
      <c r="Q13" s="3"/>
      <c r="R13" s="20"/>
      <c r="S13" s="3"/>
      <c r="T13" s="3">
        <f>--25569.06</f>
        <v>25569.06</v>
      </c>
      <c r="U13" s="3"/>
      <c r="V13" s="20"/>
      <c r="W13" s="3"/>
      <c r="X13" s="3">
        <f>+P13-T13</f>
        <v>187623.13</v>
      </c>
      <c r="Y13" s="3"/>
      <c r="Z13" s="20">
        <f>IF(T13=0,0,X13/T13)</f>
        <v>7.3378970521403604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--98069.01</f>
        <v>98069.01</v>
      </c>
      <c r="E14" s="3"/>
      <c r="F14" s="20"/>
      <c r="G14" s="3"/>
      <c r="H14" s="3">
        <f>--2877.6</f>
        <v>2877.6</v>
      </c>
      <c r="I14" s="3"/>
      <c r="J14" s="20"/>
      <c r="K14" s="3"/>
      <c r="L14" s="3">
        <f>+D14-H14</f>
        <v>95191.409999999989</v>
      </c>
      <c r="M14" s="3"/>
      <c r="N14" s="20">
        <f>IF(H14=0,0,L14/H14)</f>
        <v>33.080139699749786</v>
      </c>
      <c r="O14" s="12"/>
      <c r="P14" s="3">
        <f>--377384.44</f>
        <v>377384.44</v>
      </c>
      <c r="Q14" s="3"/>
      <c r="R14" s="20"/>
      <c r="S14" s="3"/>
      <c r="T14" s="3">
        <f>--25048.82</f>
        <v>25048.82</v>
      </c>
      <c r="U14" s="3"/>
      <c r="V14" s="20"/>
      <c r="W14" s="3"/>
      <c r="X14" s="3">
        <f>+P14-T14</f>
        <v>352335.62</v>
      </c>
      <c r="Y14" s="3"/>
      <c r="Z14" s="20">
        <f>IF(T14=0,0,X14/T14)</f>
        <v>14.065956799561816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8" t="s">
        <v>287</v>
      </c>
      <c r="C16" s="11"/>
      <c r="D16" s="5">
        <f>SUM(OSRRefD16x_0)</f>
        <v>47773.96</v>
      </c>
      <c r="E16" s="5"/>
      <c r="F16" s="13">
        <f>IF(D$12=0,0,D16/D$12)</f>
        <v>0.32045826630282653</v>
      </c>
      <c r="G16" s="5"/>
      <c r="H16" s="5">
        <f>SUM(OSRRefH16x_0)</f>
        <v>684.79</v>
      </c>
      <c r="I16" s="5"/>
      <c r="J16" s="13">
        <f>IF(H$12=0,0,H16/H$12)</f>
        <v>0.12491198756698976</v>
      </c>
      <c r="K16" s="5"/>
      <c r="L16" s="5">
        <f>+D16-H16</f>
        <v>47089.17</v>
      </c>
      <c r="M16" s="5"/>
      <c r="N16" s="13">
        <f>IF(H16=0,0,L16/H16)</f>
        <v>68.764394923991304</v>
      </c>
      <c r="O16" s="11"/>
      <c r="P16" s="5">
        <f>SUM(OSRRefP16x_0)</f>
        <v>201363.86000000002</v>
      </c>
      <c r="Q16" s="5"/>
      <c r="R16" s="13">
        <f>IF(P$12=0,0,P16/P$12)</f>
        <v>0.34096144305608572</v>
      </c>
      <c r="S16" s="5"/>
      <c r="T16" s="5">
        <f>SUM(OSRRefT16x_0)</f>
        <v>21278.14</v>
      </c>
      <c r="U16" s="5"/>
      <c r="V16" s="13">
        <f>IF(T$12=0,0,T16/T$12)</f>
        <v>0.42036805966587298</v>
      </c>
      <c r="W16" s="5"/>
      <c r="X16" s="5">
        <f>+P16-T16</f>
        <v>180085.72000000003</v>
      </c>
      <c r="Y16" s="5"/>
      <c r="Z16" s="13">
        <f>IF(T16=0,0,X16/T16)</f>
        <v>8.4634145653708472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45949.5</v>
      </c>
      <c r="E17" s="3"/>
      <c r="F17" s="20">
        <f>IF(D$12=0,0,D17/D$12)</f>
        <v>0.30822014979461043</v>
      </c>
      <c r="G17" s="3"/>
      <c r="H17" s="3">
        <v>1183.79</v>
      </c>
      <c r="I17" s="3"/>
      <c r="J17" s="20">
        <f>IF(H$12=0,0,H17/H$12)</f>
        <v>0.21593417217238395</v>
      </c>
      <c r="K17" s="3"/>
      <c r="L17" s="3">
        <f>+D17-H17</f>
        <v>44765.71</v>
      </c>
      <c r="M17" s="3"/>
      <c r="N17" s="20">
        <f>IF(H17=0,0,L17/H17)</f>
        <v>37.81558384510766</v>
      </c>
      <c r="O17" s="12"/>
      <c r="P17" s="3">
        <v>206820.63</v>
      </c>
      <c r="Q17" s="3"/>
      <c r="R17" s="20">
        <f>IF(P$12=0,0,P17/P$12)</f>
        <v>0.35020117541732054</v>
      </c>
      <c r="S17" s="3"/>
      <c r="T17" s="3">
        <v>16028.06</v>
      </c>
      <c r="U17" s="3"/>
      <c r="V17" s="20">
        <f>IF(T$12=0,0,T17/T$12)</f>
        <v>0.31664818834767472</v>
      </c>
      <c r="W17" s="3"/>
      <c r="X17" s="3">
        <f>+P17-T17</f>
        <v>190792.57</v>
      </c>
      <c r="Y17" s="3"/>
      <c r="Z17" s="20">
        <f>IF(T17=0,0,X17/T17)</f>
        <v>11.903659582008054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1824.46</v>
      </c>
      <c r="E18" s="3"/>
      <c r="F18" s="20">
        <f>IF(D$12=0,0,D18/D$12)</f>
        <v>1.2238116508216084E-2</v>
      </c>
      <c r="G18" s="3"/>
      <c r="H18" s="3">
        <v>-499</v>
      </c>
      <c r="I18" s="3"/>
      <c r="J18" s="20">
        <f>IF(H$12=0,0,H18/H$12)</f>
        <v>-9.1022184605394199E-2</v>
      </c>
      <c r="K18" s="3"/>
      <c r="L18" s="3">
        <f>+D18-H18</f>
        <v>2323.46</v>
      </c>
      <c r="M18" s="3"/>
      <c r="N18" s="20">
        <f>IF(H18=0,0,L18/H18)</f>
        <v>-4.6562324649298601</v>
      </c>
      <c r="O18" s="12"/>
      <c r="P18" s="3">
        <v>-5456.77</v>
      </c>
      <c r="Q18" s="3"/>
      <c r="R18" s="20">
        <f>IF(P$12=0,0,P18/P$12)</f>
        <v>-9.2397323612348169E-3</v>
      </c>
      <c r="S18" s="3"/>
      <c r="T18" s="3">
        <v>5250.08</v>
      </c>
      <c r="U18" s="3"/>
      <c r="V18" s="20">
        <f>IF(T$12=0,0,T18/T$12)</f>
        <v>0.10371987131819822</v>
      </c>
      <c r="W18" s="3"/>
      <c r="X18" s="3">
        <f>+P18-T18</f>
        <v>-10706.85</v>
      </c>
      <c r="Y18" s="3"/>
      <c r="Z18" s="20">
        <f>IF(T18=0,0,X18/T18)</f>
        <v>-2.0393689239021122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7" t="s">
        <v>288</v>
      </c>
      <c r="C20" s="27"/>
      <c r="D20" s="22">
        <f>D12-D16</f>
        <v>101306.17000000001</v>
      </c>
      <c r="E20" s="15"/>
      <c r="F20" s="21">
        <f>IF(D$12=0,0,D20/D$12)</f>
        <v>0.67954173369717352</v>
      </c>
      <c r="G20" s="15"/>
      <c r="H20" s="22">
        <f>H12-H16</f>
        <v>4797.3900000000003</v>
      </c>
      <c r="I20" s="15"/>
      <c r="J20" s="21">
        <f>IF(H$12=0,0,H20/H$12)</f>
        <v>0.87508801243301026</v>
      </c>
      <c r="K20" s="17"/>
      <c r="L20" s="22">
        <f>+D20-H20</f>
        <v>96508.780000000013</v>
      </c>
      <c r="M20" s="17"/>
      <c r="N20" s="21">
        <f>IF(H20=0,0,L20/H20)</f>
        <v>20.116934416422264</v>
      </c>
      <c r="O20" s="28"/>
      <c r="P20" s="22">
        <f>P12-P16</f>
        <v>389212.77</v>
      </c>
      <c r="Q20" s="15"/>
      <c r="R20" s="21">
        <f>IF(P$12=0,0,P20/P$12)</f>
        <v>0.65903855694391433</v>
      </c>
      <c r="S20" s="15"/>
      <c r="T20" s="22">
        <f>T12-T16</f>
        <v>29339.740000000005</v>
      </c>
      <c r="U20" s="15"/>
      <c r="V20" s="21">
        <f>IF(T$12=0,0,T20/T$12)</f>
        <v>0.57963194033412702</v>
      </c>
      <c r="W20" s="17"/>
      <c r="X20" s="22">
        <f>+P20-T20</f>
        <v>359873.03</v>
      </c>
      <c r="Y20" s="17"/>
      <c r="Z20" s="21">
        <f>IF(T20=0,0,X20/T20)</f>
        <v>12.265719805287981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8" t="s">
        <v>289</v>
      </c>
      <c r="C22" s="11"/>
      <c r="D22" s="23" cm="1">
        <f t="array" ref="D22">SUM(OSRRefD22x_0)</f>
        <v>94112.510000000024</v>
      </c>
      <c r="E22" s="23"/>
      <c r="F22" s="35">
        <f t="shared" ref="F22:F53" si="0">IF(D$12=0,0,D22/D$12)</f>
        <v>0.63128808648074042</v>
      </c>
      <c r="G22" s="23"/>
      <c r="H22" s="23" cm="1">
        <f t="array" ref="H22">SUM(OSRRefH22x_0)</f>
        <v>47181.179999999993</v>
      </c>
      <c r="I22" s="23"/>
      <c r="J22" s="35">
        <f t="shared" ref="J22:J53" si="1">IF(H$12=0,0,H22/H$12)</f>
        <v>8.6062807131469583</v>
      </c>
      <c r="K22" s="5"/>
      <c r="L22" s="23">
        <f t="shared" ref="L22:L53" si="2">+D22-H22</f>
        <v>46931.330000000031</v>
      </c>
      <c r="M22" s="5"/>
      <c r="N22" s="35">
        <f t="shared" ref="N22:N53" si="3">IF(H22=0,0,L22/H22)</f>
        <v>0.99470445631075866</v>
      </c>
      <c r="O22" s="11"/>
      <c r="P22" s="23" cm="1">
        <f t="array" ref="P22">SUM(OSRRefP22x_0)</f>
        <v>696915.52999999991</v>
      </c>
      <c r="Q22" s="23"/>
      <c r="R22" s="35">
        <f t="shared" ref="R22:R53" si="4">IF(P$12=0,0,P22/P$12)</f>
        <v>1.1800594446143253</v>
      </c>
      <c r="S22" s="23"/>
      <c r="T22" s="23" cm="1">
        <f t="array" ref="T22">SUM(OSRRefT22x_0)</f>
        <v>542280.95000000007</v>
      </c>
      <c r="U22" s="23"/>
      <c r="V22" s="35">
        <f t="shared" ref="V22:V53" si="5">IF(T$12=0,0,T22/T$12)</f>
        <v>10.713229198852265</v>
      </c>
      <c r="W22" s="5"/>
      <c r="X22" s="23">
        <f t="shared" ref="X22:X53" si="6">+P22-T22</f>
        <v>154634.57999999984</v>
      </c>
      <c r="Y22" s="5"/>
      <c r="Z22" s="35">
        <f t="shared" ref="Z22:Z53" si="7">IF(T22=0,0,X22/T22)</f>
        <v>0.28515584034438202</v>
      </c>
    </row>
    <row r="23" spans="1:26" s="68" customFormat="1" ht="15" customHeight="1" outlineLevel="1" collapsed="1" x14ac:dyDescent="0.3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13271</v>
      </c>
      <c r="E23" s="2"/>
      <c r="F23" s="6">
        <f t="shared" si="0"/>
        <v>8.9019240860602949E-2</v>
      </c>
      <c r="G23" s="2"/>
      <c r="H23" s="2">
        <f>SUM(OSRRefH22_0x_0)</f>
        <v>13097.210000000001</v>
      </c>
      <c r="I23" s="2"/>
      <c r="J23" s="6">
        <f t="shared" si="1"/>
        <v>2.3890514357427155</v>
      </c>
      <c r="K23" s="2"/>
      <c r="L23" s="2">
        <f t="shared" si="2"/>
        <v>173.78999999999905</v>
      </c>
      <c r="M23" s="2"/>
      <c r="N23" s="6">
        <f t="shared" si="3"/>
        <v>1.3269238257613572E-2</v>
      </c>
      <c r="O23" s="14"/>
      <c r="P23" s="2">
        <f>SUM(OSRRefP22_0x_0)</f>
        <v>115113.73000000001</v>
      </c>
      <c r="Q23" s="2"/>
      <c r="R23" s="6">
        <f t="shared" si="4"/>
        <v>0.19491751646183494</v>
      </c>
      <c r="S23" s="2"/>
      <c r="T23" s="2">
        <f>SUM(OSRRefT22_0x_0)</f>
        <v>120349.29000000001</v>
      </c>
      <c r="U23" s="2"/>
      <c r="V23" s="6">
        <f t="shared" si="5"/>
        <v>2.3776043168935561</v>
      </c>
      <c r="W23" s="2"/>
      <c r="X23" s="2">
        <f t="shared" si="6"/>
        <v>-5235.5599999999977</v>
      </c>
      <c r="Y23" s="2"/>
      <c r="Z23" s="6">
        <f t="shared" si="7"/>
        <v>-4.350304019242654E-2</v>
      </c>
    </row>
    <row r="24" spans="1:26" s="69" customFormat="1" ht="15" hidden="1" customHeight="1" outlineLevel="2" x14ac:dyDescent="0.3">
      <c r="A24" s="25"/>
      <c r="B24" s="12" t="str">
        <f>CONCATENATE("          ","6111"," - ","F.I.C.A.")</f>
        <v xml:space="preserve">          6111 - F.I.C.A.</v>
      </c>
      <c r="C24" s="12"/>
      <c r="D24" s="8">
        <v>2264.04</v>
      </c>
      <c r="E24" s="3"/>
      <c r="F24" s="7">
        <f t="shared" si="0"/>
        <v>1.5186732128553952E-2</v>
      </c>
      <c r="G24" s="3"/>
      <c r="H24" s="8">
        <v>1477.09</v>
      </c>
      <c r="I24" s="3"/>
      <c r="J24" s="7">
        <f t="shared" si="1"/>
        <v>0.26943478689134609</v>
      </c>
      <c r="K24" s="3"/>
      <c r="L24" s="8">
        <f t="shared" si="2"/>
        <v>786.95</v>
      </c>
      <c r="M24" s="3"/>
      <c r="N24" s="7">
        <f t="shared" si="3"/>
        <v>0.53277051499908612</v>
      </c>
      <c r="O24" s="12"/>
      <c r="P24" s="8">
        <v>15870.86</v>
      </c>
      <c r="Q24" s="3"/>
      <c r="R24" s="7">
        <f t="shared" si="4"/>
        <v>2.6873498194468007E-2</v>
      </c>
      <c r="S24" s="3"/>
      <c r="T24" s="8">
        <v>13567.08</v>
      </c>
      <c r="U24" s="3"/>
      <c r="V24" s="7">
        <f t="shared" si="5"/>
        <v>0.26802939988794472</v>
      </c>
      <c r="W24" s="3"/>
      <c r="X24" s="8">
        <f t="shared" si="6"/>
        <v>2303.7800000000007</v>
      </c>
      <c r="Y24" s="3"/>
      <c r="Z24" s="7">
        <f t="shared" si="7"/>
        <v>0.16980662014228565</v>
      </c>
    </row>
    <row r="25" spans="1:26" s="69" customFormat="1" ht="15" hidden="1" customHeight="1" outlineLevel="2" x14ac:dyDescent="0.3">
      <c r="A25" s="25"/>
      <c r="B25" s="12" t="str">
        <f>CONCATENATE("          ","6112"," - ","COMPENSATION INSURANCE")</f>
        <v xml:space="preserve">          6112 - COMPENSATION INSURANCE</v>
      </c>
      <c r="C25" s="12"/>
      <c r="D25" s="8">
        <v>1554.81</v>
      </c>
      <c r="E25" s="3"/>
      <c r="F25" s="7">
        <f t="shared" si="0"/>
        <v>1.0429357688378726E-2</v>
      </c>
      <c r="G25" s="3"/>
      <c r="H25" s="8">
        <v>574.47</v>
      </c>
      <c r="I25" s="3"/>
      <c r="J25" s="7">
        <f t="shared" si="1"/>
        <v>0.10478860599250663</v>
      </c>
      <c r="K25" s="3"/>
      <c r="L25" s="8">
        <f t="shared" si="2"/>
        <v>980.33999999999992</v>
      </c>
      <c r="M25" s="3"/>
      <c r="N25" s="7">
        <f t="shared" si="3"/>
        <v>1.7065120894041461</v>
      </c>
      <c r="O25" s="12"/>
      <c r="P25" s="8">
        <v>9183.7999999999993</v>
      </c>
      <c r="Q25" s="3"/>
      <c r="R25" s="7">
        <f t="shared" si="4"/>
        <v>1.555056453893206E-2</v>
      </c>
      <c r="S25" s="3"/>
      <c r="T25" s="8">
        <v>5926.39</v>
      </c>
      <c r="U25" s="3"/>
      <c r="V25" s="7">
        <f t="shared" si="5"/>
        <v>0.11708096032469159</v>
      </c>
      <c r="W25" s="3"/>
      <c r="X25" s="8">
        <f t="shared" si="6"/>
        <v>3257.4099999999989</v>
      </c>
      <c r="Y25" s="3"/>
      <c r="Z25" s="7">
        <f t="shared" si="7"/>
        <v>0.54964489343428269</v>
      </c>
    </row>
    <row r="26" spans="1:26" s="69" customFormat="1" ht="15" hidden="1" customHeight="1" outlineLevel="2" x14ac:dyDescent="0.3">
      <c r="A26" s="25"/>
      <c r="B26" s="12" t="str">
        <f>CONCATENATE("          ","6113"," - ","GROUP INSURANCE")</f>
        <v xml:space="preserve">          6113 - GROUP INSURANCE</v>
      </c>
      <c r="C26" s="12"/>
      <c r="D26" s="8">
        <v>6152.38</v>
      </c>
      <c r="E26" s="3"/>
      <c r="F26" s="7">
        <f t="shared" si="0"/>
        <v>4.1268947109182157E-2</v>
      </c>
      <c r="G26" s="3"/>
      <c r="H26" s="8">
        <v>6634.06</v>
      </c>
      <c r="I26" s="3"/>
      <c r="J26" s="7">
        <f t="shared" si="1"/>
        <v>1.210113494996516</v>
      </c>
      <c r="K26" s="3"/>
      <c r="L26" s="8">
        <f t="shared" si="2"/>
        <v>-481.68000000000029</v>
      </c>
      <c r="M26" s="3"/>
      <c r="N26" s="7">
        <f t="shared" si="3"/>
        <v>-7.2607121430918659E-2</v>
      </c>
      <c r="O26" s="12"/>
      <c r="P26" s="8">
        <v>55762.7</v>
      </c>
      <c r="Q26" s="3"/>
      <c r="R26" s="7">
        <f t="shared" si="4"/>
        <v>9.4420769748372865E-2</v>
      </c>
      <c r="S26" s="3"/>
      <c r="T26" s="8">
        <v>60833.57</v>
      </c>
      <c r="U26" s="3"/>
      <c r="V26" s="7">
        <f t="shared" si="5"/>
        <v>1.2018197917415743</v>
      </c>
      <c r="W26" s="3"/>
      <c r="X26" s="8">
        <f t="shared" si="6"/>
        <v>-5070.8700000000026</v>
      </c>
      <c r="Y26" s="3"/>
      <c r="Z26" s="7">
        <f t="shared" si="7"/>
        <v>-8.3356442832469027E-2</v>
      </c>
    </row>
    <row r="27" spans="1:26" s="69" customFormat="1" ht="15" hidden="1" customHeight="1" outlineLevel="2" x14ac:dyDescent="0.3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112.29</v>
      </c>
      <c r="E27" s="3"/>
      <c r="F27" s="7">
        <f t="shared" si="0"/>
        <v>7.5321909096805857E-4</v>
      </c>
      <c r="G27" s="3"/>
      <c r="H27" s="8">
        <v>49.75</v>
      </c>
      <c r="I27" s="3"/>
      <c r="J27" s="7">
        <f t="shared" si="1"/>
        <v>9.0748570824015252E-3</v>
      </c>
      <c r="K27" s="3"/>
      <c r="L27" s="8">
        <f t="shared" si="2"/>
        <v>62.540000000000006</v>
      </c>
      <c r="M27" s="3"/>
      <c r="N27" s="7">
        <f t="shared" si="3"/>
        <v>1.2570854271356786</v>
      </c>
      <c r="O27" s="12"/>
      <c r="P27" s="8">
        <v>663.28</v>
      </c>
      <c r="Q27" s="3"/>
      <c r="R27" s="7">
        <f t="shared" si="4"/>
        <v>1.123105734813787E-3</v>
      </c>
      <c r="S27" s="3"/>
      <c r="T27" s="8">
        <v>522.26</v>
      </c>
      <c r="U27" s="3"/>
      <c r="V27" s="7">
        <f t="shared" si="5"/>
        <v>1.0317698015009714E-2</v>
      </c>
      <c r="W27" s="3"/>
      <c r="X27" s="8">
        <f t="shared" si="6"/>
        <v>141.01999999999998</v>
      </c>
      <c r="Y27" s="3"/>
      <c r="Z27" s="7">
        <f t="shared" si="7"/>
        <v>0.27001876460000762</v>
      </c>
    </row>
    <row r="28" spans="1:26" s="69" customFormat="1" ht="15" hidden="1" customHeight="1" outlineLevel="2" x14ac:dyDescent="0.3">
      <c r="A28" s="25"/>
      <c r="B28" s="12" t="str">
        <f>CONCATENATE("          ","6115"," - ","P.E.R.S.")</f>
        <v xml:space="preserve">          6115 - P.E.R.S.</v>
      </c>
      <c r="C28" s="12"/>
      <c r="D28" s="8">
        <v>386.06</v>
      </c>
      <c r="E28" s="3"/>
      <c r="F28" s="7">
        <f t="shared" si="0"/>
        <v>2.5896140552064181E-3</v>
      </c>
      <c r="G28" s="3"/>
      <c r="H28" s="8">
        <v>1562.6</v>
      </c>
      <c r="I28" s="3"/>
      <c r="J28" s="7">
        <f t="shared" si="1"/>
        <v>0.28503259652182156</v>
      </c>
      <c r="K28" s="3"/>
      <c r="L28" s="8">
        <f t="shared" si="2"/>
        <v>-1176.54</v>
      </c>
      <c r="M28" s="3"/>
      <c r="N28" s="7">
        <f t="shared" si="3"/>
        <v>-0.75293741200563169</v>
      </c>
      <c r="O28" s="12"/>
      <c r="P28" s="8">
        <v>6911.69</v>
      </c>
      <c r="Q28" s="3"/>
      <c r="R28" s="7">
        <f t="shared" si="4"/>
        <v>1.1703290731297646E-2</v>
      </c>
      <c r="S28" s="3"/>
      <c r="T28" s="8">
        <v>14428.28</v>
      </c>
      <c r="U28" s="3"/>
      <c r="V28" s="7">
        <f t="shared" si="5"/>
        <v>0.28504315076016618</v>
      </c>
      <c r="W28" s="3"/>
      <c r="X28" s="8">
        <f t="shared" si="6"/>
        <v>-7516.5900000000011</v>
      </c>
      <c r="Y28" s="3"/>
      <c r="Z28" s="7">
        <f t="shared" si="7"/>
        <v>-0.52096230458516202</v>
      </c>
    </row>
    <row r="29" spans="1:26" s="69" customFormat="1" ht="15" hidden="1" customHeight="1" outlineLevel="2" x14ac:dyDescent="0.3">
      <c r="A29" s="25"/>
      <c r="B29" s="12" t="str">
        <f>CONCATENATE("          ","6117"," - ","RETIREMENT STAFF HOURLY")</f>
        <v xml:space="preserve">          6117 - RETIREMENT STAFF HOURLY</v>
      </c>
      <c r="C29" s="12"/>
      <c r="D29" s="8">
        <v>136.52000000000001</v>
      </c>
      <c r="E29" s="3"/>
      <c r="F29" s="7">
        <f t="shared" si="0"/>
        <v>9.1574913437491635E-4</v>
      </c>
      <c r="G29" s="3"/>
      <c r="H29" s="8"/>
      <c r="I29" s="3"/>
      <c r="J29" s="7">
        <f t="shared" si="1"/>
        <v>0</v>
      </c>
      <c r="K29" s="3"/>
      <c r="L29" s="8">
        <f t="shared" si="2"/>
        <v>136.52000000000001</v>
      </c>
      <c r="M29" s="3"/>
      <c r="N29" s="7">
        <f t="shared" si="3"/>
        <v>0</v>
      </c>
      <c r="O29" s="12"/>
      <c r="P29" s="8">
        <v>136.52000000000001</v>
      </c>
      <c r="Q29" s="3"/>
      <c r="R29" s="7">
        <f t="shared" si="4"/>
        <v>2.3116390501263148E-4</v>
      </c>
      <c r="S29" s="3"/>
      <c r="T29" s="8"/>
      <c r="U29" s="3"/>
      <c r="V29" s="7">
        <f t="shared" si="5"/>
        <v>0</v>
      </c>
      <c r="W29" s="3"/>
      <c r="X29" s="8">
        <f t="shared" si="6"/>
        <v>136.52000000000001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5"/>
      <c r="B30" s="12" t="str">
        <f>CONCATENATE("          ","6118"," - ","VACATION")</f>
        <v xml:space="preserve">          6118 - VACATION</v>
      </c>
      <c r="C30" s="12"/>
      <c r="D30" s="8">
        <v>1009.06</v>
      </c>
      <c r="E30" s="3"/>
      <c r="F30" s="7">
        <f t="shared" si="0"/>
        <v>6.7685747255519556E-3</v>
      </c>
      <c r="G30" s="3"/>
      <c r="H30" s="8">
        <v>1440.4</v>
      </c>
      <c r="I30" s="3"/>
      <c r="J30" s="7">
        <f t="shared" si="1"/>
        <v>0.26274219379881725</v>
      </c>
      <c r="K30" s="3"/>
      <c r="L30" s="8">
        <f t="shared" si="2"/>
        <v>-431.34000000000015</v>
      </c>
      <c r="M30" s="3"/>
      <c r="N30" s="7">
        <f t="shared" si="3"/>
        <v>-0.29945848375451273</v>
      </c>
      <c r="O30" s="12"/>
      <c r="P30" s="8">
        <v>10944.04</v>
      </c>
      <c r="Q30" s="3"/>
      <c r="R30" s="7">
        <f t="shared" si="4"/>
        <v>1.8531109163598295E-2</v>
      </c>
      <c r="S30" s="3"/>
      <c r="T30" s="8">
        <v>13098.28</v>
      </c>
      <c r="U30" s="3"/>
      <c r="V30" s="7">
        <f t="shared" si="5"/>
        <v>0.25876785041175171</v>
      </c>
      <c r="W30" s="3"/>
      <c r="X30" s="8">
        <f t="shared" si="6"/>
        <v>-2154.2399999999998</v>
      </c>
      <c r="Y30" s="3"/>
      <c r="Z30" s="7">
        <f t="shared" si="7"/>
        <v>-0.16446739571913258</v>
      </c>
    </row>
    <row r="31" spans="1:26" s="69" customFormat="1" ht="15" hidden="1" customHeight="1" outlineLevel="2" x14ac:dyDescent="0.3">
      <c r="A31" s="25"/>
      <c r="B31" s="12" t="str">
        <f>CONCATENATE("          ","6119"," - ","SICK LEAVE")</f>
        <v xml:space="preserve">          6119 - SICK LEAVE</v>
      </c>
      <c r="C31" s="12"/>
      <c r="D31" s="8">
        <v>735.66</v>
      </c>
      <c r="E31" s="3"/>
      <c r="F31" s="7">
        <f t="shared" si="0"/>
        <v>4.9346616480680557E-3</v>
      </c>
      <c r="G31" s="3"/>
      <c r="H31" s="8">
        <v>872.28</v>
      </c>
      <c r="I31" s="3"/>
      <c r="J31" s="7">
        <f t="shared" si="1"/>
        <v>0.15911188614748145</v>
      </c>
      <c r="K31" s="3"/>
      <c r="L31" s="8">
        <f t="shared" si="2"/>
        <v>-136.62</v>
      </c>
      <c r="M31" s="3"/>
      <c r="N31" s="7">
        <f t="shared" si="3"/>
        <v>-0.15662401981015273</v>
      </c>
      <c r="O31" s="12"/>
      <c r="P31" s="8">
        <v>8942.93</v>
      </c>
      <c r="Q31" s="3"/>
      <c r="R31" s="7">
        <f t="shared" si="4"/>
        <v>1.5142708914844802E-2</v>
      </c>
      <c r="S31" s="3"/>
      <c r="T31" s="8">
        <v>8201.44</v>
      </c>
      <c r="U31" s="3"/>
      <c r="V31" s="7">
        <f t="shared" si="5"/>
        <v>0.16202654081917298</v>
      </c>
      <c r="W31" s="3"/>
      <c r="X31" s="8">
        <f t="shared" si="6"/>
        <v>741.48999999999978</v>
      </c>
      <c r="Y31" s="3"/>
      <c r="Z31" s="7">
        <f t="shared" si="7"/>
        <v>9.0409732924949734E-2</v>
      </c>
    </row>
    <row r="32" spans="1:26" s="69" customFormat="1" ht="15" hidden="1" customHeight="1" outlineLevel="2" x14ac:dyDescent="0.3">
      <c r="A32" s="25"/>
      <c r="B32" s="12" t="str">
        <f>CONCATENATE("          ","6156"," - ","EMPLOYEE MEALS")</f>
        <v xml:space="preserve">          6156 - EMPLOYEE MEALS</v>
      </c>
      <c r="C32" s="12"/>
      <c r="D32" s="8">
        <v>920.18</v>
      </c>
      <c r="E32" s="3"/>
      <c r="F32" s="7">
        <f t="shared" si="0"/>
        <v>6.1723852803187117E-3</v>
      </c>
      <c r="G32" s="3"/>
      <c r="H32" s="8">
        <v>486.56</v>
      </c>
      <c r="I32" s="3"/>
      <c r="J32" s="7">
        <f t="shared" si="1"/>
        <v>8.8753014311824849E-2</v>
      </c>
      <c r="K32" s="3"/>
      <c r="L32" s="8">
        <f t="shared" si="2"/>
        <v>433.61999999999995</v>
      </c>
      <c r="M32" s="3"/>
      <c r="N32" s="7">
        <f t="shared" si="3"/>
        <v>0.8911953304833935</v>
      </c>
      <c r="O32" s="12"/>
      <c r="P32" s="8">
        <v>6697.91</v>
      </c>
      <c r="Q32" s="3"/>
      <c r="R32" s="7">
        <f t="shared" si="4"/>
        <v>1.1341305530494832E-2</v>
      </c>
      <c r="S32" s="3"/>
      <c r="T32" s="8">
        <v>3771.99</v>
      </c>
      <c r="U32" s="3"/>
      <c r="V32" s="7">
        <f t="shared" si="5"/>
        <v>7.4518924933244926E-2</v>
      </c>
      <c r="W32" s="3"/>
      <c r="X32" s="8">
        <f t="shared" si="6"/>
        <v>2925.92</v>
      </c>
      <c r="Y32" s="3"/>
      <c r="Z32" s="7">
        <f t="shared" si="7"/>
        <v>0.77569664818835682</v>
      </c>
    </row>
    <row r="33" spans="1:26" s="68" customFormat="1" ht="15" customHeight="1" outlineLevel="1" collapsed="1" x14ac:dyDescent="0.3">
      <c r="A33" s="26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42721.439999999995</v>
      </c>
      <c r="E33" s="2"/>
      <c r="F33" s="6">
        <f t="shared" si="0"/>
        <v>0.28656696234434459</v>
      </c>
      <c r="G33" s="2"/>
      <c r="H33" s="2">
        <f>SUM(OSRRefH22_1x_0)</f>
        <v>17382.68</v>
      </c>
      <c r="I33" s="2"/>
      <c r="J33" s="6">
        <f t="shared" si="1"/>
        <v>3.1707605368667209</v>
      </c>
      <c r="K33" s="2"/>
      <c r="L33" s="2">
        <f t="shared" si="2"/>
        <v>25338.759999999995</v>
      </c>
      <c r="M33" s="2"/>
      <c r="N33" s="6">
        <f t="shared" si="3"/>
        <v>1.4577015742106507</v>
      </c>
      <c r="O33" s="14"/>
      <c r="P33" s="2">
        <f>SUM(OSRRefP22_1x_0)</f>
        <v>249231.1</v>
      </c>
      <c r="Q33" s="2"/>
      <c r="R33" s="6">
        <f t="shared" si="4"/>
        <v>0.42201314332400863</v>
      </c>
      <c r="S33" s="2"/>
      <c r="T33" s="2">
        <f>SUM(OSRRefT22_1x_0)</f>
        <v>155530.29</v>
      </c>
      <c r="U33" s="2"/>
      <c r="V33" s="6">
        <f t="shared" si="5"/>
        <v>3.0726354007714267</v>
      </c>
      <c r="W33" s="2"/>
      <c r="X33" s="2">
        <f t="shared" si="6"/>
        <v>93700.81</v>
      </c>
      <c r="Y33" s="2"/>
      <c r="Z33" s="6">
        <f t="shared" si="7"/>
        <v>0.60246020244673881</v>
      </c>
    </row>
    <row r="34" spans="1:26" s="69" customFormat="1" ht="15" hidden="1" customHeight="1" outlineLevel="2" x14ac:dyDescent="0.3">
      <c r="A34" s="25"/>
      <c r="B34" s="12" t="str">
        <f>CONCATENATE("          ","6002"," - ","STAFF SALARIES")</f>
        <v xml:space="preserve">          6002 - STAFF SALARIES</v>
      </c>
      <c r="C34" s="12"/>
      <c r="D34" s="8">
        <v>5086.4399999999996</v>
      </c>
      <c r="E34" s="3"/>
      <c r="F34" s="7">
        <f t="shared" si="0"/>
        <v>3.4118832603647446E-2</v>
      </c>
      <c r="G34" s="3"/>
      <c r="H34" s="8">
        <v>14052.4</v>
      </c>
      <c r="I34" s="3"/>
      <c r="J34" s="7">
        <f t="shared" si="1"/>
        <v>2.5632868676329488</v>
      </c>
      <c r="K34" s="3"/>
      <c r="L34" s="8">
        <f t="shared" si="2"/>
        <v>-8965.9599999999991</v>
      </c>
      <c r="M34" s="3"/>
      <c r="N34" s="7">
        <f t="shared" si="3"/>
        <v>-0.63803763058267626</v>
      </c>
      <c r="O34" s="12"/>
      <c r="P34" s="8">
        <v>74204.59</v>
      </c>
      <c r="Q34" s="3"/>
      <c r="R34" s="7">
        <f t="shared" si="4"/>
        <v>0.12564769113874349</v>
      </c>
      <c r="S34" s="3"/>
      <c r="T34" s="8">
        <v>127443.21</v>
      </c>
      <c r="U34" s="3"/>
      <c r="V34" s="7">
        <f t="shared" si="5"/>
        <v>2.5177508421925214</v>
      </c>
      <c r="W34" s="3"/>
      <c r="X34" s="8">
        <f t="shared" si="6"/>
        <v>-53238.62000000001</v>
      </c>
      <c r="Y34" s="3"/>
      <c r="Z34" s="7">
        <f t="shared" si="7"/>
        <v>-0.41774387195677204</v>
      </c>
    </row>
    <row r="35" spans="1:26" s="69" customFormat="1" ht="15" hidden="1" customHeight="1" outlineLevel="2" x14ac:dyDescent="0.3">
      <c r="A35" s="25"/>
      <c r="B35" s="12" t="str">
        <f>CONCATENATE("          ","6004"," - ","STAFF HOURLY")</f>
        <v xml:space="preserve">          6004 - STAFF HOURLY</v>
      </c>
      <c r="C35" s="12"/>
      <c r="D35" s="8">
        <v>6854.31</v>
      </c>
      <c r="E35" s="3"/>
      <c r="F35" s="7">
        <f t="shared" si="0"/>
        <v>4.5977354594472115E-2</v>
      </c>
      <c r="G35" s="3"/>
      <c r="H35" s="8">
        <v>2789.95</v>
      </c>
      <c r="I35" s="3"/>
      <c r="J35" s="7">
        <f t="shared" si="1"/>
        <v>0.50891251290544992</v>
      </c>
      <c r="K35" s="3"/>
      <c r="L35" s="8">
        <f t="shared" si="2"/>
        <v>4064.3600000000006</v>
      </c>
      <c r="M35" s="3"/>
      <c r="N35" s="7">
        <f t="shared" si="3"/>
        <v>1.4567859639061636</v>
      </c>
      <c r="O35" s="12"/>
      <c r="P35" s="8">
        <v>55641.67</v>
      </c>
      <c r="Q35" s="3"/>
      <c r="R35" s="7">
        <f t="shared" si="4"/>
        <v>9.4215834446412142E-2</v>
      </c>
      <c r="S35" s="3"/>
      <c r="T35" s="8">
        <v>24559.33</v>
      </c>
      <c r="U35" s="3"/>
      <c r="V35" s="7">
        <f t="shared" si="5"/>
        <v>0.4851908060946053</v>
      </c>
      <c r="W35" s="3"/>
      <c r="X35" s="8">
        <f t="shared" si="6"/>
        <v>31082.339999999997</v>
      </c>
      <c r="Y35" s="3"/>
      <c r="Z35" s="7">
        <f t="shared" si="7"/>
        <v>1.2656021153671535</v>
      </c>
    </row>
    <row r="36" spans="1:26" s="69" customFormat="1" ht="15" hidden="1" customHeight="1" outlineLevel="2" x14ac:dyDescent="0.3">
      <c r="A36" s="25"/>
      <c r="B36" s="12" t="str">
        <f>CONCATENATE("          ","6005"," - ","TEMPORARY WAGES-HOURLY")</f>
        <v xml:space="preserve">          6005 - TEMPORARY WAGES-HOURLY</v>
      </c>
      <c r="C36" s="12"/>
      <c r="D36" s="8">
        <v>10883.17</v>
      </c>
      <c r="E36" s="3"/>
      <c r="F36" s="7">
        <f t="shared" si="0"/>
        <v>7.3002149917631542E-2</v>
      </c>
      <c r="G36" s="3"/>
      <c r="H36" s="8">
        <v>172.33</v>
      </c>
      <c r="I36" s="3"/>
      <c r="J36" s="7">
        <f t="shared" si="1"/>
        <v>3.1434575296688541E-2</v>
      </c>
      <c r="K36" s="3"/>
      <c r="L36" s="8">
        <f t="shared" si="2"/>
        <v>10710.84</v>
      </c>
      <c r="M36" s="3"/>
      <c r="N36" s="7">
        <f t="shared" si="3"/>
        <v>62.153078396100504</v>
      </c>
      <c r="O36" s="12"/>
      <c r="P36" s="8">
        <v>63146</v>
      </c>
      <c r="Q36" s="3"/>
      <c r="R36" s="7">
        <f t="shared" si="4"/>
        <v>0.10692261900034886</v>
      </c>
      <c r="S36" s="3"/>
      <c r="T36" s="8">
        <v>2604.04</v>
      </c>
      <c r="U36" s="3"/>
      <c r="V36" s="7">
        <f t="shared" si="5"/>
        <v>5.1445062495703096E-2</v>
      </c>
      <c r="W36" s="3"/>
      <c r="X36" s="8">
        <f t="shared" si="6"/>
        <v>60541.96</v>
      </c>
      <c r="Y36" s="3"/>
      <c r="Z36" s="7">
        <f t="shared" si="7"/>
        <v>23.249243483203024</v>
      </c>
    </row>
    <row r="37" spans="1:26" s="69" customFormat="1" ht="15" hidden="1" customHeight="1" outlineLevel="2" x14ac:dyDescent="0.3">
      <c r="A37" s="25"/>
      <c r="B37" s="12" t="str">
        <f>CONCATENATE("          ","6007"," - ","STUDENT HOURLY")</f>
        <v xml:space="preserve">          6007 - STUDENT HOURLY</v>
      </c>
      <c r="C37" s="12"/>
      <c r="D37" s="8">
        <v>17804</v>
      </c>
      <c r="E37" s="3"/>
      <c r="F37" s="7">
        <f t="shared" si="0"/>
        <v>0.11942570750374312</v>
      </c>
      <c r="G37" s="3"/>
      <c r="H37" s="8">
        <v>368</v>
      </c>
      <c r="I37" s="3"/>
      <c r="J37" s="7">
        <f t="shared" si="1"/>
        <v>6.7126581031633395E-2</v>
      </c>
      <c r="K37" s="3"/>
      <c r="L37" s="8">
        <f t="shared" si="2"/>
        <v>17436</v>
      </c>
      <c r="M37" s="3"/>
      <c r="N37" s="7">
        <f t="shared" si="3"/>
        <v>47.380434782608695</v>
      </c>
      <c r="O37" s="12"/>
      <c r="P37" s="8">
        <v>53003.72</v>
      </c>
      <c r="Q37" s="3"/>
      <c r="R37" s="7">
        <f t="shared" si="4"/>
        <v>8.9749098266892147E-2</v>
      </c>
      <c r="S37" s="3"/>
      <c r="T37" s="8">
        <v>923.71</v>
      </c>
      <c r="U37" s="3"/>
      <c r="V37" s="7">
        <f t="shared" si="5"/>
        <v>1.8248689988596915E-2</v>
      </c>
      <c r="W37" s="3"/>
      <c r="X37" s="8">
        <f t="shared" si="6"/>
        <v>52080.01</v>
      </c>
      <c r="Y37" s="3"/>
      <c r="Z37" s="7">
        <f t="shared" si="7"/>
        <v>56.381342629180153</v>
      </c>
    </row>
    <row r="38" spans="1:26" s="69" customFormat="1" ht="15" hidden="1" customHeight="1" outlineLevel="2" x14ac:dyDescent="0.3">
      <c r="A38" s="25"/>
      <c r="B38" s="12" t="str">
        <f>CONCATENATE("          ","6008"," - ","STUDENT HOURLY-FICA EXEMPT")</f>
        <v xml:space="preserve">          6008 - STUDENT HOURLY-FICA EXEMPT</v>
      </c>
      <c r="C38" s="12"/>
      <c r="D38" s="8">
        <v>2093.52</v>
      </c>
      <c r="E38" s="3"/>
      <c r="F38" s="7">
        <f t="shared" si="0"/>
        <v>1.4042917724850387E-2</v>
      </c>
      <c r="G38" s="3"/>
      <c r="H38" s="8"/>
      <c r="I38" s="3"/>
      <c r="J38" s="7">
        <f t="shared" si="1"/>
        <v>0</v>
      </c>
      <c r="K38" s="3"/>
      <c r="L38" s="8">
        <f t="shared" si="2"/>
        <v>2093.52</v>
      </c>
      <c r="M38" s="3"/>
      <c r="N38" s="7">
        <f t="shared" si="3"/>
        <v>0</v>
      </c>
      <c r="O38" s="12"/>
      <c r="P38" s="8">
        <v>3235.12</v>
      </c>
      <c r="Q38" s="3"/>
      <c r="R38" s="7">
        <f t="shared" si="4"/>
        <v>5.477900471611956E-3</v>
      </c>
      <c r="S38" s="3"/>
      <c r="T38" s="8"/>
      <c r="U38" s="3"/>
      <c r="V38" s="7">
        <f t="shared" si="5"/>
        <v>0</v>
      </c>
      <c r="W38" s="3"/>
      <c r="X38" s="8">
        <f t="shared" si="6"/>
        <v>3235.12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","Advertising/Promo                                 ")</f>
        <v xml:space="preserve">     Advertising/Promo                                 </v>
      </c>
      <c r="C39" s="14"/>
      <c r="D39" s="2">
        <f>SUM(OSRRefD22_2x_0)</f>
        <v>213.04</v>
      </c>
      <c r="E39" s="2"/>
      <c r="F39" s="6">
        <f t="shared" si="0"/>
        <v>1.4290301464051579E-3</v>
      </c>
      <c r="G39" s="2"/>
      <c r="H39" s="2">
        <f>SUM(OSRRefH22_2x_0)</f>
        <v>155.19</v>
      </c>
      <c r="I39" s="2"/>
      <c r="J39" s="6">
        <f t="shared" si="1"/>
        <v>2.8308081821465183E-2</v>
      </c>
      <c r="K39" s="2"/>
      <c r="L39" s="2">
        <f t="shared" si="2"/>
        <v>57.849999999999994</v>
      </c>
      <c r="M39" s="2"/>
      <c r="N39" s="6">
        <f t="shared" si="3"/>
        <v>0.37276886397319414</v>
      </c>
      <c r="O39" s="14"/>
      <c r="P39" s="2">
        <f>SUM(OSRRefP22_2x_0)</f>
        <v>1019.69</v>
      </c>
      <c r="Q39" s="2"/>
      <c r="R39" s="6">
        <f t="shared" si="4"/>
        <v>1.7266006614586155E-3</v>
      </c>
      <c r="S39" s="2"/>
      <c r="T39" s="2">
        <f>SUM(OSRRefT22_2x_0)</f>
        <v>289.19</v>
      </c>
      <c r="U39" s="2"/>
      <c r="V39" s="6">
        <f t="shared" si="5"/>
        <v>5.7131985772616309E-3</v>
      </c>
      <c r="W39" s="2"/>
      <c r="X39" s="2">
        <f t="shared" si="6"/>
        <v>730.5</v>
      </c>
      <c r="Y39" s="2"/>
      <c r="Z39" s="6">
        <f t="shared" si="7"/>
        <v>2.5260209550814343</v>
      </c>
    </row>
    <row r="40" spans="1:26" s="69" customFormat="1" ht="15" hidden="1" customHeight="1" outlineLevel="2" x14ac:dyDescent="0.3">
      <c r="A40" s="25"/>
      <c r="B40" s="12" t="str">
        <f>CONCATENATE("          ","6362"," - ","ADVERTISING EXPENSE")</f>
        <v xml:space="preserve">          6362 - ADVERTISING EXPENSE</v>
      </c>
      <c r="C40" s="12"/>
      <c r="D40" s="8">
        <v>213.04</v>
      </c>
      <c r="E40" s="3"/>
      <c r="F40" s="7">
        <f t="shared" si="0"/>
        <v>1.4290301464051579E-3</v>
      </c>
      <c r="G40" s="3"/>
      <c r="H40" s="8">
        <v>155.19</v>
      </c>
      <c r="I40" s="3"/>
      <c r="J40" s="7">
        <f t="shared" si="1"/>
        <v>2.8308081821465183E-2</v>
      </c>
      <c r="K40" s="3"/>
      <c r="L40" s="8">
        <f t="shared" si="2"/>
        <v>57.849999999999994</v>
      </c>
      <c r="M40" s="3"/>
      <c r="N40" s="7">
        <f t="shared" si="3"/>
        <v>0.37276886397319414</v>
      </c>
      <c r="O40" s="12"/>
      <c r="P40" s="8">
        <v>1019.69</v>
      </c>
      <c r="Q40" s="3"/>
      <c r="R40" s="7">
        <f t="shared" si="4"/>
        <v>1.7266006614586155E-3</v>
      </c>
      <c r="S40" s="3"/>
      <c r="T40" s="8">
        <v>289.19</v>
      </c>
      <c r="U40" s="3"/>
      <c r="V40" s="7">
        <f t="shared" si="5"/>
        <v>5.7131985772616309E-3</v>
      </c>
      <c r="W40" s="3"/>
      <c r="X40" s="8">
        <f t="shared" si="6"/>
        <v>730.5</v>
      </c>
      <c r="Y40" s="3"/>
      <c r="Z40" s="7">
        <f t="shared" si="7"/>
        <v>2.5260209550814343</v>
      </c>
    </row>
    <row r="41" spans="1:26" s="68" customFormat="1" ht="15" customHeight="1" outlineLevel="1" collapsed="1" x14ac:dyDescent="0.3">
      <c r="A41" s="26"/>
      <c r="B41" s="14" t="str">
        <f>CONCATENATE("     ","Bad Debts/Over/Short                              ")</f>
        <v xml:space="preserve">     Bad Debts/Over/Short                              </v>
      </c>
      <c r="C41" s="14"/>
      <c r="D41" s="2">
        <f>SUM(OSRRefD22_3x_0)</f>
        <v>3.29</v>
      </c>
      <c r="E41" s="2"/>
      <c r="F41" s="6">
        <f t="shared" si="0"/>
        <v>2.2068668708566327E-5</v>
      </c>
      <c r="G41" s="2"/>
      <c r="H41" s="2">
        <f>SUM(OSRRefH22_3x_0)</f>
        <v>-0.39</v>
      </c>
      <c r="I41" s="2"/>
      <c r="J41" s="6">
        <f t="shared" si="1"/>
        <v>-7.1139583158524533E-5</v>
      </c>
      <c r="K41" s="2"/>
      <c r="L41" s="2">
        <f t="shared" si="2"/>
        <v>3.68</v>
      </c>
      <c r="M41" s="2"/>
      <c r="N41" s="6">
        <f t="shared" si="3"/>
        <v>-9.4358974358974361</v>
      </c>
      <c r="O41" s="14"/>
      <c r="P41" s="2">
        <f>SUM(OSRRefP22_3x_0)</f>
        <v>-13.73</v>
      </c>
      <c r="Q41" s="2"/>
      <c r="R41" s="6">
        <f t="shared" si="4"/>
        <v>-2.3248464809723339E-5</v>
      </c>
      <c r="S41" s="2"/>
      <c r="T41" s="2">
        <f>SUM(OSRRefT22_3x_0)</f>
        <v>8.4</v>
      </c>
      <c r="U41" s="2"/>
      <c r="V41" s="6">
        <f t="shared" si="5"/>
        <v>1.6594926535840694E-4</v>
      </c>
      <c r="W41" s="2"/>
      <c r="X41" s="2">
        <f t="shared" si="6"/>
        <v>-22.130000000000003</v>
      </c>
      <c r="Y41" s="2"/>
      <c r="Z41" s="6">
        <f t="shared" si="7"/>
        <v>-2.6345238095238099</v>
      </c>
    </row>
    <row r="42" spans="1:26" s="69" customFormat="1" ht="15" hidden="1" customHeight="1" outlineLevel="2" x14ac:dyDescent="0.3">
      <c r="A42" s="25"/>
      <c r="B42" s="12" t="str">
        <f>CONCATENATE("          ","6272"," - ","CASH (OVER/SHORT)")</f>
        <v xml:space="preserve">          6272 - CASH (OVER/SHORT)</v>
      </c>
      <c r="C42" s="12"/>
      <c r="D42" s="8">
        <v>3.29</v>
      </c>
      <c r="E42" s="3"/>
      <c r="F42" s="7">
        <f t="shared" si="0"/>
        <v>2.2068668708566327E-5</v>
      </c>
      <c r="G42" s="3"/>
      <c r="H42" s="8">
        <v>-0.39</v>
      </c>
      <c r="I42" s="3"/>
      <c r="J42" s="7">
        <f t="shared" si="1"/>
        <v>-7.1139583158524533E-5</v>
      </c>
      <c r="K42" s="3"/>
      <c r="L42" s="8">
        <f t="shared" si="2"/>
        <v>3.68</v>
      </c>
      <c r="M42" s="3"/>
      <c r="N42" s="7">
        <f t="shared" si="3"/>
        <v>-9.4358974358974361</v>
      </c>
      <c r="O42" s="12"/>
      <c r="P42" s="8">
        <v>-13.73</v>
      </c>
      <c r="Q42" s="3"/>
      <c r="R42" s="7">
        <f t="shared" si="4"/>
        <v>-2.3248464809723339E-5</v>
      </c>
      <c r="S42" s="3"/>
      <c r="T42" s="8">
        <v>8.4</v>
      </c>
      <c r="U42" s="3"/>
      <c r="V42" s="7">
        <f t="shared" si="5"/>
        <v>1.6594926535840694E-4</v>
      </c>
      <c r="W42" s="3"/>
      <c r="X42" s="8">
        <f t="shared" si="6"/>
        <v>-22.130000000000003</v>
      </c>
      <c r="Y42" s="3"/>
      <c r="Z42" s="7">
        <f t="shared" si="7"/>
        <v>-2.6345238095238099</v>
      </c>
    </row>
    <row r="43" spans="1:26" s="68" customFormat="1" ht="15" customHeight="1" outlineLevel="1" collapsed="1" x14ac:dyDescent="0.3">
      <c r="A43" s="26"/>
      <c r="B43" s="14" t="str">
        <f>CONCATENATE("     ","Bank/card Fees                                    ")</f>
        <v xml:space="preserve">     Bank/card Fees                                    </v>
      </c>
      <c r="C43" s="14"/>
      <c r="D43" s="2">
        <f>SUM(OSRRefD22_4x_0)</f>
        <v>5051.8599999999997</v>
      </c>
      <c r="E43" s="2"/>
      <c r="F43" s="6">
        <f t="shared" si="0"/>
        <v>3.3886876809136129E-2</v>
      </c>
      <c r="G43" s="2"/>
      <c r="H43" s="2">
        <f>SUM(OSRRefH22_4x_0)</f>
        <v>156.55000000000001</v>
      </c>
      <c r="I43" s="2"/>
      <c r="J43" s="6">
        <f t="shared" si="1"/>
        <v>2.8556158316582089E-2</v>
      </c>
      <c r="K43" s="2"/>
      <c r="L43" s="2">
        <f t="shared" si="2"/>
        <v>4895.3099999999995</v>
      </c>
      <c r="M43" s="2"/>
      <c r="N43" s="6">
        <f t="shared" si="3"/>
        <v>31.269945704247839</v>
      </c>
      <c r="O43" s="14"/>
      <c r="P43" s="2">
        <f>SUM(OSRRefP22_4x_0)</f>
        <v>19476.169999999998</v>
      </c>
      <c r="Q43" s="2"/>
      <c r="R43" s="6">
        <f t="shared" si="4"/>
        <v>3.2978226720552756E-2</v>
      </c>
      <c r="S43" s="2"/>
      <c r="T43" s="2">
        <f>SUM(OSRRefT22_4x_0)</f>
        <v>1477.45</v>
      </c>
      <c r="U43" s="2"/>
      <c r="V43" s="6">
        <f t="shared" si="5"/>
        <v>2.9188302631402183E-2</v>
      </c>
      <c r="W43" s="2"/>
      <c r="X43" s="2">
        <f t="shared" si="6"/>
        <v>17998.719999999998</v>
      </c>
      <c r="Y43" s="2"/>
      <c r="Z43" s="6">
        <f t="shared" si="7"/>
        <v>12.182287048631085</v>
      </c>
    </row>
    <row r="44" spans="1:26" s="69" customFormat="1" ht="15" hidden="1" customHeight="1" outlineLevel="2" x14ac:dyDescent="0.3">
      <c r="A44" s="25"/>
      <c r="B44" s="12" t="str">
        <f>CONCATENATE("          ","6381"," - ","BANK/CREDIT CARD FEES")</f>
        <v xml:space="preserve">          6381 - BANK/CREDIT CARD FEES</v>
      </c>
      <c r="C44" s="12"/>
      <c r="D44" s="8">
        <v>5051.8599999999997</v>
      </c>
      <c r="E44" s="3"/>
      <c r="F44" s="7">
        <f t="shared" si="0"/>
        <v>3.3886876809136129E-2</v>
      </c>
      <c r="G44" s="3"/>
      <c r="H44" s="8">
        <v>156.55000000000001</v>
      </c>
      <c r="I44" s="3"/>
      <c r="J44" s="7">
        <f t="shared" si="1"/>
        <v>2.8556158316582089E-2</v>
      </c>
      <c r="K44" s="3"/>
      <c r="L44" s="8">
        <f t="shared" si="2"/>
        <v>4895.3099999999995</v>
      </c>
      <c r="M44" s="3"/>
      <c r="N44" s="7">
        <f t="shared" si="3"/>
        <v>31.269945704247839</v>
      </c>
      <c r="O44" s="12"/>
      <c r="P44" s="8">
        <v>19476.169999999998</v>
      </c>
      <c r="Q44" s="3"/>
      <c r="R44" s="7">
        <f t="shared" si="4"/>
        <v>3.2978226720552756E-2</v>
      </c>
      <c r="S44" s="3"/>
      <c r="T44" s="8">
        <v>1477.45</v>
      </c>
      <c r="U44" s="3"/>
      <c r="V44" s="7">
        <f t="shared" si="5"/>
        <v>2.9188302631402183E-2</v>
      </c>
      <c r="W44" s="3"/>
      <c r="X44" s="8">
        <f t="shared" si="6"/>
        <v>17998.719999999998</v>
      </c>
      <c r="Y44" s="3"/>
      <c r="Z44" s="7">
        <f t="shared" si="7"/>
        <v>12.182287048631085</v>
      </c>
    </row>
    <row r="45" spans="1:26" s="68" customFormat="1" ht="15" customHeight="1" outlineLevel="1" collapsed="1" x14ac:dyDescent="0.3">
      <c r="A45" s="26"/>
      <c r="B45" s="14" t="str">
        <f>CONCATENATE("     ","Depreciation                                      ")</f>
        <v xml:space="preserve">     Depreciation                                      </v>
      </c>
      <c r="C45" s="14"/>
      <c r="D45" s="2">
        <f>SUM(OSRRefD22_5x_0)</f>
        <v>14007.34</v>
      </c>
      <c r="E45" s="2"/>
      <c r="F45" s="6">
        <f t="shared" si="0"/>
        <v>9.3958463814057577E-2</v>
      </c>
      <c r="G45" s="2"/>
      <c r="H45" s="2">
        <f>SUM(OSRRefH22_5x_0)</f>
        <v>13902.32</v>
      </c>
      <c r="I45" s="2"/>
      <c r="J45" s="6">
        <f t="shared" si="1"/>
        <v>2.5359108967600479</v>
      </c>
      <c r="K45" s="2"/>
      <c r="L45" s="2">
        <f t="shared" si="2"/>
        <v>105.02000000000044</v>
      </c>
      <c r="M45" s="2"/>
      <c r="N45" s="6">
        <f t="shared" si="3"/>
        <v>7.5541348494352336E-3</v>
      </c>
      <c r="O45" s="14"/>
      <c r="P45" s="2">
        <f>SUM(OSRRefP22_5x_0)</f>
        <v>126066.06</v>
      </c>
      <c r="Q45" s="2"/>
      <c r="R45" s="6">
        <f t="shared" si="4"/>
        <v>0.21346266275385803</v>
      </c>
      <c r="S45" s="2"/>
      <c r="T45" s="2">
        <f>SUM(OSRRefT22_5x_0)</f>
        <v>125086.16</v>
      </c>
      <c r="U45" s="2"/>
      <c r="V45" s="6">
        <f t="shared" si="5"/>
        <v>2.4711852807743031</v>
      </c>
      <c r="W45" s="2"/>
      <c r="X45" s="2">
        <f t="shared" si="6"/>
        <v>979.89999999999418</v>
      </c>
      <c r="Y45" s="2"/>
      <c r="Z45" s="6">
        <f t="shared" si="7"/>
        <v>7.8338003181166824E-3</v>
      </c>
    </row>
    <row r="46" spans="1:26" s="69" customFormat="1" ht="15" hidden="1" customHeight="1" outlineLevel="2" x14ac:dyDescent="0.3">
      <c r="A46" s="25"/>
      <c r="B46" s="12" t="str">
        <f>CONCATENATE("          ","6321"," - ","BUILDING DEPRECIATION")</f>
        <v xml:space="preserve">          6321 - BUILDING DEPRECIATION</v>
      </c>
      <c r="C46" s="12"/>
      <c r="D46" s="8">
        <v>10597.26</v>
      </c>
      <c r="E46" s="3"/>
      <c r="F46" s="7">
        <f t="shared" si="0"/>
        <v>7.1084322236638783E-2</v>
      </c>
      <c r="G46" s="3"/>
      <c r="H46" s="8">
        <v>10597.26</v>
      </c>
      <c r="I46" s="3"/>
      <c r="J46" s="7">
        <f t="shared" si="1"/>
        <v>1.9330375872371939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95375.34</v>
      </c>
      <c r="Q46" s="3"/>
      <c r="R46" s="7">
        <f t="shared" si="4"/>
        <v>0.16149528300840485</v>
      </c>
      <c r="S46" s="3"/>
      <c r="T46" s="8">
        <v>95375.34</v>
      </c>
      <c r="U46" s="3"/>
      <c r="V46" s="7">
        <f t="shared" si="5"/>
        <v>1.8842223340843194</v>
      </c>
      <c r="W46" s="3"/>
      <c r="X46" s="8">
        <f t="shared" si="6"/>
        <v>0</v>
      </c>
      <c r="Y46" s="3"/>
      <c r="Z46" s="7">
        <f t="shared" si="7"/>
        <v>0</v>
      </c>
    </row>
    <row r="47" spans="1:26" s="69" customFormat="1" ht="15" hidden="1" customHeight="1" outlineLevel="2" x14ac:dyDescent="0.3">
      <c r="A47" s="25"/>
      <c r="B47" s="12" t="str">
        <f>CONCATENATE("          ","6322"," - ","EQUIPMENT DEPRECIATION EXPENSE")</f>
        <v xml:space="preserve">          6322 - EQUIPMENT DEPRECIATION EXPENSE</v>
      </c>
      <c r="C47" s="12"/>
      <c r="D47" s="8">
        <v>3410.08</v>
      </c>
      <c r="E47" s="3"/>
      <c r="F47" s="7">
        <f t="shared" si="0"/>
        <v>2.2874141577418801E-2</v>
      </c>
      <c r="G47" s="3"/>
      <c r="H47" s="8">
        <v>3305.06</v>
      </c>
      <c r="I47" s="3"/>
      <c r="J47" s="7">
        <f t="shared" si="1"/>
        <v>0.60287330952285401</v>
      </c>
      <c r="K47" s="3"/>
      <c r="L47" s="8">
        <f t="shared" si="2"/>
        <v>105.01999999999998</v>
      </c>
      <c r="M47" s="3"/>
      <c r="N47" s="7">
        <f t="shared" si="3"/>
        <v>3.177551996030329E-2</v>
      </c>
      <c r="O47" s="12"/>
      <c r="P47" s="8">
        <v>30690.720000000001</v>
      </c>
      <c r="Q47" s="3"/>
      <c r="R47" s="7">
        <f t="shared" si="4"/>
        <v>5.1967379745453186E-2</v>
      </c>
      <c r="S47" s="3"/>
      <c r="T47" s="8">
        <v>29710.82</v>
      </c>
      <c r="U47" s="3"/>
      <c r="V47" s="7">
        <f t="shared" si="5"/>
        <v>0.58696294668998383</v>
      </c>
      <c r="W47" s="3"/>
      <c r="X47" s="8">
        <f t="shared" si="6"/>
        <v>979.90000000000146</v>
      </c>
      <c r="Y47" s="3"/>
      <c r="Z47" s="7">
        <f t="shared" si="7"/>
        <v>3.2981250601632719E-2</v>
      </c>
    </row>
    <row r="48" spans="1:26" s="68" customFormat="1" ht="15" customHeight="1" outlineLevel="1" collapsed="1" x14ac:dyDescent="0.3">
      <c r="A48" s="26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SUM(OSRRefD22_6x_0)</f>
        <v>0</v>
      </c>
      <c r="E48" s="2"/>
      <c r="F48" s="6">
        <f t="shared" si="0"/>
        <v>0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SUM(OSRRefP22_6x_0)</f>
        <v>0</v>
      </c>
      <c r="Q48" s="2"/>
      <c r="R48" s="6">
        <f t="shared" si="4"/>
        <v>0</v>
      </c>
      <c r="S48" s="2"/>
      <c r="T48" s="2">
        <f>SUM(OSRRefT22_6x_0)</f>
        <v>10</v>
      </c>
      <c r="U48" s="2"/>
      <c r="V48" s="6">
        <f t="shared" si="5"/>
        <v>1.9755864923619873E-4</v>
      </c>
      <c r="W48" s="2"/>
      <c r="X48" s="2">
        <f t="shared" si="6"/>
        <v>-10</v>
      </c>
      <c r="Y48" s="2"/>
      <c r="Z48" s="6">
        <f t="shared" si="7"/>
        <v>-1</v>
      </c>
    </row>
    <row r="49" spans="1:26" s="69" customFormat="1" ht="15" hidden="1" customHeight="1" outlineLevel="2" x14ac:dyDescent="0.3">
      <c r="A49" s="25"/>
      <c r="B49" s="12" t="str">
        <f>CONCATENATE("          ","6277"," - ","EMPLOYEE APPRECIATION")</f>
        <v xml:space="preserve">          6277 - EMPLOYEE APPRECIATION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/>
      <c r="Q49" s="3"/>
      <c r="R49" s="7">
        <f t="shared" si="4"/>
        <v>0</v>
      </c>
      <c r="S49" s="3"/>
      <c r="T49" s="8">
        <v>10</v>
      </c>
      <c r="U49" s="3"/>
      <c r="V49" s="7">
        <f t="shared" si="5"/>
        <v>1.9755864923619873E-4</v>
      </c>
      <c r="W49" s="3"/>
      <c r="X49" s="8">
        <f t="shared" si="6"/>
        <v>-10</v>
      </c>
      <c r="Y49" s="3"/>
      <c r="Z49" s="7">
        <f t="shared" si="7"/>
        <v>-1</v>
      </c>
    </row>
    <row r="50" spans="1:26" s="68" customFormat="1" ht="15" customHeight="1" outlineLevel="1" collapsed="1" x14ac:dyDescent="0.3">
      <c r="A50" s="26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SUM(OSRRefD22_7x_0)</f>
        <v>250.92</v>
      </c>
      <c r="E50" s="2"/>
      <c r="F50" s="6">
        <f t="shared" si="0"/>
        <v>1.6831216876454292E-3</v>
      </c>
      <c r="G50" s="2"/>
      <c r="H50" s="2">
        <f>SUM(OSRRefH22_7x_0)</f>
        <v>72.540000000000006</v>
      </c>
      <c r="I50" s="2"/>
      <c r="J50" s="6">
        <f t="shared" si="1"/>
        <v>1.3231962467485562E-2</v>
      </c>
      <c r="K50" s="2"/>
      <c r="L50" s="2">
        <f t="shared" si="2"/>
        <v>178.38</v>
      </c>
      <c r="M50" s="2"/>
      <c r="N50" s="6">
        <f t="shared" si="3"/>
        <v>2.4590570719602973</v>
      </c>
      <c r="O50" s="14"/>
      <c r="P50" s="2">
        <f>SUM(OSRRefP22_7x_0)</f>
        <v>2717.09</v>
      </c>
      <c r="Q50" s="2"/>
      <c r="R50" s="6">
        <f t="shared" si="4"/>
        <v>4.6007408047961532E-3</v>
      </c>
      <c r="S50" s="2"/>
      <c r="T50" s="2">
        <f>SUM(OSRRefT22_7x_0)</f>
        <v>1328.16</v>
      </c>
      <c r="U50" s="2"/>
      <c r="V50" s="6">
        <f t="shared" si="5"/>
        <v>2.6238949556954973E-2</v>
      </c>
      <c r="W50" s="2"/>
      <c r="X50" s="2">
        <f t="shared" si="6"/>
        <v>1388.93</v>
      </c>
      <c r="Y50" s="2"/>
      <c r="Z50" s="6">
        <f t="shared" si="7"/>
        <v>1.0457550295145164</v>
      </c>
    </row>
    <row r="51" spans="1:26" s="69" customFormat="1" ht="15" hidden="1" customHeight="1" outlineLevel="2" x14ac:dyDescent="0.3">
      <c r="A51" s="25"/>
      <c r="B51" s="12" t="str">
        <f>CONCATENATE("          ","6351"," - ","EQUIPMENT RENTAL")</f>
        <v xml:space="preserve">          6351 - EQUIPMENT RENTAL</v>
      </c>
      <c r="C51" s="12"/>
      <c r="D51" s="8">
        <v>250.92</v>
      </c>
      <c r="E51" s="3"/>
      <c r="F51" s="7">
        <f t="shared" si="0"/>
        <v>1.6831216876454292E-3</v>
      </c>
      <c r="G51" s="3"/>
      <c r="H51" s="8">
        <v>72.540000000000006</v>
      </c>
      <c r="I51" s="3"/>
      <c r="J51" s="7">
        <f t="shared" si="1"/>
        <v>1.3231962467485562E-2</v>
      </c>
      <c r="K51" s="3"/>
      <c r="L51" s="8">
        <f t="shared" si="2"/>
        <v>178.38</v>
      </c>
      <c r="M51" s="3"/>
      <c r="N51" s="7">
        <f t="shared" si="3"/>
        <v>2.4590570719602973</v>
      </c>
      <c r="O51" s="12"/>
      <c r="P51" s="8">
        <v>2717.09</v>
      </c>
      <c r="Q51" s="3"/>
      <c r="R51" s="7">
        <f t="shared" si="4"/>
        <v>4.6007408047961532E-3</v>
      </c>
      <c r="S51" s="3"/>
      <c r="T51" s="8">
        <v>1328.16</v>
      </c>
      <c r="U51" s="3"/>
      <c r="V51" s="7">
        <f t="shared" si="5"/>
        <v>2.6238949556954973E-2</v>
      </c>
      <c r="W51" s="3"/>
      <c r="X51" s="8">
        <f t="shared" si="6"/>
        <v>1388.93</v>
      </c>
      <c r="Y51" s="3"/>
      <c r="Z51" s="7">
        <f t="shared" si="7"/>
        <v>1.0457550295145164</v>
      </c>
    </row>
    <row r="52" spans="1:26" s="68" customFormat="1" ht="15" customHeight="1" outlineLevel="1" collapsed="1" x14ac:dyDescent="0.3">
      <c r="A52" s="26"/>
      <c r="B52" s="14" t="str">
        <f>CONCATENATE("     ","General                                           ")</f>
        <v xml:space="preserve">     General                                           </v>
      </c>
      <c r="C52" s="14"/>
      <c r="D52" s="2">
        <f>SUM(OSRRefD22_8x_0)</f>
        <v>54.6</v>
      </c>
      <c r="E52" s="2"/>
      <c r="F52" s="6">
        <f t="shared" si="0"/>
        <v>3.6624599133365391E-4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54.6</v>
      </c>
      <c r="M52" s="2"/>
      <c r="N52" s="6">
        <f t="shared" si="3"/>
        <v>0</v>
      </c>
      <c r="O52" s="14"/>
      <c r="P52" s="2">
        <f>SUM(OSRRefP22_8x_0)</f>
        <v>1575.57</v>
      </c>
      <c r="Q52" s="2"/>
      <c r="R52" s="6">
        <f t="shared" si="4"/>
        <v>2.6678502330849088E-3</v>
      </c>
      <c r="S52" s="2"/>
      <c r="T52" s="2">
        <f>SUM(OSRRefT22_8x_0)</f>
        <v>2498.69</v>
      </c>
      <c r="U52" s="2"/>
      <c r="V52" s="6">
        <f t="shared" si="5"/>
        <v>4.936378212599974E-2</v>
      </c>
      <c r="W52" s="2"/>
      <c r="X52" s="2">
        <f t="shared" si="6"/>
        <v>-923.12000000000012</v>
      </c>
      <c r="Y52" s="2"/>
      <c r="Z52" s="6">
        <f t="shared" si="7"/>
        <v>-0.36944158739179334</v>
      </c>
    </row>
    <row r="53" spans="1:26" s="69" customFormat="1" ht="15" hidden="1" customHeight="1" outlineLevel="2" x14ac:dyDescent="0.3">
      <c r="A53" s="25"/>
      <c r="B53" s="12" t="str">
        <f>CONCATENATE("          ","6279"," - ","GENERAL EXPENSE")</f>
        <v xml:space="preserve">          6279 - GENERAL EXPENSE</v>
      </c>
      <c r="C53" s="12"/>
      <c r="D53" s="8">
        <v>54.6</v>
      </c>
      <c r="E53" s="3"/>
      <c r="F53" s="7">
        <f t="shared" si="0"/>
        <v>3.6624599133365391E-4</v>
      </c>
      <c r="G53" s="3"/>
      <c r="H53" s="8"/>
      <c r="I53" s="3"/>
      <c r="J53" s="7">
        <f t="shared" si="1"/>
        <v>0</v>
      </c>
      <c r="K53" s="3"/>
      <c r="L53" s="8">
        <f t="shared" si="2"/>
        <v>54.6</v>
      </c>
      <c r="M53" s="3"/>
      <c r="N53" s="7">
        <f t="shared" si="3"/>
        <v>0</v>
      </c>
      <c r="O53" s="12"/>
      <c r="P53" s="8">
        <v>1575.57</v>
      </c>
      <c r="Q53" s="3"/>
      <c r="R53" s="7">
        <f t="shared" si="4"/>
        <v>2.6678502330849088E-3</v>
      </c>
      <c r="S53" s="3"/>
      <c r="T53" s="8">
        <v>2498.69</v>
      </c>
      <c r="U53" s="3"/>
      <c r="V53" s="7">
        <f t="shared" si="5"/>
        <v>4.936378212599974E-2</v>
      </c>
      <c r="W53" s="3"/>
      <c r="X53" s="8">
        <f t="shared" si="6"/>
        <v>-923.12000000000012</v>
      </c>
      <c r="Y53" s="3"/>
      <c r="Z53" s="7">
        <f t="shared" si="7"/>
        <v>-0.36944158739179334</v>
      </c>
    </row>
    <row r="54" spans="1:26" s="68" customFormat="1" ht="15" customHeight="1" outlineLevel="1" collapsed="1" x14ac:dyDescent="0.3">
      <c r="A54" s="26"/>
      <c r="B54" s="14" t="str">
        <f>CONCATENATE("     ","Insurance                                         ")</f>
        <v xml:space="preserve">     Insurance                                         </v>
      </c>
      <c r="C54" s="14"/>
      <c r="D54" s="2">
        <f>SUM(OSRRefD22_9x_0)</f>
        <v>871.61</v>
      </c>
      <c r="E54" s="2"/>
      <c r="F54" s="6">
        <f t="shared" ref="F54:F80" si="8">IF(D$12=0,0,D54/D$12)</f>
        <v>5.8465873352806976E-3</v>
      </c>
      <c r="G54" s="2"/>
      <c r="H54" s="2">
        <f>SUM(OSRRefH22_9x_0)</f>
        <v>641.28</v>
      </c>
      <c r="I54" s="2"/>
      <c r="J54" s="6">
        <f t="shared" ref="J54:J80" si="9">IF(H$12=0,0,H54/H$12)</f>
        <v>0.11697536381512463</v>
      </c>
      <c r="K54" s="2"/>
      <c r="L54" s="2">
        <f t="shared" ref="L54:L80" si="10">+D54-H54</f>
        <v>230.33000000000004</v>
      </c>
      <c r="M54" s="2"/>
      <c r="N54" s="6">
        <f t="shared" ref="N54:N80" si="11">IF(H54=0,0,L54/H54)</f>
        <v>0.35917228043912186</v>
      </c>
      <c r="O54" s="14"/>
      <c r="P54" s="2">
        <f>SUM(OSRRefP22_9x_0)</f>
        <v>7844.49</v>
      </c>
      <c r="Q54" s="2"/>
      <c r="R54" s="6">
        <f t="shared" ref="R54:R80" si="12">IF(P$12=0,0,P54/P$12)</f>
        <v>1.328276399965234E-2</v>
      </c>
      <c r="S54" s="2"/>
      <c r="T54" s="2">
        <f>SUM(OSRRefT22_9x_0)</f>
        <v>5771.52</v>
      </c>
      <c r="U54" s="2"/>
      <c r="V54" s="6">
        <f t="shared" ref="V54:V80" si="13">IF(T$12=0,0,T54/T$12)</f>
        <v>0.11402136952397057</v>
      </c>
      <c r="W54" s="2"/>
      <c r="X54" s="2">
        <f t="shared" ref="X54:X80" si="14">+P54-T54</f>
        <v>2072.9699999999993</v>
      </c>
      <c r="Y54" s="2"/>
      <c r="Z54" s="6">
        <f t="shared" ref="Z54:Z80" si="15">IF(T54=0,0,X54/T54)</f>
        <v>0.35917228043912164</v>
      </c>
    </row>
    <row r="55" spans="1:26" s="69" customFormat="1" ht="15" hidden="1" customHeight="1" outlineLevel="2" x14ac:dyDescent="0.3">
      <c r="A55" s="25"/>
      <c r="B55" s="12" t="str">
        <f>CONCATENATE("          ","6314"," - ","LIABILITY INSURANCE")</f>
        <v xml:space="preserve">          6314 - LIABILITY INSURANCE</v>
      </c>
      <c r="C55" s="12"/>
      <c r="D55" s="8">
        <v>871.61</v>
      </c>
      <c r="E55" s="3"/>
      <c r="F55" s="7">
        <f t="shared" si="8"/>
        <v>5.8465873352806976E-3</v>
      </c>
      <c r="G55" s="3"/>
      <c r="H55" s="8">
        <v>641.28</v>
      </c>
      <c r="I55" s="3"/>
      <c r="J55" s="7">
        <f t="shared" si="9"/>
        <v>0.11697536381512463</v>
      </c>
      <c r="K55" s="3"/>
      <c r="L55" s="8">
        <f t="shared" si="10"/>
        <v>230.33000000000004</v>
      </c>
      <c r="M55" s="3"/>
      <c r="N55" s="7">
        <f t="shared" si="11"/>
        <v>0.35917228043912186</v>
      </c>
      <c r="O55" s="12"/>
      <c r="P55" s="8">
        <v>7844.49</v>
      </c>
      <c r="Q55" s="3"/>
      <c r="R55" s="7">
        <f t="shared" si="12"/>
        <v>1.328276399965234E-2</v>
      </c>
      <c r="S55" s="3"/>
      <c r="T55" s="8">
        <v>5771.52</v>
      </c>
      <c r="U55" s="3"/>
      <c r="V55" s="7">
        <f t="shared" si="13"/>
        <v>0.11402136952397057</v>
      </c>
      <c r="W55" s="3"/>
      <c r="X55" s="8">
        <f t="shared" si="14"/>
        <v>2072.9699999999993</v>
      </c>
      <c r="Y55" s="3"/>
      <c r="Z55" s="7">
        <f t="shared" si="15"/>
        <v>0.35917228043912164</v>
      </c>
    </row>
    <row r="56" spans="1:26" s="68" customFormat="1" ht="15" customHeight="1" outlineLevel="1" collapsed="1" x14ac:dyDescent="0.3">
      <c r="A56" s="26"/>
      <c r="B56" s="14" t="str">
        <f>CONCATENATE("     ","Interest                                          ")</f>
        <v xml:space="preserve">     Interest                                          </v>
      </c>
      <c r="C56" s="14"/>
      <c r="D56" s="2">
        <f>SUM(OSRRefD22_10x_0)</f>
        <v>7253</v>
      </c>
      <c r="E56" s="2"/>
      <c r="F56" s="6">
        <f t="shared" si="8"/>
        <v>4.8651688189432087E-2</v>
      </c>
      <c r="G56" s="2"/>
      <c r="H56" s="2">
        <f>SUM(OSRRefH22_10x_0)</f>
        <v>7510</v>
      </c>
      <c r="I56" s="2"/>
      <c r="J56" s="6">
        <f t="shared" si="9"/>
        <v>1.3698929987705619</v>
      </c>
      <c r="K56" s="2"/>
      <c r="L56" s="2">
        <f t="shared" si="10"/>
        <v>-257</v>
      </c>
      <c r="M56" s="2"/>
      <c r="N56" s="6">
        <f t="shared" si="11"/>
        <v>-3.4221038615179764E-2</v>
      </c>
      <c r="O56" s="14"/>
      <c r="P56" s="2">
        <f>SUM(OSRRefP22_10x_0)</f>
        <v>64763</v>
      </c>
      <c r="Q56" s="2"/>
      <c r="R56" s="6">
        <f t="shared" si="12"/>
        <v>0.10966062101035051</v>
      </c>
      <c r="S56" s="2"/>
      <c r="T56" s="2">
        <f>SUM(OSRRefT22_10x_0)</f>
        <v>67103.149999999994</v>
      </c>
      <c r="U56" s="2"/>
      <c r="V56" s="6">
        <f t="shared" si="13"/>
        <v>1.3256807673494029</v>
      </c>
      <c r="W56" s="2"/>
      <c r="X56" s="2">
        <f t="shared" si="14"/>
        <v>-2340.1499999999942</v>
      </c>
      <c r="Y56" s="2"/>
      <c r="Z56" s="6">
        <f t="shared" si="15"/>
        <v>-3.4873921716044545E-2</v>
      </c>
    </row>
    <row r="57" spans="1:26" s="69" customFormat="1" ht="15" hidden="1" customHeight="1" outlineLevel="2" x14ac:dyDescent="0.3">
      <c r="A57" s="25"/>
      <c r="B57" s="12" t="str">
        <f>CONCATENATE("          ","6401"," - ","INTEREST EXPENSE")</f>
        <v xml:space="preserve">          6401 - INTEREST EXPENSE</v>
      </c>
      <c r="C57" s="12"/>
      <c r="D57" s="8">
        <v>7253</v>
      </c>
      <c r="E57" s="3"/>
      <c r="F57" s="7">
        <f t="shared" si="8"/>
        <v>4.8651688189432087E-2</v>
      </c>
      <c r="G57" s="3"/>
      <c r="H57" s="8">
        <v>7510</v>
      </c>
      <c r="I57" s="3"/>
      <c r="J57" s="7">
        <f t="shared" si="9"/>
        <v>1.3698929987705619</v>
      </c>
      <c r="K57" s="3"/>
      <c r="L57" s="8">
        <f t="shared" si="10"/>
        <v>-257</v>
      </c>
      <c r="M57" s="3"/>
      <c r="N57" s="7">
        <f t="shared" si="11"/>
        <v>-3.4221038615179764E-2</v>
      </c>
      <c r="O57" s="12"/>
      <c r="P57" s="8">
        <v>64763</v>
      </c>
      <c r="Q57" s="3"/>
      <c r="R57" s="7">
        <f t="shared" si="12"/>
        <v>0.10966062101035051</v>
      </c>
      <c r="S57" s="3"/>
      <c r="T57" s="8">
        <v>67103.149999999994</v>
      </c>
      <c r="U57" s="3"/>
      <c r="V57" s="7">
        <f t="shared" si="13"/>
        <v>1.3256807673494029</v>
      </c>
      <c r="W57" s="3"/>
      <c r="X57" s="8">
        <f t="shared" si="14"/>
        <v>-2340.1499999999942</v>
      </c>
      <c r="Y57" s="3"/>
      <c r="Z57" s="7">
        <f t="shared" si="15"/>
        <v>-3.4873921716044545E-2</v>
      </c>
    </row>
    <row r="58" spans="1:26" s="68" customFormat="1" ht="15" customHeight="1" outlineLevel="1" collapsed="1" x14ac:dyDescent="0.3">
      <c r="A58" s="26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SUM(OSRRefD22_11x_0)</f>
        <v>1235.1399999999999</v>
      </c>
      <c r="E58" s="2"/>
      <c r="F58" s="6">
        <f t="shared" si="8"/>
        <v>8.2850746105466895E-3</v>
      </c>
      <c r="G58" s="2"/>
      <c r="H58" s="2">
        <f>SUM(OSRRefH22_11x_0)</f>
        <v>6886.58</v>
      </c>
      <c r="I58" s="2"/>
      <c r="J58" s="6">
        <f t="shared" si="9"/>
        <v>1.2561754630457227</v>
      </c>
      <c r="K58" s="2"/>
      <c r="L58" s="2">
        <f t="shared" si="10"/>
        <v>-5651.4400000000005</v>
      </c>
      <c r="M58" s="2"/>
      <c r="N58" s="6">
        <f t="shared" si="11"/>
        <v>-0.82064537114213454</v>
      </c>
      <c r="O58" s="14"/>
      <c r="P58" s="2">
        <f>SUM(OSRRefP22_11x_0)</f>
        <v>25116.23</v>
      </c>
      <c r="Q58" s="2"/>
      <c r="R58" s="6">
        <f t="shared" si="12"/>
        <v>4.2528316774065371E-2</v>
      </c>
      <c r="S58" s="2"/>
      <c r="T58" s="2">
        <f>SUM(OSRRefT22_11x_0)</f>
        <v>22644.28</v>
      </c>
      <c r="U58" s="2"/>
      <c r="V58" s="6">
        <f t="shared" si="13"/>
        <v>0.44735733697262697</v>
      </c>
      <c r="W58" s="2"/>
      <c r="X58" s="2">
        <f t="shared" si="14"/>
        <v>2471.9500000000007</v>
      </c>
      <c r="Y58" s="2"/>
      <c r="Z58" s="6">
        <f t="shared" si="15"/>
        <v>0.10916443357881112</v>
      </c>
    </row>
    <row r="59" spans="1:26" s="69" customFormat="1" ht="15" hidden="1" customHeight="1" outlineLevel="2" x14ac:dyDescent="0.3">
      <c r="A59" s="25"/>
      <c r="B59" s="12" t="str">
        <f>CONCATENATE("          ","6373"," - ","MAINTENANCE CONTRACTS")</f>
        <v xml:space="preserve">          6373 - MAINTENANCE CONTRACTS</v>
      </c>
      <c r="C59" s="12"/>
      <c r="D59" s="8">
        <v>700.03</v>
      </c>
      <c r="E59" s="3"/>
      <c r="F59" s="7">
        <f t="shared" si="8"/>
        <v>4.6956626614157093E-3</v>
      </c>
      <c r="G59" s="3"/>
      <c r="H59" s="8">
        <v>871.52</v>
      </c>
      <c r="I59" s="3"/>
      <c r="J59" s="7">
        <f t="shared" si="9"/>
        <v>0.15897325516491614</v>
      </c>
      <c r="K59" s="3"/>
      <c r="L59" s="8">
        <f t="shared" si="10"/>
        <v>-171.49</v>
      </c>
      <c r="M59" s="3"/>
      <c r="N59" s="7">
        <f t="shared" si="11"/>
        <v>-0.19677115843583626</v>
      </c>
      <c r="O59" s="12"/>
      <c r="P59" s="8">
        <v>4153.59</v>
      </c>
      <c r="Q59" s="3"/>
      <c r="R59" s="7">
        <f t="shared" si="12"/>
        <v>7.0331093189380019E-3</v>
      </c>
      <c r="S59" s="3"/>
      <c r="T59" s="8">
        <v>7467.86</v>
      </c>
      <c r="U59" s="3"/>
      <c r="V59" s="7">
        <f t="shared" si="13"/>
        <v>0.14753403342850391</v>
      </c>
      <c r="W59" s="3"/>
      <c r="X59" s="8">
        <f t="shared" si="14"/>
        <v>-3314.2699999999995</v>
      </c>
      <c r="Y59" s="3"/>
      <c r="Z59" s="7">
        <f t="shared" si="15"/>
        <v>-0.4438045169566649</v>
      </c>
    </row>
    <row r="60" spans="1:26" s="69" customFormat="1" ht="15" hidden="1" customHeight="1" outlineLevel="2" x14ac:dyDescent="0.3">
      <c r="A60" s="25"/>
      <c r="B60" s="12" t="str">
        <f>CONCATENATE("          ","6375"," - ","OUTSIDE REPAIRS &amp; MAINTENANCE")</f>
        <v xml:space="preserve">          6375 - OUTSIDE REPAIRS &amp; MAINTENANCE</v>
      </c>
      <c r="C60" s="12"/>
      <c r="D60" s="8">
        <v>535.11</v>
      </c>
      <c r="E60" s="3"/>
      <c r="F60" s="7">
        <f t="shared" si="8"/>
        <v>3.5894119491309807E-3</v>
      </c>
      <c r="G60" s="3"/>
      <c r="H60" s="8">
        <v>6015.06</v>
      </c>
      <c r="I60" s="3"/>
      <c r="J60" s="7">
        <f t="shared" si="9"/>
        <v>1.0972022078808066</v>
      </c>
      <c r="K60" s="3"/>
      <c r="L60" s="8">
        <f t="shared" si="10"/>
        <v>-5479.9500000000007</v>
      </c>
      <c r="M60" s="3"/>
      <c r="N60" s="7">
        <f t="shared" si="11"/>
        <v>-0.91103829388235535</v>
      </c>
      <c r="O60" s="12"/>
      <c r="P60" s="8">
        <v>20962.64</v>
      </c>
      <c r="Q60" s="3"/>
      <c r="R60" s="7">
        <f t="shared" si="12"/>
        <v>3.5495207455127374E-2</v>
      </c>
      <c r="S60" s="3"/>
      <c r="T60" s="8">
        <v>15176.42</v>
      </c>
      <c r="U60" s="3"/>
      <c r="V60" s="7">
        <f t="shared" si="13"/>
        <v>0.29982330354412312</v>
      </c>
      <c r="W60" s="3"/>
      <c r="X60" s="8">
        <f t="shared" si="14"/>
        <v>5786.2199999999993</v>
      </c>
      <c r="Y60" s="3"/>
      <c r="Z60" s="7">
        <f t="shared" si="15"/>
        <v>0.38126382901896488</v>
      </c>
    </row>
    <row r="61" spans="1:26" s="68" customFormat="1" ht="15" customHeight="1" outlineLevel="1" collapsed="1" x14ac:dyDescent="0.3">
      <c r="A61" s="26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SUM(OSRRefD22_12x_0)</f>
        <v>4799.03</v>
      </c>
      <c r="E61" s="2"/>
      <c r="F61" s="6">
        <f t="shared" si="8"/>
        <v>3.2190943219596063E-2</v>
      </c>
      <c r="G61" s="2"/>
      <c r="H61" s="2">
        <f>SUM(OSRRefH22_12x_0)</f>
        <v>-2676.7</v>
      </c>
      <c r="I61" s="2"/>
      <c r="J61" s="6">
        <f t="shared" si="9"/>
        <v>-0.48825467241133996</v>
      </c>
      <c r="K61" s="2"/>
      <c r="L61" s="2">
        <f t="shared" si="10"/>
        <v>7475.73</v>
      </c>
      <c r="M61" s="2"/>
      <c r="N61" s="6">
        <f t="shared" si="11"/>
        <v>-2.7928904994956478</v>
      </c>
      <c r="O61" s="14"/>
      <c r="P61" s="2">
        <f>SUM(OSRRefP22_12x_0)</f>
        <v>45540.53</v>
      </c>
      <c r="Q61" s="2"/>
      <c r="R61" s="6">
        <f t="shared" si="12"/>
        <v>7.7111974444366349E-2</v>
      </c>
      <c r="S61" s="2"/>
      <c r="T61" s="2">
        <f>SUM(OSRRefT22_12x_0)</f>
        <v>21219.43</v>
      </c>
      <c r="U61" s="2"/>
      <c r="V61" s="6">
        <f t="shared" si="13"/>
        <v>0.41920819283620725</v>
      </c>
      <c r="W61" s="2"/>
      <c r="X61" s="2">
        <f t="shared" si="14"/>
        <v>24321.1</v>
      </c>
      <c r="Y61" s="2"/>
      <c r="Z61" s="6">
        <f t="shared" si="15"/>
        <v>1.1461712213758803</v>
      </c>
    </row>
    <row r="62" spans="1:26" s="69" customFormat="1" ht="15" hidden="1" customHeight="1" outlineLevel="2" x14ac:dyDescent="0.3">
      <c r="A62" s="25"/>
      <c r="B62" s="12" t="str">
        <f>CONCATENATE("          ","6282"," - ","JANITORIAL/EXTERMINATOR EXPENS")</f>
        <v xml:space="preserve">          6282 - JANITORIAL/EXTERMINATOR EXPENS</v>
      </c>
      <c r="C62" s="12"/>
      <c r="D62" s="8">
        <v>351.55</v>
      </c>
      <c r="E62" s="3"/>
      <c r="F62" s="7">
        <f t="shared" si="8"/>
        <v>2.3581278068378394E-3</v>
      </c>
      <c r="G62" s="3"/>
      <c r="H62" s="8">
        <v>328.54</v>
      </c>
      <c r="I62" s="3"/>
      <c r="J62" s="7">
        <f t="shared" si="9"/>
        <v>5.9928714489491407E-2</v>
      </c>
      <c r="K62" s="3"/>
      <c r="L62" s="8">
        <f t="shared" si="10"/>
        <v>23.009999999999991</v>
      </c>
      <c r="M62" s="3"/>
      <c r="N62" s="7">
        <f t="shared" si="11"/>
        <v>7.003713398672913E-2</v>
      </c>
      <c r="O62" s="12"/>
      <c r="P62" s="8">
        <v>2812.4</v>
      </c>
      <c r="Q62" s="3"/>
      <c r="R62" s="7">
        <f t="shared" si="12"/>
        <v>4.7621254501723177E-3</v>
      </c>
      <c r="S62" s="3"/>
      <c r="T62" s="8">
        <v>3108.73</v>
      </c>
      <c r="U62" s="3"/>
      <c r="V62" s="7">
        <f t="shared" si="13"/>
        <v>6.1415649964004809E-2</v>
      </c>
      <c r="W62" s="3"/>
      <c r="X62" s="8">
        <f t="shared" si="14"/>
        <v>-296.32999999999993</v>
      </c>
      <c r="Y62" s="3"/>
      <c r="Z62" s="7">
        <f t="shared" si="15"/>
        <v>-9.5321883856108416E-2</v>
      </c>
    </row>
    <row r="63" spans="1:26" s="69" customFormat="1" ht="15" hidden="1" customHeight="1" outlineLevel="2" x14ac:dyDescent="0.3">
      <c r="A63" s="25"/>
      <c r="B63" s="12" t="str">
        <f>CONCATENATE("          ","6284"," - ","TRASH REMOVAL EXPENSE")</f>
        <v xml:space="preserve">          6284 - TRASH REMOVAL EXPENSE</v>
      </c>
      <c r="C63" s="12"/>
      <c r="D63" s="8"/>
      <c r="E63" s="3"/>
      <c r="F63" s="7">
        <f t="shared" si="8"/>
        <v>0</v>
      </c>
      <c r="G63" s="3"/>
      <c r="H63" s="8">
        <v>-4698</v>
      </c>
      <c r="I63" s="3"/>
      <c r="J63" s="7">
        <f t="shared" si="9"/>
        <v>-0.85695836327884156</v>
      </c>
      <c r="K63" s="3"/>
      <c r="L63" s="8">
        <f t="shared" si="10"/>
        <v>4698</v>
      </c>
      <c r="M63" s="3"/>
      <c r="N63" s="7">
        <f t="shared" si="11"/>
        <v>-1</v>
      </c>
      <c r="O63" s="12"/>
      <c r="P63" s="8"/>
      <c r="Q63" s="3"/>
      <c r="R63" s="7">
        <f t="shared" si="12"/>
        <v>0</v>
      </c>
      <c r="S63" s="3"/>
      <c r="T63" s="8">
        <v>3063</v>
      </c>
      <c r="U63" s="3"/>
      <c r="V63" s="7">
        <f t="shared" si="13"/>
        <v>6.0512214261047671E-2</v>
      </c>
      <c r="W63" s="3"/>
      <c r="X63" s="8">
        <f t="shared" si="14"/>
        <v>-3063</v>
      </c>
      <c r="Y63" s="3"/>
      <c r="Z63" s="7">
        <f t="shared" si="15"/>
        <v>-1</v>
      </c>
    </row>
    <row r="64" spans="1:26" s="69" customFormat="1" ht="15" hidden="1" customHeight="1" outlineLevel="2" x14ac:dyDescent="0.3">
      <c r="A64" s="25"/>
      <c r="B64" s="12" t="str">
        <f>CONCATENATE("          ","6285"," - ","JANITORIAL SERVICES")</f>
        <v xml:space="preserve">          6285 - JANITORIAL SERVICES</v>
      </c>
      <c r="C64" s="12"/>
      <c r="D64" s="8">
        <v>4060.07</v>
      </c>
      <c r="E64" s="3"/>
      <c r="F64" s="7">
        <f t="shared" si="8"/>
        <v>2.7234145824799053E-2</v>
      </c>
      <c r="G64" s="3"/>
      <c r="H64" s="8">
        <v>1692.76</v>
      </c>
      <c r="I64" s="3"/>
      <c r="J64" s="7">
        <f t="shared" si="9"/>
        <v>0.30877497637801021</v>
      </c>
      <c r="K64" s="3"/>
      <c r="L64" s="8">
        <f t="shared" si="10"/>
        <v>2367.3100000000004</v>
      </c>
      <c r="M64" s="3"/>
      <c r="N64" s="7">
        <f t="shared" si="11"/>
        <v>1.3984912214371799</v>
      </c>
      <c r="O64" s="12"/>
      <c r="P64" s="8">
        <v>40213.86</v>
      </c>
      <c r="Q64" s="3"/>
      <c r="R64" s="7">
        <f t="shared" si="12"/>
        <v>6.8092535256601666E-2</v>
      </c>
      <c r="S64" s="3"/>
      <c r="T64" s="8">
        <v>14463.57</v>
      </c>
      <c r="U64" s="3"/>
      <c r="V64" s="7">
        <f t="shared" si="13"/>
        <v>0.28574033523332071</v>
      </c>
      <c r="W64" s="3"/>
      <c r="X64" s="8">
        <f t="shared" si="14"/>
        <v>25750.29</v>
      </c>
      <c r="Y64" s="3"/>
      <c r="Z64" s="7">
        <f t="shared" si="15"/>
        <v>1.7803550575687745</v>
      </c>
    </row>
    <row r="65" spans="1:26" s="69" customFormat="1" ht="15" hidden="1" customHeight="1" outlineLevel="2" x14ac:dyDescent="0.3">
      <c r="A65" s="25"/>
      <c r="B65" s="12" t="str">
        <f>CONCATENATE("          ","6286"," - ","LAUNDRY EXPENSE")</f>
        <v xml:space="preserve">          6286 - LAUNDRY EXPENSE</v>
      </c>
      <c r="C65" s="12"/>
      <c r="D65" s="8">
        <v>387.41</v>
      </c>
      <c r="E65" s="3"/>
      <c r="F65" s="7">
        <f t="shared" si="8"/>
        <v>2.5986695879591736E-3</v>
      </c>
      <c r="G65" s="3"/>
      <c r="H65" s="8"/>
      <c r="I65" s="3"/>
      <c r="J65" s="7">
        <f t="shared" si="9"/>
        <v>0</v>
      </c>
      <c r="K65" s="3"/>
      <c r="L65" s="8">
        <f t="shared" si="10"/>
        <v>387.41</v>
      </c>
      <c r="M65" s="3"/>
      <c r="N65" s="7">
        <f t="shared" si="11"/>
        <v>0</v>
      </c>
      <c r="O65" s="12"/>
      <c r="P65" s="8">
        <v>2514.27</v>
      </c>
      <c r="Q65" s="3"/>
      <c r="R65" s="7">
        <f t="shared" si="12"/>
        <v>4.2573137375923591E-3</v>
      </c>
      <c r="S65" s="3"/>
      <c r="T65" s="8">
        <v>584.13</v>
      </c>
      <c r="U65" s="3"/>
      <c r="V65" s="7">
        <f t="shared" si="13"/>
        <v>1.1539993377834077E-2</v>
      </c>
      <c r="W65" s="3"/>
      <c r="X65" s="8">
        <f t="shared" si="14"/>
        <v>1930.1399999999999</v>
      </c>
      <c r="Y65" s="3"/>
      <c r="Z65" s="7">
        <f t="shared" si="15"/>
        <v>3.3042987006317084</v>
      </c>
    </row>
    <row r="66" spans="1:26" s="68" customFormat="1" ht="15" customHeight="1" outlineLevel="1" collapsed="1" x14ac:dyDescent="0.3">
      <c r="A66" s="26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SUM(OSRRefD22_13x_0)</f>
        <v>339.47</v>
      </c>
      <c r="E66" s="2"/>
      <c r="F66" s="6">
        <f t="shared" si="8"/>
        <v>2.2770975582057785E-3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339.47</v>
      </c>
      <c r="M66" s="2"/>
      <c r="N66" s="6">
        <f t="shared" si="11"/>
        <v>0</v>
      </c>
      <c r="O66" s="14"/>
      <c r="P66" s="2">
        <f>SUM(OSRRefP22_13x_0)</f>
        <v>3567</v>
      </c>
      <c r="Q66" s="2"/>
      <c r="R66" s="6">
        <f t="shared" si="12"/>
        <v>6.0398597215064196E-3</v>
      </c>
      <c r="S66" s="2"/>
      <c r="T66" s="2">
        <f>SUM(OSRRefT22_13x_0)</f>
        <v>797.01</v>
      </c>
      <c r="U66" s="2"/>
      <c r="V66" s="6">
        <f t="shared" si="13"/>
        <v>1.5745621902774273E-2</v>
      </c>
      <c r="W66" s="2"/>
      <c r="X66" s="2">
        <f t="shared" si="14"/>
        <v>2769.99</v>
      </c>
      <c r="Y66" s="2"/>
      <c r="Z66" s="6">
        <f t="shared" si="15"/>
        <v>3.475477095644973</v>
      </c>
    </row>
    <row r="67" spans="1:26" s="69" customFormat="1" ht="15" hidden="1" customHeight="1" outlineLevel="2" x14ac:dyDescent="0.3">
      <c r="A67" s="25"/>
      <c r="B67" s="12" t="str">
        <f>CONCATENATE("          ","6275"," - ","SUBSCRIPTIONS")</f>
        <v xml:space="preserve">          6275 - SUBSCRIPTIONS</v>
      </c>
      <c r="C67" s="12"/>
      <c r="D67" s="8">
        <v>339.47</v>
      </c>
      <c r="E67" s="3"/>
      <c r="F67" s="7">
        <f t="shared" si="8"/>
        <v>2.2770975582057785E-3</v>
      </c>
      <c r="G67" s="3"/>
      <c r="H67" s="8"/>
      <c r="I67" s="3"/>
      <c r="J67" s="7">
        <f t="shared" si="9"/>
        <v>0</v>
      </c>
      <c r="K67" s="3"/>
      <c r="L67" s="8">
        <f t="shared" si="10"/>
        <v>339.47</v>
      </c>
      <c r="M67" s="3"/>
      <c r="N67" s="7">
        <f t="shared" si="11"/>
        <v>0</v>
      </c>
      <c r="O67" s="12"/>
      <c r="P67" s="8">
        <v>3567</v>
      </c>
      <c r="Q67" s="3"/>
      <c r="R67" s="7">
        <f t="shared" si="12"/>
        <v>6.0398597215064196E-3</v>
      </c>
      <c r="S67" s="3"/>
      <c r="T67" s="8">
        <v>797.01</v>
      </c>
      <c r="U67" s="3"/>
      <c r="V67" s="7">
        <f t="shared" si="13"/>
        <v>1.5745621902774273E-2</v>
      </c>
      <c r="W67" s="3"/>
      <c r="X67" s="8">
        <f t="shared" si="14"/>
        <v>2769.99</v>
      </c>
      <c r="Y67" s="3"/>
      <c r="Z67" s="7">
        <f t="shared" si="15"/>
        <v>3.475477095644973</v>
      </c>
    </row>
    <row r="68" spans="1:26" s="68" customFormat="1" ht="15" customHeight="1" outlineLevel="1" collapsed="1" x14ac:dyDescent="0.3">
      <c r="A68" s="26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SUM(OSRRefD22_14x_0)</f>
        <v>1460.22</v>
      </c>
      <c r="E68" s="2"/>
      <c r="F68" s="6">
        <f t="shared" si="8"/>
        <v>9.7948666935023469E-3</v>
      </c>
      <c r="G68" s="2"/>
      <c r="H68" s="2">
        <f>SUM(OSRRefH22_14x_0)</f>
        <v>94.92</v>
      </c>
      <c r="I68" s="2"/>
      <c r="J68" s="6">
        <f t="shared" si="9"/>
        <v>1.7314280085659352E-2</v>
      </c>
      <c r="K68" s="2"/>
      <c r="L68" s="2">
        <f t="shared" si="10"/>
        <v>1365.3</v>
      </c>
      <c r="M68" s="2"/>
      <c r="N68" s="6">
        <f t="shared" si="11"/>
        <v>14.383691529709228</v>
      </c>
      <c r="O68" s="14"/>
      <c r="P68" s="2">
        <f>SUM(OSRRefP22_14x_0)</f>
        <v>13437.869999999999</v>
      </c>
      <c r="Q68" s="2"/>
      <c r="R68" s="6">
        <f t="shared" si="12"/>
        <v>2.2753812659332625E-2</v>
      </c>
      <c r="S68" s="2"/>
      <c r="T68" s="2">
        <f>SUM(OSRRefT22_14x_0)</f>
        <v>7751.9299999999994</v>
      </c>
      <c r="U68" s="2"/>
      <c r="V68" s="6">
        <f t="shared" si="13"/>
        <v>0.1531460819773566</v>
      </c>
      <c r="W68" s="2"/>
      <c r="X68" s="2">
        <f t="shared" si="14"/>
        <v>5685.94</v>
      </c>
      <c r="Y68" s="2"/>
      <c r="Z68" s="6">
        <f t="shared" si="15"/>
        <v>0.73348701549162598</v>
      </c>
    </row>
    <row r="69" spans="1:26" s="69" customFormat="1" ht="15" hidden="1" customHeight="1" outlineLevel="2" x14ac:dyDescent="0.3">
      <c r="A69" s="25"/>
      <c r="B69" s="12" t="str">
        <f>CONCATENATE("          ","6234"," - ","EXPENDABLE SUPPLIES &amp; EQUIPMEN")</f>
        <v xml:space="preserve">          6234 - EXPENDABLE SUPPLIES &amp; EQUIPMEN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57.77</v>
      </c>
      <c r="Q69" s="3"/>
      <c r="R69" s="7">
        <f t="shared" si="12"/>
        <v>9.7819651278784951E-5</v>
      </c>
      <c r="S69" s="3"/>
      <c r="T69" s="8">
        <v>310.91000000000003</v>
      </c>
      <c r="U69" s="3"/>
      <c r="V69" s="7">
        <f t="shared" si="13"/>
        <v>6.1422959634026553E-3</v>
      </c>
      <c r="W69" s="3"/>
      <c r="X69" s="8">
        <f t="shared" si="14"/>
        <v>-253.14000000000001</v>
      </c>
      <c r="Y69" s="3"/>
      <c r="Z69" s="7">
        <f t="shared" si="15"/>
        <v>-0.81419060178186609</v>
      </c>
    </row>
    <row r="70" spans="1:26" s="69" customFormat="1" ht="15" hidden="1" customHeight="1" outlineLevel="2" x14ac:dyDescent="0.3">
      <c r="A70" s="25"/>
      <c r="B70" s="12" t="str">
        <f>CONCATENATE("          ","6235"," - ","COVID-19 EXPENSES")</f>
        <v xml:space="preserve">          6235 - COVID-19 EXPENSES</v>
      </c>
      <c r="C70" s="12"/>
      <c r="D70" s="8">
        <v>35.72</v>
      </c>
      <c r="E70" s="3"/>
      <c r="F70" s="7">
        <f t="shared" si="8"/>
        <v>2.3960268883586294E-4</v>
      </c>
      <c r="G70" s="3"/>
      <c r="H70" s="8"/>
      <c r="I70" s="3"/>
      <c r="J70" s="7">
        <f t="shared" si="9"/>
        <v>0</v>
      </c>
      <c r="K70" s="3"/>
      <c r="L70" s="8">
        <f t="shared" si="10"/>
        <v>35.72</v>
      </c>
      <c r="M70" s="3"/>
      <c r="N70" s="7">
        <f t="shared" si="11"/>
        <v>0</v>
      </c>
      <c r="O70" s="12"/>
      <c r="P70" s="8">
        <v>35.72</v>
      </c>
      <c r="Q70" s="3"/>
      <c r="R70" s="7">
        <f t="shared" si="12"/>
        <v>6.0483260233307908E-5</v>
      </c>
      <c r="S70" s="3"/>
      <c r="T70" s="8">
        <v>6753.97</v>
      </c>
      <c r="U70" s="3"/>
      <c r="V70" s="7">
        <f t="shared" si="13"/>
        <v>0.13343051901818093</v>
      </c>
      <c r="W70" s="3"/>
      <c r="X70" s="8">
        <f t="shared" si="14"/>
        <v>-6718.25</v>
      </c>
      <c r="Y70" s="3"/>
      <c r="Z70" s="7">
        <f t="shared" si="15"/>
        <v>-0.99471125871154298</v>
      </c>
    </row>
    <row r="71" spans="1:26" s="69" customFormat="1" ht="15" hidden="1" customHeight="1" outlineLevel="2" x14ac:dyDescent="0.3">
      <c r="A71" s="25"/>
      <c r="B71" s="12" t="str">
        <f>CONCATENATE("          ","6237"," - ","JANITORIAL SUPPLIES")</f>
        <v xml:space="preserve">          6237 - JANITORIAL SUPPLIES</v>
      </c>
      <c r="C71" s="12"/>
      <c r="D71" s="8">
        <v>414.52</v>
      </c>
      <c r="E71" s="3"/>
      <c r="F71" s="7">
        <f t="shared" si="8"/>
        <v>2.7805181012385753E-3</v>
      </c>
      <c r="G71" s="3"/>
      <c r="H71" s="8"/>
      <c r="I71" s="3"/>
      <c r="J71" s="7">
        <f t="shared" si="9"/>
        <v>0</v>
      </c>
      <c r="K71" s="3"/>
      <c r="L71" s="8">
        <f t="shared" si="10"/>
        <v>414.52</v>
      </c>
      <c r="M71" s="3"/>
      <c r="N71" s="7">
        <f t="shared" si="11"/>
        <v>0</v>
      </c>
      <c r="O71" s="12"/>
      <c r="P71" s="8">
        <v>6029.74</v>
      </c>
      <c r="Q71" s="3"/>
      <c r="R71" s="7">
        <f t="shared" si="12"/>
        <v>1.0209919752496809E-2</v>
      </c>
      <c r="S71" s="3"/>
      <c r="T71" s="8">
        <v>286.91000000000003</v>
      </c>
      <c r="U71" s="3"/>
      <c r="V71" s="7">
        <f t="shared" si="13"/>
        <v>5.6681552052357783E-3</v>
      </c>
      <c r="W71" s="3"/>
      <c r="X71" s="8">
        <f t="shared" si="14"/>
        <v>5742.83</v>
      </c>
      <c r="Y71" s="3"/>
      <c r="Z71" s="7">
        <f t="shared" si="15"/>
        <v>20.016137464710187</v>
      </c>
    </row>
    <row r="72" spans="1:26" s="69" customFormat="1" ht="15" hidden="1" customHeight="1" outlineLevel="2" x14ac:dyDescent="0.3">
      <c r="A72" s="25"/>
      <c r="B72" s="12" t="str">
        <f>CONCATENATE("          ","6239"," - ","KITCHEN SUPPLIES")</f>
        <v xml:space="preserve">          6239 - KITCHEN SUPPLIES</v>
      </c>
      <c r="C72" s="12"/>
      <c r="D72" s="8">
        <v>877.18</v>
      </c>
      <c r="E72" s="3"/>
      <c r="F72" s="7">
        <f t="shared" si="8"/>
        <v>5.8839497926383615E-3</v>
      </c>
      <c r="G72" s="3"/>
      <c r="H72" s="8"/>
      <c r="I72" s="3"/>
      <c r="J72" s="7">
        <f t="shared" si="9"/>
        <v>0</v>
      </c>
      <c r="K72" s="3"/>
      <c r="L72" s="8">
        <f t="shared" si="10"/>
        <v>877.18</v>
      </c>
      <c r="M72" s="3"/>
      <c r="N72" s="7">
        <f t="shared" si="11"/>
        <v>0</v>
      </c>
      <c r="O72" s="12"/>
      <c r="P72" s="8">
        <v>2486.7800000000002</v>
      </c>
      <c r="Q72" s="3"/>
      <c r="R72" s="7">
        <f t="shared" si="12"/>
        <v>4.2107660101619671E-3</v>
      </c>
      <c r="S72" s="3"/>
      <c r="T72" s="8">
        <v>19.829999999999998</v>
      </c>
      <c r="U72" s="3"/>
      <c r="V72" s="7">
        <f t="shared" si="13"/>
        <v>3.9175880143538206E-4</v>
      </c>
      <c r="W72" s="3"/>
      <c r="X72" s="8">
        <f t="shared" si="14"/>
        <v>2466.9500000000003</v>
      </c>
      <c r="Y72" s="3"/>
      <c r="Z72" s="7">
        <f t="shared" si="15"/>
        <v>124.40494200706003</v>
      </c>
    </row>
    <row r="73" spans="1:26" s="69" customFormat="1" ht="15" hidden="1" customHeight="1" outlineLevel="2" x14ac:dyDescent="0.3">
      <c r="A73" s="25"/>
      <c r="B73" s="12" t="str">
        <f>CONCATENATE("          ","6241"," - ","OFFICE EXPENSE")</f>
        <v xml:space="preserve">          6241 - OFFICE EXPENSE</v>
      </c>
      <c r="C73" s="12"/>
      <c r="D73" s="8">
        <v>132.80000000000001</v>
      </c>
      <c r="E73" s="3"/>
      <c r="F73" s="7">
        <f t="shared" si="8"/>
        <v>8.907961107895466E-4</v>
      </c>
      <c r="G73" s="3"/>
      <c r="H73" s="8"/>
      <c r="I73" s="3"/>
      <c r="J73" s="7">
        <f t="shared" si="9"/>
        <v>0</v>
      </c>
      <c r="K73" s="3"/>
      <c r="L73" s="8">
        <f t="shared" si="10"/>
        <v>132.80000000000001</v>
      </c>
      <c r="M73" s="3"/>
      <c r="N73" s="7">
        <f t="shared" si="11"/>
        <v>0</v>
      </c>
      <c r="O73" s="12"/>
      <c r="P73" s="8">
        <v>3771.98</v>
      </c>
      <c r="Q73" s="3"/>
      <c r="R73" s="7">
        <f t="shared" si="12"/>
        <v>6.3869442310983422E-3</v>
      </c>
      <c r="S73" s="3"/>
      <c r="T73" s="8">
        <v>219.9</v>
      </c>
      <c r="U73" s="3"/>
      <c r="V73" s="7">
        <f t="shared" si="13"/>
        <v>4.3443146967040106E-3</v>
      </c>
      <c r="W73" s="3"/>
      <c r="X73" s="8">
        <f t="shared" si="14"/>
        <v>3552.08</v>
      </c>
      <c r="Y73" s="3"/>
      <c r="Z73" s="7">
        <f t="shared" si="15"/>
        <v>16.153160527512505</v>
      </c>
    </row>
    <row r="74" spans="1:26" s="69" customFormat="1" ht="15" hidden="1" customHeight="1" outlineLevel="2" x14ac:dyDescent="0.3">
      <c r="A74" s="25"/>
      <c r="B74" s="12" t="str">
        <f>CONCATENATE("          ","6243"," - ","PAPER SUPPLIES")</f>
        <v xml:space="preserve">          6243 - PAPER SUPPLIES</v>
      </c>
      <c r="C74" s="12"/>
      <c r="D74" s="8"/>
      <c r="E74" s="3"/>
      <c r="F74" s="7">
        <f t="shared" si="8"/>
        <v>0</v>
      </c>
      <c r="G74" s="3"/>
      <c r="H74" s="8">
        <v>94.92</v>
      </c>
      <c r="I74" s="3"/>
      <c r="J74" s="7">
        <f t="shared" si="9"/>
        <v>1.7314280085659352E-2</v>
      </c>
      <c r="K74" s="3"/>
      <c r="L74" s="8">
        <f t="shared" si="10"/>
        <v>-94.92</v>
      </c>
      <c r="M74" s="3"/>
      <c r="N74" s="7">
        <f t="shared" si="11"/>
        <v>-1</v>
      </c>
      <c r="O74" s="12"/>
      <c r="P74" s="8">
        <v>1055.8800000000001</v>
      </c>
      <c r="Q74" s="3"/>
      <c r="R74" s="7">
        <f t="shared" si="12"/>
        <v>1.7878797540634144E-3</v>
      </c>
      <c r="S74" s="3"/>
      <c r="T74" s="8">
        <v>160.41</v>
      </c>
      <c r="U74" s="3"/>
      <c r="V74" s="7">
        <f t="shared" si="13"/>
        <v>3.1690382923978636E-3</v>
      </c>
      <c r="W74" s="3"/>
      <c r="X74" s="8">
        <f t="shared" si="14"/>
        <v>895.47000000000014</v>
      </c>
      <c r="Y74" s="3"/>
      <c r="Z74" s="7">
        <f t="shared" si="15"/>
        <v>5.5823826444735376</v>
      </c>
    </row>
    <row r="75" spans="1:26" s="68" customFormat="1" ht="15" customHeight="1" outlineLevel="1" collapsed="1" x14ac:dyDescent="0.3">
      <c r="A75" s="26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SUM(OSRRefD22_15x_0)</f>
        <v>180.55</v>
      </c>
      <c r="E75" s="2"/>
      <c r="F75" s="6">
        <f t="shared" si="8"/>
        <v>1.2110936581555167E-3</v>
      </c>
      <c r="G75" s="2"/>
      <c r="H75" s="2">
        <f>SUM(OSRRefH22_15x_0)</f>
        <v>82</v>
      </c>
      <c r="I75" s="2"/>
      <c r="J75" s="6">
        <f t="shared" si="9"/>
        <v>1.4957553382048747E-2</v>
      </c>
      <c r="K75" s="2"/>
      <c r="L75" s="2">
        <f t="shared" si="10"/>
        <v>98.550000000000011</v>
      </c>
      <c r="M75" s="2"/>
      <c r="N75" s="6">
        <f t="shared" si="11"/>
        <v>1.201829268292683</v>
      </c>
      <c r="O75" s="14"/>
      <c r="P75" s="2">
        <f>SUM(OSRRefP22_15x_0)</f>
        <v>2100.73</v>
      </c>
      <c r="Q75" s="2"/>
      <c r="R75" s="6">
        <f t="shared" si="12"/>
        <v>3.5570828463022657E-3</v>
      </c>
      <c r="S75" s="2"/>
      <c r="T75" s="2">
        <f>SUM(OSRRefT22_15x_0)</f>
        <v>1691</v>
      </c>
      <c r="U75" s="2"/>
      <c r="V75" s="6">
        <f t="shared" si="13"/>
        <v>3.3407167585841203E-2</v>
      </c>
      <c r="W75" s="2"/>
      <c r="X75" s="2">
        <f t="shared" si="14"/>
        <v>409.73</v>
      </c>
      <c r="Y75" s="2"/>
      <c r="Z75" s="6">
        <f t="shared" si="15"/>
        <v>0.24230041395623891</v>
      </c>
    </row>
    <row r="76" spans="1:26" s="69" customFormat="1" ht="15" hidden="1" customHeight="1" outlineLevel="2" x14ac:dyDescent="0.3">
      <c r="A76" s="25"/>
      <c r="B76" s="12" t="str">
        <f>CONCATENATE("          ","6309"," - ","TELEPHONE")</f>
        <v xml:space="preserve">          6309 - TELEPHONE</v>
      </c>
      <c r="C76" s="12"/>
      <c r="D76" s="8">
        <v>180.55</v>
      </c>
      <c r="E76" s="3"/>
      <c r="F76" s="7">
        <f t="shared" si="8"/>
        <v>1.2110936581555167E-3</v>
      </c>
      <c r="G76" s="3"/>
      <c r="H76" s="8">
        <v>82</v>
      </c>
      <c r="I76" s="3"/>
      <c r="J76" s="7">
        <f t="shared" si="9"/>
        <v>1.4957553382048747E-2</v>
      </c>
      <c r="K76" s="3"/>
      <c r="L76" s="8">
        <f t="shared" si="10"/>
        <v>98.550000000000011</v>
      </c>
      <c r="M76" s="3"/>
      <c r="N76" s="7">
        <f t="shared" si="11"/>
        <v>1.201829268292683</v>
      </c>
      <c r="O76" s="12"/>
      <c r="P76" s="8">
        <v>2100.73</v>
      </c>
      <c r="Q76" s="3"/>
      <c r="R76" s="7">
        <f t="shared" si="12"/>
        <v>3.5570828463022657E-3</v>
      </c>
      <c r="S76" s="3"/>
      <c r="T76" s="8">
        <v>1691</v>
      </c>
      <c r="U76" s="3"/>
      <c r="V76" s="7">
        <f t="shared" si="13"/>
        <v>3.3407167585841203E-2</v>
      </c>
      <c r="W76" s="3"/>
      <c r="X76" s="8">
        <f t="shared" si="14"/>
        <v>409.73</v>
      </c>
      <c r="Y76" s="3"/>
      <c r="Z76" s="7">
        <f t="shared" si="15"/>
        <v>0.24230041395623891</v>
      </c>
    </row>
    <row r="77" spans="1:26" s="68" customFormat="1" ht="15" customHeight="1" outlineLevel="1" collapsed="1" x14ac:dyDescent="0.3">
      <c r="A77" s="26"/>
      <c r="B77" s="14" t="str">
        <f>CONCATENATE("     ","Training                                          ")</f>
        <v xml:space="preserve">     Training                                          </v>
      </c>
      <c r="C77" s="14"/>
      <c r="D77" s="2">
        <f>SUM(OSRRefD22_16x_0)</f>
        <v>0</v>
      </c>
      <c r="E77" s="2"/>
      <c r="F77" s="6">
        <f t="shared" si="8"/>
        <v>0</v>
      </c>
      <c r="G77" s="2"/>
      <c r="H77" s="2">
        <f>SUM(OSRRefH22_16x_0)</f>
        <v>0</v>
      </c>
      <c r="I77" s="2"/>
      <c r="J77" s="6">
        <f t="shared" si="9"/>
        <v>0</v>
      </c>
      <c r="K77" s="2"/>
      <c r="L77" s="2">
        <f t="shared" si="10"/>
        <v>0</v>
      </c>
      <c r="M77" s="2"/>
      <c r="N77" s="6">
        <f t="shared" si="11"/>
        <v>0</v>
      </c>
      <c r="O77" s="14"/>
      <c r="P77" s="2">
        <f>SUM(OSRRefP22_16x_0)</f>
        <v>160</v>
      </c>
      <c r="Q77" s="2"/>
      <c r="R77" s="6">
        <f t="shared" si="12"/>
        <v>2.7092165837987864E-4</v>
      </c>
      <c r="S77" s="2"/>
      <c r="T77" s="2">
        <f>SUM(OSRRefT22_16x_0)</f>
        <v>400</v>
      </c>
      <c r="U77" s="2"/>
      <c r="V77" s="6">
        <f t="shared" si="13"/>
        <v>7.9023459694479489E-3</v>
      </c>
      <c r="W77" s="2"/>
      <c r="X77" s="2">
        <f t="shared" si="14"/>
        <v>-240</v>
      </c>
      <c r="Y77" s="2"/>
      <c r="Z77" s="6">
        <f t="shared" si="15"/>
        <v>-0.6</v>
      </c>
    </row>
    <row r="78" spans="1:26" s="69" customFormat="1" ht="15" hidden="1" customHeight="1" outlineLevel="2" x14ac:dyDescent="0.3">
      <c r="A78" s="25"/>
      <c r="B78" s="12" t="str">
        <f>CONCATENATE("          ","6376"," - ","TRAINING")</f>
        <v xml:space="preserve">          6376 - TRAINING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160</v>
      </c>
      <c r="Q78" s="3"/>
      <c r="R78" s="7">
        <f t="shared" si="12"/>
        <v>2.7092165837987864E-4</v>
      </c>
      <c r="S78" s="3"/>
      <c r="T78" s="8">
        <v>400</v>
      </c>
      <c r="U78" s="3"/>
      <c r="V78" s="7">
        <f t="shared" si="13"/>
        <v>7.9023459694479489E-3</v>
      </c>
      <c r="W78" s="3"/>
      <c r="X78" s="8">
        <f t="shared" si="14"/>
        <v>-240</v>
      </c>
      <c r="Y78" s="3"/>
      <c r="Z78" s="7">
        <f t="shared" si="15"/>
        <v>-0.6</v>
      </c>
    </row>
    <row r="79" spans="1:26" s="68" customFormat="1" ht="15" customHeight="1" outlineLevel="1" collapsed="1" x14ac:dyDescent="0.3">
      <c r="A79" s="26"/>
      <c r="B79" s="14" t="str">
        <f>CONCATENATE("     ","Utilities                                         ")</f>
        <v xml:space="preserve">     Utilities                                         </v>
      </c>
      <c r="C79" s="14"/>
      <c r="D79" s="2">
        <f>SUM(OSRRefD22_17x_0)</f>
        <v>2400</v>
      </c>
      <c r="E79" s="2"/>
      <c r="F79" s="6">
        <f t="shared" si="8"/>
        <v>1.6098724893786984E-2</v>
      </c>
      <c r="G79" s="2"/>
      <c r="H79" s="2">
        <f>SUM(OSRRefH22_17x_0)</f>
        <v>-10123</v>
      </c>
      <c r="I79" s="2"/>
      <c r="J79" s="6">
        <f t="shared" si="9"/>
        <v>-1.8465282059326764</v>
      </c>
      <c r="K79" s="2"/>
      <c r="L79" s="2">
        <f t="shared" si="10"/>
        <v>12523</v>
      </c>
      <c r="M79" s="2"/>
      <c r="N79" s="6">
        <f t="shared" si="11"/>
        <v>-1.2370838684184531</v>
      </c>
      <c r="O79" s="14"/>
      <c r="P79" s="2">
        <f>SUM(OSRRefP22_17x_0)</f>
        <v>19200</v>
      </c>
      <c r="Q79" s="2"/>
      <c r="R79" s="6">
        <f t="shared" si="12"/>
        <v>3.2510599005585436E-2</v>
      </c>
      <c r="S79" s="2"/>
      <c r="T79" s="2">
        <f>SUM(OSRRefT22_17x_0)</f>
        <v>8325</v>
      </c>
      <c r="U79" s="2"/>
      <c r="V79" s="6">
        <f t="shared" si="13"/>
        <v>0.16446757548913543</v>
      </c>
      <c r="W79" s="2"/>
      <c r="X79" s="2">
        <f t="shared" si="14"/>
        <v>10875</v>
      </c>
      <c r="Y79" s="2"/>
      <c r="Z79" s="6">
        <f t="shared" si="15"/>
        <v>1.3063063063063063</v>
      </c>
    </row>
    <row r="80" spans="1:26" s="69" customFormat="1" ht="15" hidden="1" customHeight="1" outlineLevel="2" x14ac:dyDescent="0.3">
      <c r="A80" s="25"/>
      <c r="B80" s="12" t="str">
        <f>CONCATENATE("          ","6274"," - ","UTILITIES")</f>
        <v xml:space="preserve">          6274 - UTILITIES</v>
      </c>
      <c r="C80" s="12"/>
      <c r="D80" s="8">
        <v>2400</v>
      </c>
      <c r="E80" s="3"/>
      <c r="F80" s="7">
        <f t="shared" si="8"/>
        <v>1.6098724893786984E-2</v>
      </c>
      <c r="G80" s="3"/>
      <c r="H80" s="8">
        <v>-10123</v>
      </c>
      <c r="I80" s="3"/>
      <c r="J80" s="7">
        <f t="shared" si="9"/>
        <v>-1.8465282059326764</v>
      </c>
      <c r="K80" s="3"/>
      <c r="L80" s="8">
        <f t="shared" si="10"/>
        <v>12523</v>
      </c>
      <c r="M80" s="3"/>
      <c r="N80" s="7">
        <f t="shared" si="11"/>
        <v>-1.2370838684184531</v>
      </c>
      <c r="O80" s="12"/>
      <c r="P80" s="8">
        <v>19200</v>
      </c>
      <c r="Q80" s="3"/>
      <c r="R80" s="7">
        <f t="shared" si="12"/>
        <v>3.2510599005585436E-2</v>
      </c>
      <c r="S80" s="3"/>
      <c r="T80" s="8">
        <v>8325</v>
      </c>
      <c r="U80" s="3"/>
      <c r="V80" s="7">
        <f t="shared" si="13"/>
        <v>0.16446757548913543</v>
      </c>
      <c r="W80" s="3"/>
      <c r="X80" s="8">
        <f t="shared" si="14"/>
        <v>10875</v>
      </c>
      <c r="Y80" s="3"/>
      <c r="Z80" s="7">
        <f t="shared" si="15"/>
        <v>1.3063063063063063</v>
      </c>
    </row>
    <row r="81" spans="1:26" s="64" customFormat="1" ht="15" customHeight="1" x14ac:dyDescent="0.3">
      <c r="A81" s="36"/>
      <c r="B81" s="36"/>
      <c r="C81" s="36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3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62" customFormat="1" ht="15" customHeight="1" collapsed="1" x14ac:dyDescent="0.3">
      <c r="A82" s="11"/>
      <c r="B82" s="28" t="s">
        <v>290</v>
      </c>
      <c r="C82" s="11"/>
      <c r="D82" s="5">
        <f>SUM(OSRRefD25x_0)</f>
        <v>0</v>
      </c>
      <c r="E82" s="5"/>
      <c r="F82" s="13">
        <f>IF(D$12=0,0,D82/D$12)</f>
        <v>0</v>
      </c>
      <c r="G82" s="5"/>
      <c r="H82" s="5">
        <f>SUM(OSRRefH25x_0)</f>
        <v>0</v>
      </c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>
        <f>SUM(OSRRefP25x_0)</f>
        <v>6.03</v>
      </c>
      <c r="Q82" s="5"/>
      <c r="R82" s="13">
        <f>IF(P$12=0,0,P82/P$12)</f>
        <v>1.0210360000191677E-5</v>
      </c>
      <c r="S82" s="5"/>
      <c r="T82" s="5">
        <f>SUM(OSRRefT25x_0)</f>
        <v>0</v>
      </c>
      <c r="U82" s="5"/>
      <c r="V82" s="13">
        <f>IF(T$12=0,0,T82/T$12)</f>
        <v>0</v>
      </c>
      <c r="W82" s="5"/>
      <c r="X82" s="5">
        <f>+P82-T82</f>
        <v>6.03</v>
      </c>
      <c r="Y82" s="5"/>
      <c r="Z82" s="13">
        <f>IF(T82=0,0,X82/T82)</f>
        <v>0</v>
      </c>
    </row>
    <row r="83" spans="1:26" s="69" customFormat="1" ht="15" hidden="1" customHeight="1" outlineLevel="1" x14ac:dyDescent="0.3">
      <c r="A83" s="42"/>
      <c r="B83" s="12" t="str">
        <f>CONCATENATE("          ","9150"," - ","MISC. INCOME")</f>
        <v xml:space="preserve">          9150 - MISC. INCOME</v>
      </c>
      <c r="C83" s="12"/>
      <c r="D83" s="3">
        <f>0</f>
        <v>0</v>
      </c>
      <c r="E83" s="3"/>
      <c r="F83" s="20">
        <f>IF(D$12=0,0,D83/D$12)</f>
        <v>0</v>
      </c>
      <c r="G83" s="3"/>
      <c r="H83" s="3">
        <f>0</f>
        <v>0</v>
      </c>
      <c r="I83" s="3"/>
      <c r="J83" s="20">
        <f>IF(H$12=0,0,H83/H$12)</f>
        <v>0</v>
      </c>
      <c r="K83" s="3"/>
      <c r="L83" s="3">
        <f>+D83-H83</f>
        <v>0</v>
      </c>
      <c r="M83" s="3"/>
      <c r="N83" s="20">
        <f>IF(H83=0,0,L83/H83)</f>
        <v>0</v>
      </c>
      <c r="O83" s="12"/>
      <c r="P83" s="3">
        <f>--6.03</f>
        <v>6.03</v>
      </c>
      <c r="Q83" s="3"/>
      <c r="R83" s="20">
        <f>IF(P$12=0,0,P83/P$12)</f>
        <v>1.0210360000191677E-5</v>
      </c>
      <c r="S83" s="3"/>
      <c r="T83" s="3">
        <f>0</f>
        <v>0</v>
      </c>
      <c r="U83" s="3"/>
      <c r="V83" s="20">
        <f>IF(T$12=0,0,T83/T$12)</f>
        <v>0</v>
      </c>
      <c r="W83" s="3"/>
      <c r="X83" s="3">
        <f>+P83-T83</f>
        <v>6.03</v>
      </c>
      <c r="Y83" s="3"/>
      <c r="Z83" s="20">
        <f>IF(T83=0,0,X83/T83)</f>
        <v>0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7" t="s">
        <v>291</v>
      </c>
      <c r="C85" s="27"/>
      <c r="D85" s="22">
        <f>+D20-D22+D82</f>
        <v>7193.6599999999889</v>
      </c>
      <c r="E85" s="15"/>
      <c r="F85" s="21">
        <f>IF(D$12=0,0,D85/D$12)</f>
        <v>4.8253647216433125E-2</v>
      </c>
      <c r="G85" s="15"/>
      <c r="H85" s="22">
        <f>+H20-H22+H82</f>
        <v>-42383.789999999994</v>
      </c>
      <c r="I85" s="15"/>
      <c r="J85" s="21">
        <f>IF(H$12=0,0,H85/H$12)</f>
        <v>-7.7311927007139483</v>
      </c>
      <c r="K85" s="17"/>
      <c r="L85" s="22">
        <f>+D85-H85</f>
        <v>49577.449999999983</v>
      </c>
      <c r="M85" s="17"/>
      <c r="N85" s="21">
        <f>IF(H85=0,0,L85/H85)</f>
        <v>-1.1697266808843663</v>
      </c>
      <c r="O85" s="28"/>
      <c r="P85" s="22">
        <f>+P20-P22+P82</f>
        <v>-307696.72999999986</v>
      </c>
      <c r="Q85" s="15"/>
      <c r="R85" s="21">
        <f>IF(P$12=0,0,P85/P$12)</f>
        <v>-0.52101067731041073</v>
      </c>
      <c r="S85" s="15"/>
      <c r="T85" s="22">
        <f>+T20-T22+T82</f>
        <v>-512941.21000000008</v>
      </c>
      <c r="U85" s="15"/>
      <c r="V85" s="21">
        <f>IF(T$12=0,0,T85/T$12)</f>
        <v>-10.133597258518137</v>
      </c>
      <c r="W85" s="17"/>
      <c r="X85" s="22">
        <f>+P85-T85</f>
        <v>205244.48000000021</v>
      </c>
      <c r="Y85" s="17"/>
      <c r="Z85" s="21">
        <f>IF(T85=0,0,X85/T85)</f>
        <v>-0.40013256100050953</v>
      </c>
    </row>
    <row r="86" spans="1:26" ht="15" customHeight="1" x14ac:dyDescent="0.3">
      <c r="A86" s="10"/>
      <c r="B86" s="11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48"/>
      <c r="B87" s="11" t="s">
        <v>292</v>
      </c>
      <c r="C87" s="11"/>
      <c r="D87" s="5">
        <v>15375.08</v>
      </c>
      <c r="E87" s="5"/>
      <c r="F87" s="13">
        <f>IF(D$12=0,0,D87/D$12)</f>
        <v>0.103132992974986</v>
      </c>
      <c r="G87" s="5"/>
      <c r="H87" s="5">
        <v>1493.44</v>
      </c>
      <c r="I87" s="5"/>
      <c r="J87" s="13">
        <f>IF(H$12=0,0,H87/H$12)</f>
        <v>0.2724171771083766</v>
      </c>
      <c r="K87" s="5"/>
      <c r="L87" s="5">
        <f>+D87-H87</f>
        <v>13881.64</v>
      </c>
      <c r="M87" s="5"/>
      <c r="N87" s="13">
        <f>IF(H87=0,0,L87/H87)</f>
        <v>9.2950771373473309</v>
      </c>
      <c r="O87" s="11"/>
      <c r="P87" s="5">
        <v>70483.87</v>
      </c>
      <c r="Q87" s="5"/>
      <c r="R87" s="13">
        <f>IF(P$12=0,0,P87/P$12)</f>
        <v>0.1193475434339486</v>
      </c>
      <c r="S87" s="5"/>
      <c r="T87" s="5">
        <v>10431.92</v>
      </c>
      <c r="U87" s="5"/>
      <c r="V87" s="13">
        <f>IF(T$12=0,0,T87/T$12)</f>
        <v>0.20609160241400862</v>
      </c>
      <c r="W87" s="5"/>
      <c r="X87" s="5">
        <f>+P87-T87</f>
        <v>60051.95</v>
      </c>
      <c r="Y87" s="5"/>
      <c r="Z87" s="13">
        <f>IF(T87=0,0,X87/T87)</f>
        <v>5.7565577573447646</v>
      </c>
    </row>
    <row r="88" spans="1:26" ht="15" customHeight="1" x14ac:dyDescent="0.3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11"/>
      <c r="B89" s="27" t="s">
        <v>293</v>
      </c>
      <c r="C89" s="27"/>
      <c r="D89" s="34">
        <f>+D85-D87</f>
        <v>-8181.420000000011</v>
      </c>
      <c r="E89" s="15"/>
      <c r="F89" s="33">
        <f>IF(D$12=0,0,D89/D$12)</f>
        <v>-5.4879345758552869E-2</v>
      </c>
      <c r="G89" s="15"/>
      <c r="H89" s="34">
        <f>+H85-H87</f>
        <v>-43877.229999999996</v>
      </c>
      <c r="I89" s="15"/>
      <c r="J89" s="33">
        <f>IF(H$12=0,0,H89/H$12)</f>
        <v>-8.0036098778223241</v>
      </c>
      <c r="K89" s="17"/>
      <c r="L89" s="34">
        <f>D89-H89</f>
        <v>35695.809999999983</v>
      </c>
      <c r="M89" s="17"/>
      <c r="N89" s="33">
        <f>IF(H89=0,0,L89/H89)</f>
        <v>-0.81353836602720786</v>
      </c>
      <c r="O89" s="28"/>
      <c r="P89" s="34">
        <f>+P85-P87</f>
        <v>-378180.59999999986</v>
      </c>
      <c r="Q89" s="15"/>
      <c r="R89" s="33">
        <f>IF(P$12=0,0,P89/P$12)</f>
        <v>-0.64035822074435933</v>
      </c>
      <c r="S89" s="15"/>
      <c r="T89" s="34">
        <f>+T85-T87</f>
        <v>-523373.13000000006</v>
      </c>
      <c r="U89" s="15"/>
      <c r="V89" s="33">
        <f>IF(T$12=0,0,T89/T$12)</f>
        <v>-10.339688860932146</v>
      </c>
      <c r="W89" s="17"/>
      <c r="X89" s="34">
        <f>P89-T89</f>
        <v>145192.5300000002</v>
      </c>
      <c r="Y89" s="17"/>
      <c r="Z89" s="33">
        <f>IF(T89=0,0,X89/T89)</f>
        <v>-0.2774168593637969</v>
      </c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11"/>
      <c r="B92" s="27" t="s">
        <v>296</v>
      </c>
      <c r="C92" s="27"/>
      <c r="D92" s="31">
        <f>SUM(D89:D91)</f>
        <v>-8181.420000000011</v>
      </c>
      <c r="E92" s="15"/>
      <c r="F92" s="32">
        <f>IF(D$12=0,0,D92/D$12)</f>
        <v>-5.4879345758552869E-2</v>
      </c>
      <c r="G92" s="15"/>
      <c r="H92" s="31">
        <f>SUM(H89:H91)</f>
        <v>-43877.229999999996</v>
      </c>
      <c r="I92" s="15"/>
      <c r="J92" s="32">
        <f>IF(H$12=0,0,H92/H$12)</f>
        <v>-8.0036098778223241</v>
      </c>
      <c r="K92" s="17"/>
      <c r="L92" s="31">
        <f>+D92-H92</f>
        <v>35695.809999999983</v>
      </c>
      <c r="M92" s="17"/>
      <c r="N92" s="32">
        <f>IF(H92=0,0,L92/H92)</f>
        <v>-0.81353836602720786</v>
      </c>
      <c r="O92" s="28"/>
      <c r="P92" s="31">
        <f>SUM(P89:P91)</f>
        <v>-378180.59999999986</v>
      </c>
      <c r="Q92" s="15"/>
      <c r="R92" s="32">
        <f>IF(P$12=0,0,P92/P$12)</f>
        <v>-0.64035822074435933</v>
      </c>
      <c r="S92" s="15"/>
      <c r="T92" s="31">
        <f>SUM(T89:T91)</f>
        <v>-523373.13000000006</v>
      </c>
      <c r="U92" s="15"/>
      <c r="V92" s="32">
        <f>IF(T$12=0,0,T92/T$12)</f>
        <v>-10.339688860932146</v>
      </c>
      <c r="W92" s="17"/>
      <c r="X92" s="31">
        <f>+P92-T92</f>
        <v>145192.5300000002</v>
      </c>
      <c r="Y92" s="17"/>
      <c r="Z92" s="32">
        <f>IF(T92=0,0,X92/T92)</f>
        <v>-0.2774168593637969</v>
      </c>
    </row>
    <row r="93" spans="1:26" ht="15" customHeight="1" x14ac:dyDescent="0.3">
      <c r="A93" s="10"/>
      <c r="C93" s="10"/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  <row r="94" spans="1:26" ht="15" customHeight="1" x14ac:dyDescent="0.3">
      <c r="A94" s="10"/>
      <c r="B94" s="56">
        <v>44663.03859679398</v>
      </c>
      <c r="D94" s="19"/>
      <c r="E94" s="19"/>
      <c r="G94" s="19"/>
      <c r="H94" s="19"/>
      <c r="I94" s="19"/>
      <c r="J94" s="40"/>
      <c r="K94" s="19"/>
      <c r="L94" s="19"/>
      <c r="M94" s="19"/>
      <c r="P94" s="19"/>
      <c r="Q94" s="19"/>
      <c r="R94" s="40"/>
      <c r="S94" s="19"/>
      <c r="T94" s="19"/>
      <c r="U94" s="19"/>
      <c r="V94" s="40"/>
      <c r="W94" s="19"/>
      <c r="X94" s="19"/>
    </row>
    <row r="95" spans="1:26" ht="15" customHeight="1" x14ac:dyDescent="0.3">
      <c r="A95" s="10"/>
      <c r="B95" s="57" t="s">
        <v>297</v>
      </c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A96" s="10"/>
      <c r="B96" s="58"/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  <row r="97" spans="4:24" ht="15" customHeight="1" x14ac:dyDescent="0.3">
      <c r="D97" s="19"/>
      <c r="E97" s="19"/>
      <c r="G97" s="19"/>
      <c r="H97" s="19"/>
      <c r="I97" s="19"/>
      <c r="J97" s="40"/>
      <c r="K97" s="19"/>
      <c r="L97" s="19"/>
      <c r="M97" s="19"/>
      <c r="P97" s="19"/>
      <c r="Q97" s="19"/>
      <c r="R97" s="40"/>
      <c r="S97" s="19"/>
      <c r="T97" s="19"/>
      <c r="U97" s="19"/>
      <c r="V97" s="40"/>
      <c r="W97" s="19"/>
      <c r="X9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09F1-506B-2D06-83F1-67C5529B9D67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","418"," - ","Nugget")</f>
        <v>Department 418 - Nugget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-301.68</v>
      </c>
      <c r="I14" s="5"/>
      <c r="J14" s="13">
        <f>IF(H$12=0,0,H14/H$12)</f>
        <v>0</v>
      </c>
      <c r="K14" s="5"/>
      <c r="L14" s="5">
        <f>+D14-H14</f>
        <v>301.68</v>
      </c>
      <c r="M14" s="5"/>
      <c r="N14" s="13">
        <f>IF(H14=0,0,L14/H14)</f>
        <v>-1</v>
      </c>
      <c r="O14" s="11"/>
      <c r="P14" s="5">
        <f>SUM(OSRRefP16x_0)</f>
        <v>1349.42</v>
      </c>
      <c r="Q14" s="5"/>
      <c r="R14" s="13">
        <f>IF(P$12=0,0,P14/P$12)</f>
        <v>0</v>
      </c>
      <c r="S14" s="5"/>
      <c r="T14" s="5">
        <f>SUM(OSRRefT16x_0)</f>
        <v>-301.68</v>
      </c>
      <c r="U14" s="5"/>
      <c r="V14" s="13">
        <f>IF(T$12=0,0,T14/T$12)</f>
        <v>0</v>
      </c>
      <c r="W14" s="5"/>
      <c r="X14" s="5">
        <f>+P14-T14</f>
        <v>1651.1000000000001</v>
      </c>
      <c r="Y14" s="5"/>
      <c r="Z14" s="13">
        <f>IF(T14=0,0,X14/T14)</f>
        <v>-5.4730177671705125</v>
      </c>
    </row>
    <row r="15" spans="1:26" s="69" customFormat="1" ht="15" hidden="1" customHeight="1" outlineLevel="1" x14ac:dyDescent="0.3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>
        <v>-301.68</v>
      </c>
      <c r="I15" s="3"/>
      <c r="J15" s="20">
        <f>IF(H$12=0,0,H15/H$12)</f>
        <v>0</v>
      </c>
      <c r="K15" s="3"/>
      <c r="L15" s="3">
        <f>+D15-H15</f>
        <v>301.68</v>
      </c>
      <c r="M15" s="3"/>
      <c r="N15" s="20">
        <f>IF(H15=0,0,L15/H15)</f>
        <v>-1</v>
      </c>
      <c r="O15" s="12"/>
      <c r="P15" s="3">
        <v>1349.42</v>
      </c>
      <c r="Q15" s="3"/>
      <c r="R15" s="20">
        <f>IF(P$12=0,0,P15/P$12)</f>
        <v>0</v>
      </c>
      <c r="S15" s="3"/>
      <c r="T15" s="3">
        <v>-301.68</v>
      </c>
      <c r="U15" s="3"/>
      <c r="V15" s="20">
        <f>IF(T$12=0,0,T15/T$12)</f>
        <v>0</v>
      </c>
      <c r="W15" s="3"/>
      <c r="X15" s="3">
        <f>+P15-T15</f>
        <v>1651.1000000000001</v>
      </c>
      <c r="Y15" s="3"/>
      <c r="Z15" s="20">
        <f>IF(T15=0,0,X15/T15)</f>
        <v>-5.4730177671705125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7" t="s">
        <v>288</v>
      </c>
      <c r="C17" s="27"/>
      <c r="D17" s="22">
        <f>D12-D14</f>
        <v>0</v>
      </c>
      <c r="E17" s="15"/>
      <c r="F17" s="21">
        <f>IF(D$12=0,0,D17/D$12)</f>
        <v>0</v>
      </c>
      <c r="G17" s="15"/>
      <c r="H17" s="22">
        <f>H12-H14</f>
        <v>301.68</v>
      </c>
      <c r="I17" s="15"/>
      <c r="J17" s="21">
        <f>IF(H$12=0,0,H17/H$12)</f>
        <v>0</v>
      </c>
      <c r="K17" s="17"/>
      <c r="L17" s="22">
        <f>+D17-H17</f>
        <v>-301.68</v>
      </c>
      <c r="M17" s="17"/>
      <c r="N17" s="21">
        <f>IF(H17=0,0,L17/H17)</f>
        <v>-1</v>
      </c>
      <c r="O17" s="28"/>
      <c r="P17" s="22">
        <f>P12-P14</f>
        <v>-1349.42</v>
      </c>
      <c r="Q17" s="15"/>
      <c r="R17" s="21">
        <f>IF(P$12=0,0,P17/P$12)</f>
        <v>0</v>
      </c>
      <c r="S17" s="15"/>
      <c r="T17" s="22">
        <f>T12-T14</f>
        <v>301.68</v>
      </c>
      <c r="U17" s="15"/>
      <c r="V17" s="21">
        <f>IF(T$12=0,0,T17/T$12)</f>
        <v>0</v>
      </c>
      <c r="W17" s="17"/>
      <c r="X17" s="22">
        <f>+P17-T17</f>
        <v>-1651.1000000000001</v>
      </c>
      <c r="Y17" s="17"/>
      <c r="Z17" s="21">
        <f>IF(T17=0,0,X17/T17)</f>
        <v>-5.4730177671705125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8" t="s">
        <v>289</v>
      </c>
      <c r="C19" s="11"/>
      <c r="D19" s="23" cm="1">
        <f t="array" ref="D19">SUM(OSRRefD22x_0)</f>
        <v>16559.199999999997</v>
      </c>
      <c r="E19" s="23"/>
      <c r="F19" s="35">
        <f t="shared" ref="F19:F64" si="0">IF(D$12=0,0,D19/D$12)</f>
        <v>0</v>
      </c>
      <c r="G19" s="23"/>
      <c r="H19" s="23" cm="1">
        <f t="array" ref="H19">SUM(OSRRefH22x_0)</f>
        <v>6944.03</v>
      </c>
      <c r="I19" s="23"/>
      <c r="J19" s="35">
        <f t="shared" ref="J19:J64" si="1">IF(H$12=0,0,H19/H$12)</f>
        <v>0</v>
      </c>
      <c r="K19" s="5"/>
      <c r="L19" s="23">
        <f t="shared" ref="L19:L64" si="2">+D19-H19</f>
        <v>9615.1699999999983</v>
      </c>
      <c r="M19" s="5"/>
      <c r="N19" s="35">
        <f t="shared" ref="N19:N64" si="3">IF(H19=0,0,L19/H19)</f>
        <v>1.3846671169335385</v>
      </c>
      <c r="O19" s="11"/>
      <c r="P19" s="23" cm="1">
        <f t="array" ref="P19">SUM(OSRRefP22x_0)</f>
        <v>153852.37000000002</v>
      </c>
      <c r="Q19" s="23"/>
      <c r="R19" s="35">
        <f t="shared" ref="R19:R64" si="4">IF(P$12=0,0,P19/P$12)</f>
        <v>0</v>
      </c>
      <c r="S19" s="23"/>
      <c r="T19" s="23" cm="1">
        <f t="array" ref="T19">SUM(OSRRefT22x_0)</f>
        <v>74401.01999999999</v>
      </c>
      <c r="U19" s="23"/>
      <c r="V19" s="35">
        <f t="shared" ref="V19:V64" si="5">IF(T$12=0,0,T19/T$12)</f>
        <v>0</v>
      </c>
      <c r="W19" s="5"/>
      <c r="X19" s="23">
        <f t="shared" ref="X19:X64" si="6">+P19-T19</f>
        <v>79451.350000000035</v>
      </c>
      <c r="Y19" s="5"/>
      <c r="Z19" s="35">
        <f t="shared" ref="Z19:Z64" si="7">IF(T19=0,0,X19/T19)</f>
        <v>1.0678798489590606</v>
      </c>
    </row>
    <row r="20" spans="1:26" s="68" customFormat="1" ht="15" customHeight="1" outlineLevel="1" collapsed="1" x14ac:dyDescent="0.3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2441.5899999999997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2441.5899999999997</v>
      </c>
      <c r="M20" s="2"/>
      <c r="N20" s="6">
        <f t="shared" si="3"/>
        <v>0</v>
      </c>
      <c r="O20" s="14"/>
      <c r="P20" s="2">
        <f>SUM(OSRRefP22_0x_0)</f>
        <v>24167.230000000003</v>
      </c>
      <c r="Q20" s="2"/>
      <c r="R20" s="6">
        <f t="shared" si="4"/>
        <v>0</v>
      </c>
      <c r="S20" s="2"/>
      <c r="T20" s="2">
        <f>SUM(OSRRefT22_0x_0)</f>
        <v>6086.32</v>
      </c>
      <c r="U20" s="2"/>
      <c r="V20" s="6">
        <f t="shared" si="5"/>
        <v>0</v>
      </c>
      <c r="W20" s="2"/>
      <c r="X20" s="2">
        <f t="shared" si="6"/>
        <v>18080.910000000003</v>
      </c>
      <c r="Y20" s="2"/>
      <c r="Z20" s="6">
        <f t="shared" si="7"/>
        <v>2.9707458694252034</v>
      </c>
    </row>
    <row r="21" spans="1:26" s="69" customFormat="1" ht="15" hidden="1" customHeight="1" outlineLevel="2" x14ac:dyDescent="0.3">
      <c r="A21" s="25"/>
      <c r="B21" s="12" t="str">
        <f>CONCATENATE("          ","6111"," - ","F.I.C.A.")</f>
        <v xml:space="preserve">          6111 - F.I.C.A.</v>
      </c>
      <c r="C21" s="12"/>
      <c r="D21" s="8">
        <v>429.42</v>
      </c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429.42</v>
      </c>
      <c r="M21" s="3"/>
      <c r="N21" s="7">
        <f t="shared" si="3"/>
        <v>0</v>
      </c>
      <c r="O21" s="12"/>
      <c r="P21" s="8">
        <v>3630.16</v>
      </c>
      <c r="Q21" s="3"/>
      <c r="R21" s="7">
        <f t="shared" si="4"/>
        <v>0</v>
      </c>
      <c r="S21" s="3"/>
      <c r="T21" s="8">
        <v>237.51</v>
      </c>
      <c r="U21" s="3"/>
      <c r="V21" s="7">
        <f t="shared" si="5"/>
        <v>0</v>
      </c>
      <c r="W21" s="3"/>
      <c r="X21" s="8">
        <f t="shared" si="6"/>
        <v>3392.6499999999996</v>
      </c>
      <c r="Y21" s="3"/>
      <c r="Z21" s="7">
        <f t="shared" si="7"/>
        <v>14.284240663551007</v>
      </c>
    </row>
    <row r="22" spans="1:26" s="69" customFormat="1" ht="15" hidden="1" customHeight="1" outlineLevel="2" x14ac:dyDescent="0.3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210.7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210.7</v>
      </c>
      <c r="M22" s="3"/>
      <c r="N22" s="7">
        <f t="shared" si="3"/>
        <v>0</v>
      </c>
      <c r="O22" s="12"/>
      <c r="P22" s="8">
        <v>1614.65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1614.65</v>
      </c>
      <c r="Y22" s="3"/>
      <c r="Z22" s="7">
        <f t="shared" si="7"/>
        <v>0</v>
      </c>
    </row>
    <row r="23" spans="1:26" s="69" customFormat="1" ht="15" hidden="1" customHeight="1" outlineLevel="2" x14ac:dyDescent="0.3">
      <c r="A23" s="25"/>
      <c r="B23" s="12" t="str">
        <f>CONCATENATE("          ","6113"," - ","GROUP INSURANCE")</f>
        <v xml:space="preserve">          6113 - GROUP INSURANCE</v>
      </c>
      <c r="C23" s="12"/>
      <c r="D23" s="8">
        <v>652.17999999999995</v>
      </c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652.17999999999995</v>
      </c>
      <c r="M23" s="3"/>
      <c r="N23" s="7">
        <f t="shared" si="3"/>
        <v>0</v>
      </c>
      <c r="O23" s="12"/>
      <c r="P23" s="8">
        <v>12053.8</v>
      </c>
      <c r="Q23" s="3"/>
      <c r="R23" s="7">
        <f t="shared" si="4"/>
        <v>0</v>
      </c>
      <c r="S23" s="3"/>
      <c r="T23" s="8">
        <v>4780.67</v>
      </c>
      <c r="U23" s="3"/>
      <c r="V23" s="7">
        <f t="shared" si="5"/>
        <v>0</v>
      </c>
      <c r="W23" s="3"/>
      <c r="X23" s="8">
        <f t="shared" si="6"/>
        <v>7273.1299999999992</v>
      </c>
      <c r="Y23" s="3"/>
      <c r="Z23" s="7">
        <f t="shared" si="7"/>
        <v>1.5213620684966749</v>
      </c>
    </row>
    <row r="24" spans="1:26" s="69" customFormat="1" ht="15" hidden="1" customHeight="1" outlineLevel="2" x14ac:dyDescent="0.3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15.22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15.22</v>
      </c>
      <c r="M24" s="3"/>
      <c r="N24" s="7">
        <f t="shared" si="3"/>
        <v>0</v>
      </c>
      <c r="O24" s="12"/>
      <c r="P24" s="8">
        <v>117.99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117.99</v>
      </c>
      <c r="Y24" s="3"/>
      <c r="Z24" s="7">
        <f t="shared" si="7"/>
        <v>0</v>
      </c>
    </row>
    <row r="25" spans="1:26" s="69" customFormat="1" ht="15" hidden="1" customHeight="1" outlineLevel="2" x14ac:dyDescent="0.3">
      <c r="A25" s="25"/>
      <c r="B25" s="12" t="str">
        <f>CONCATENATE("          ","6115"," - ","P.E.R.S.")</f>
        <v xml:space="preserve">          6115 - P.E.R.S.</v>
      </c>
      <c r="C25" s="12"/>
      <c r="D25" s="8">
        <v>420.37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420.37</v>
      </c>
      <c r="M25" s="3"/>
      <c r="N25" s="7">
        <f t="shared" si="3"/>
        <v>0</v>
      </c>
      <c r="O25" s="12"/>
      <c r="P25" s="8">
        <v>1723.52</v>
      </c>
      <c r="Q25" s="3"/>
      <c r="R25" s="7">
        <f t="shared" si="4"/>
        <v>0</v>
      </c>
      <c r="S25" s="3"/>
      <c r="T25" s="8">
        <v>678.15</v>
      </c>
      <c r="U25" s="3"/>
      <c r="V25" s="7">
        <f t="shared" si="5"/>
        <v>0</v>
      </c>
      <c r="W25" s="3"/>
      <c r="X25" s="8">
        <f t="shared" si="6"/>
        <v>1045.3699999999999</v>
      </c>
      <c r="Y25" s="3"/>
      <c r="Z25" s="7">
        <f t="shared" si="7"/>
        <v>1.5415026174150261</v>
      </c>
    </row>
    <row r="26" spans="1:26" s="69" customFormat="1" ht="15" hidden="1" customHeight="1" outlineLevel="2" x14ac:dyDescent="0.3">
      <c r="A26" s="25"/>
      <c r="B26" s="12" t="str">
        <f>CONCATENATE("          ","6118"," - ","VACATION")</f>
        <v xml:space="preserve">          6118 - VACATION</v>
      </c>
      <c r="C26" s="12"/>
      <c r="D26" s="8">
        <v>213.24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213.24</v>
      </c>
      <c r="M26" s="3"/>
      <c r="N26" s="7">
        <f t="shared" si="3"/>
        <v>0</v>
      </c>
      <c r="O26" s="12"/>
      <c r="P26" s="8">
        <v>1670.9</v>
      </c>
      <c r="Q26" s="3"/>
      <c r="R26" s="7">
        <f t="shared" si="4"/>
        <v>0</v>
      </c>
      <c r="S26" s="3"/>
      <c r="T26" s="8">
        <v>248.21</v>
      </c>
      <c r="U26" s="3"/>
      <c r="V26" s="7">
        <f t="shared" si="5"/>
        <v>0</v>
      </c>
      <c r="W26" s="3"/>
      <c r="X26" s="8">
        <f t="shared" si="6"/>
        <v>1422.69</v>
      </c>
      <c r="Y26" s="3"/>
      <c r="Z26" s="7">
        <f t="shared" si="7"/>
        <v>5.7317996857499702</v>
      </c>
    </row>
    <row r="27" spans="1:26" s="69" customFormat="1" ht="15" hidden="1" customHeight="1" outlineLevel="2" x14ac:dyDescent="0.3">
      <c r="A27" s="25"/>
      <c r="B27" s="12" t="str">
        <f>CONCATENATE("          ","6119"," - ","SICK LEAVE")</f>
        <v xml:space="preserve">          6119 - SICK LEAVE</v>
      </c>
      <c r="C27" s="12"/>
      <c r="D27" s="8">
        <v>255.46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255.46</v>
      </c>
      <c r="M27" s="3"/>
      <c r="N27" s="7">
        <f t="shared" si="3"/>
        <v>0</v>
      </c>
      <c r="O27" s="12"/>
      <c r="P27" s="8">
        <v>1823.03</v>
      </c>
      <c r="Q27" s="3"/>
      <c r="R27" s="7">
        <f t="shared" si="4"/>
        <v>0</v>
      </c>
      <c r="S27" s="3"/>
      <c r="T27" s="8">
        <v>141.78</v>
      </c>
      <c r="U27" s="3"/>
      <c r="V27" s="7">
        <f t="shared" si="5"/>
        <v>0</v>
      </c>
      <c r="W27" s="3"/>
      <c r="X27" s="8">
        <f t="shared" si="6"/>
        <v>1681.25</v>
      </c>
      <c r="Y27" s="3"/>
      <c r="Z27" s="7">
        <f t="shared" si="7"/>
        <v>11.858160530399211</v>
      </c>
    </row>
    <row r="28" spans="1:26" s="69" customFormat="1" ht="15" hidden="1" customHeight="1" outlineLevel="2" x14ac:dyDescent="0.3">
      <c r="A28" s="25"/>
      <c r="B28" s="12" t="str">
        <f>CONCATENATE("          ","6156"," - ","EMPLOYEE MEALS")</f>
        <v xml:space="preserve">          6156 - EMPLOYEE MEALS</v>
      </c>
      <c r="C28" s="12"/>
      <c r="D28" s="8">
        <v>245</v>
      </c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245</v>
      </c>
      <c r="M28" s="3"/>
      <c r="N28" s="7">
        <f t="shared" si="3"/>
        <v>0</v>
      </c>
      <c r="O28" s="12"/>
      <c r="P28" s="8">
        <v>1533.18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1533.18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6267.73</v>
      </c>
      <c r="E29" s="2"/>
      <c r="F29" s="6">
        <f t="shared" si="0"/>
        <v>0</v>
      </c>
      <c r="G29" s="2"/>
      <c r="H29" s="2">
        <f>SUM(OSRRefH22_1x_0)</f>
        <v>0</v>
      </c>
      <c r="I29" s="2"/>
      <c r="J29" s="6">
        <f t="shared" si="1"/>
        <v>0</v>
      </c>
      <c r="K29" s="2"/>
      <c r="L29" s="2">
        <f t="shared" si="2"/>
        <v>6267.73</v>
      </c>
      <c r="M29" s="2"/>
      <c r="N29" s="6">
        <f t="shared" si="3"/>
        <v>0</v>
      </c>
      <c r="O29" s="14"/>
      <c r="P29" s="2">
        <f>SUM(OSRRefP22_1x_0)</f>
        <v>47438.709999999992</v>
      </c>
      <c r="Q29" s="2"/>
      <c r="R29" s="6">
        <f t="shared" si="4"/>
        <v>0</v>
      </c>
      <c r="S29" s="2"/>
      <c r="T29" s="2">
        <f>SUM(OSRRefT22_1x_0)</f>
        <v>2151.69</v>
      </c>
      <c r="U29" s="2"/>
      <c r="V29" s="6">
        <f t="shared" si="5"/>
        <v>0</v>
      </c>
      <c r="W29" s="2"/>
      <c r="X29" s="2">
        <f t="shared" si="6"/>
        <v>45287.01999999999</v>
      </c>
      <c r="Y29" s="2"/>
      <c r="Z29" s="6">
        <f t="shared" si="7"/>
        <v>21.047186165293322</v>
      </c>
    </row>
    <row r="30" spans="1:26" s="69" customFormat="1" ht="15" hidden="1" customHeight="1" outlineLevel="2" x14ac:dyDescent="0.3">
      <c r="A30" s="25"/>
      <c r="B30" s="12" t="str">
        <f>CONCATENATE("          ","6002"," - ","STAFF SALARIES")</f>
        <v xml:space="preserve">          6002 - STAFF SALARIES</v>
      </c>
      <c r="C30" s="12"/>
      <c r="D30" s="8">
        <v>5538.48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5538.48</v>
      </c>
      <c r="M30" s="3"/>
      <c r="N30" s="7">
        <f t="shared" si="3"/>
        <v>0</v>
      </c>
      <c r="O30" s="12"/>
      <c r="P30" s="8">
        <v>24092.76</v>
      </c>
      <c r="Q30" s="3"/>
      <c r="R30" s="7">
        <f t="shared" si="4"/>
        <v>0</v>
      </c>
      <c r="S30" s="3"/>
      <c r="T30" s="8">
        <v>2151.69</v>
      </c>
      <c r="U30" s="3"/>
      <c r="V30" s="7">
        <f t="shared" si="5"/>
        <v>0</v>
      </c>
      <c r="W30" s="3"/>
      <c r="X30" s="8">
        <f t="shared" si="6"/>
        <v>21941.07</v>
      </c>
      <c r="Y30" s="3"/>
      <c r="Z30" s="7">
        <f t="shared" si="7"/>
        <v>10.197133416059005</v>
      </c>
    </row>
    <row r="31" spans="1:26" s="69" customFormat="1" ht="15" hidden="1" customHeight="1" outlineLevel="2" x14ac:dyDescent="0.3">
      <c r="A31" s="25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14370.65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14370.65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5"/>
      <c r="B32" s="12" t="str">
        <f>CONCATENATE("          ","6005"," - ","TEMPORARY WAGES-HOURLY")</f>
        <v xml:space="preserve">          6005 - TEMPORARY WAGES-HOURLY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8246.0499999999993</v>
      </c>
      <c r="Q32" s="3"/>
      <c r="R32" s="7">
        <f t="shared" si="4"/>
        <v>0</v>
      </c>
      <c r="S32" s="3"/>
      <c r="T32" s="8"/>
      <c r="U32" s="3"/>
      <c r="V32" s="7">
        <f t="shared" si="5"/>
        <v>0</v>
      </c>
      <c r="W32" s="3"/>
      <c r="X32" s="8">
        <f t="shared" si="6"/>
        <v>8246.0499999999993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5"/>
      <c r="B33" s="12" t="str">
        <f>CONCATENATE("          ","6007"," - ","STUDENT HOURLY")</f>
        <v xml:space="preserve">          6007 - STUDENT HOURLY</v>
      </c>
      <c r="C33" s="12"/>
      <c r="D33" s="8">
        <v>729.25</v>
      </c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729.25</v>
      </c>
      <c r="M33" s="3"/>
      <c r="N33" s="7">
        <f t="shared" si="3"/>
        <v>0</v>
      </c>
      <c r="O33" s="12"/>
      <c r="P33" s="8">
        <v>729.25</v>
      </c>
      <c r="Q33" s="3"/>
      <c r="R33" s="7">
        <f t="shared" si="4"/>
        <v>0</v>
      </c>
      <c r="S33" s="3"/>
      <c r="T33" s="8"/>
      <c r="U33" s="3"/>
      <c r="V33" s="7">
        <f t="shared" si="5"/>
        <v>0</v>
      </c>
      <c r="W33" s="3"/>
      <c r="X33" s="8">
        <f t="shared" si="6"/>
        <v>729.25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6"/>
      <c r="B34" s="14" t="str">
        <f>CONCATENATE("     ","Advertising/Promo                                 ")</f>
        <v xml:space="preserve">     Advertising/Promo                                 </v>
      </c>
      <c r="C34" s="14"/>
      <c r="D34" s="2">
        <f>SUM(OSRRefD22_2x_0)</f>
        <v>0</v>
      </c>
      <c r="E34" s="2"/>
      <c r="F34" s="6">
        <f t="shared" si="0"/>
        <v>0</v>
      </c>
      <c r="G34" s="2"/>
      <c r="H34" s="2">
        <f>SUM(OSRRefH22_2x_0)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SUM(OSRRefP22_2x_0)</f>
        <v>263.58</v>
      </c>
      <c r="Q34" s="2"/>
      <c r="R34" s="6">
        <f t="shared" si="4"/>
        <v>0</v>
      </c>
      <c r="S34" s="2"/>
      <c r="T34" s="2">
        <f>SUM(OSRRefT22_2x_0)</f>
        <v>0</v>
      </c>
      <c r="U34" s="2"/>
      <c r="V34" s="6">
        <f t="shared" si="5"/>
        <v>0</v>
      </c>
      <c r="W34" s="2"/>
      <c r="X34" s="2">
        <f t="shared" si="6"/>
        <v>263.58</v>
      </c>
      <c r="Y34" s="2"/>
      <c r="Z34" s="6">
        <f t="shared" si="7"/>
        <v>0</v>
      </c>
    </row>
    <row r="35" spans="1:26" s="69" customFormat="1" ht="15" hidden="1" customHeight="1" outlineLevel="2" x14ac:dyDescent="0.3">
      <c r="A35" s="25"/>
      <c r="B35" s="12" t="str">
        <f>CONCATENATE("          ","6362"," - ","ADVERTISING EXPENSE")</f>
        <v xml:space="preserve">          6362 - ADVERTISING EXPENSE</v>
      </c>
      <c r="C35" s="12"/>
      <c r="D35" s="8"/>
      <c r="E35" s="3"/>
      <c r="F35" s="7">
        <f t="shared" si="0"/>
        <v>0</v>
      </c>
      <c r="G35" s="3"/>
      <c r="H35" s="8"/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263.58</v>
      </c>
      <c r="Q35" s="3"/>
      <c r="R35" s="7">
        <f t="shared" si="4"/>
        <v>0</v>
      </c>
      <c r="S35" s="3"/>
      <c r="T35" s="8"/>
      <c r="U35" s="3"/>
      <c r="V35" s="7">
        <f t="shared" si="5"/>
        <v>0</v>
      </c>
      <c r="W35" s="3"/>
      <c r="X35" s="8">
        <f t="shared" si="6"/>
        <v>263.58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6"/>
      <c r="B36" s="14" t="str">
        <f>CONCATENATE("     ","Bank/card Fees                                    ")</f>
        <v xml:space="preserve">     Bank/card Fees                                    </v>
      </c>
      <c r="C36" s="14"/>
      <c r="D36" s="2">
        <f>SUM(OSRRefD22_3x_0)</f>
        <v>0</v>
      </c>
      <c r="E36" s="2"/>
      <c r="F36" s="6">
        <f t="shared" si="0"/>
        <v>0</v>
      </c>
      <c r="G36" s="2"/>
      <c r="H36" s="2">
        <f>SUM(OSRRefH22_3x_0)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SUM(OSRRefP22_3x_0)</f>
        <v>0.64</v>
      </c>
      <c r="Q36" s="2"/>
      <c r="R36" s="6">
        <f t="shared" si="4"/>
        <v>0</v>
      </c>
      <c r="S36" s="2"/>
      <c r="T36" s="2">
        <f>SUM(OSRRefT22_3x_0)</f>
        <v>0</v>
      </c>
      <c r="U36" s="2"/>
      <c r="V36" s="6">
        <f t="shared" si="5"/>
        <v>0</v>
      </c>
      <c r="W36" s="2"/>
      <c r="X36" s="2">
        <f t="shared" si="6"/>
        <v>0.64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5"/>
      <c r="B37" s="12" t="str">
        <f>CONCATENATE("          ","6381"," - ","BANK/CREDIT CARD FEES")</f>
        <v xml:space="preserve">          6381 - BANK/CREDIT CARD FEES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0.64</v>
      </c>
      <c r="Q37" s="3"/>
      <c r="R37" s="7">
        <f t="shared" si="4"/>
        <v>0</v>
      </c>
      <c r="S37" s="3"/>
      <c r="T37" s="8"/>
      <c r="U37" s="3"/>
      <c r="V37" s="7">
        <f t="shared" si="5"/>
        <v>0</v>
      </c>
      <c r="W37" s="3"/>
      <c r="X37" s="8">
        <f t="shared" si="6"/>
        <v>0.64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6"/>
      <c r="B38" s="14" t="str">
        <f>CONCATENATE("     ","Depreciation                                      ")</f>
        <v xml:space="preserve">     Depreciation                                      </v>
      </c>
      <c r="C38" s="14"/>
      <c r="D38" s="2">
        <f>SUM(OSRRefD22_4x_0)</f>
        <v>6701.08</v>
      </c>
      <c r="E38" s="2"/>
      <c r="F38" s="6">
        <f t="shared" si="0"/>
        <v>0</v>
      </c>
      <c r="G38" s="2"/>
      <c r="H38" s="2">
        <f>SUM(OSRRefH22_4x_0)</f>
        <v>6745.17</v>
      </c>
      <c r="I38" s="2"/>
      <c r="J38" s="6">
        <f t="shared" si="1"/>
        <v>0</v>
      </c>
      <c r="K38" s="2"/>
      <c r="L38" s="2">
        <f t="shared" si="2"/>
        <v>-44.090000000000146</v>
      </c>
      <c r="M38" s="2"/>
      <c r="N38" s="6">
        <f t="shared" si="3"/>
        <v>-6.5365291015645486E-3</v>
      </c>
      <c r="O38" s="14"/>
      <c r="P38" s="2">
        <f>SUM(OSRRefP22_4x_0)</f>
        <v>60397.86</v>
      </c>
      <c r="Q38" s="2"/>
      <c r="R38" s="6">
        <f t="shared" si="4"/>
        <v>0</v>
      </c>
      <c r="S38" s="2"/>
      <c r="T38" s="2">
        <f>SUM(OSRRefT22_4x_0)</f>
        <v>62003.68</v>
      </c>
      <c r="U38" s="2"/>
      <c r="V38" s="6">
        <f t="shared" si="5"/>
        <v>0</v>
      </c>
      <c r="W38" s="2"/>
      <c r="X38" s="2">
        <f t="shared" si="6"/>
        <v>-1605.8199999999997</v>
      </c>
      <c r="Y38" s="2"/>
      <c r="Z38" s="6">
        <f t="shared" si="7"/>
        <v>-2.5898785362417194E-2</v>
      </c>
    </row>
    <row r="39" spans="1:26" s="69" customFormat="1" ht="15" hidden="1" customHeight="1" outlineLevel="2" x14ac:dyDescent="0.3">
      <c r="A39" s="25"/>
      <c r="B39" s="12" t="str">
        <f>CONCATENATE("          ","6321"," - ","BUILDING DEPRECIATION")</f>
        <v xml:space="preserve">          6321 - BUILDING DEPRECIATION</v>
      </c>
      <c r="C39" s="12"/>
      <c r="D39" s="8">
        <v>6492.96</v>
      </c>
      <c r="E39" s="3"/>
      <c r="F39" s="7">
        <f t="shared" si="0"/>
        <v>0</v>
      </c>
      <c r="G39" s="3"/>
      <c r="H39" s="8">
        <v>6537.05</v>
      </c>
      <c r="I39" s="3"/>
      <c r="J39" s="7">
        <f t="shared" si="1"/>
        <v>0</v>
      </c>
      <c r="K39" s="3"/>
      <c r="L39" s="8">
        <f t="shared" si="2"/>
        <v>-44.090000000000146</v>
      </c>
      <c r="M39" s="3"/>
      <c r="N39" s="7">
        <f t="shared" si="3"/>
        <v>-6.7446325177259077E-3</v>
      </c>
      <c r="O39" s="12"/>
      <c r="P39" s="8">
        <v>58524.78</v>
      </c>
      <c r="Q39" s="3"/>
      <c r="R39" s="7">
        <f t="shared" si="4"/>
        <v>0</v>
      </c>
      <c r="S39" s="3"/>
      <c r="T39" s="8">
        <v>58833.45</v>
      </c>
      <c r="U39" s="3"/>
      <c r="V39" s="7">
        <f t="shared" si="5"/>
        <v>0</v>
      </c>
      <c r="W39" s="3"/>
      <c r="X39" s="8">
        <f t="shared" si="6"/>
        <v>-308.66999999999825</v>
      </c>
      <c r="Y39" s="3"/>
      <c r="Z39" s="7">
        <f t="shared" si="7"/>
        <v>-5.2465051769018858E-3</v>
      </c>
    </row>
    <row r="40" spans="1:26" s="69" customFormat="1" ht="15" hidden="1" customHeight="1" outlineLevel="2" x14ac:dyDescent="0.3">
      <c r="A40" s="25"/>
      <c r="B40" s="12" t="str">
        <f>CONCATENATE("          ","6322"," - ","EQUIPMENT DEPRECIATION EXPENSE")</f>
        <v xml:space="preserve">          6322 - EQUIPMENT DEPRECIATION EXPENSE</v>
      </c>
      <c r="C40" s="12"/>
      <c r="D40" s="8">
        <v>208.12</v>
      </c>
      <c r="E40" s="3"/>
      <c r="F40" s="7">
        <f t="shared" si="0"/>
        <v>0</v>
      </c>
      <c r="G40" s="3"/>
      <c r="H40" s="8">
        <v>208.12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1873.08</v>
      </c>
      <c r="Q40" s="3"/>
      <c r="R40" s="7">
        <f t="shared" si="4"/>
        <v>0</v>
      </c>
      <c r="S40" s="3"/>
      <c r="T40" s="8">
        <v>3170.23</v>
      </c>
      <c r="U40" s="3"/>
      <c r="V40" s="7">
        <f t="shared" si="5"/>
        <v>0</v>
      </c>
      <c r="W40" s="3"/>
      <c r="X40" s="8">
        <f t="shared" si="6"/>
        <v>-1297.1500000000001</v>
      </c>
      <c r="Y40" s="3"/>
      <c r="Z40" s="7">
        <f t="shared" si="7"/>
        <v>-0.40916589648069701</v>
      </c>
    </row>
    <row r="41" spans="1:26" s="68" customFormat="1" ht="15" customHeight="1" outlineLevel="1" collapsed="1" x14ac:dyDescent="0.3">
      <c r="A41" s="26"/>
      <c r="B41" s="14" t="str">
        <f>CONCATENATE("     ","Employees' Appreciation                           ")</f>
        <v xml:space="preserve">     Employees' Appreciation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49.95</v>
      </c>
      <c r="Q41" s="2"/>
      <c r="R41" s="6">
        <f t="shared" si="4"/>
        <v>0</v>
      </c>
      <c r="S41" s="2"/>
      <c r="T41" s="2">
        <f>SUM(OSRRefT22_5x_0)</f>
        <v>0</v>
      </c>
      <c r="U41" s="2"/>
      <c r="V41" s="6">
        <f t="shared" si="5"/>
        <v>0</v>
      </c>
      <c r="W41" s="2"/>
      <c r="X41" s="2">
        <f t="shared" si="6"/>
        <v>49.95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5"/>
      <c r="B42" s="12" t="str">
        <f>CONCATENATE("          ","6277"," - ","EMPLOYEE APPRECIATION")</f>
        <v xml:space="preserve">          6277 - EMPLOYEE APPRECIATION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49.95</v>
      </c>
      <c r="Q42" s="3"/>
      <c r="R42" s="7">
        <f t="shared" si="4"/>
        <v>0</v>
      </c>
      <c r="S42" s="3"/>
      <c r="T42" s="8"/>
      <c r="U42" s="3"/>
      <c r="V42" s="7">
        <f t="shared" si="5"/>
        <v>0</v>
      </c>
      <c r="W42" s="3"/>
      <c r="X42" s="8">
        <f t="shared" si="6"/>
        <v>49.95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6"/>
      <c r="B43" s="14" t="str">
        <f>CONCATENATE("     ","Equipment Rental                                  ")</f>
        <v xml:space="preserve">     Equipment Rental                                  </v>
      </c>
      <c r="C43" s="14"/>
      <c r="D43" s="2">
        <f>SUM(OSRRefD22_6x_0)</f>
        <v>290.5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290.5</v>
      </c>
      <c r="M43" s="2"/>
      <c r="N43" s="6">
        <f t="shared" si="3"/>
        <v>0</v>
      </c>
      <c r="O43" s="14"/>
      <c r="P43" s="2">
        <f>SUM(OSRRefP22_6x_0)</f>
        <v>4457.26</v>
      </c>
      <c r="Q43" s="2"/>
      <c r="R43" s="6">
        <f t="shared" si="4"/>
        <v>0</v>
      </c>
      <c r="S43" s="2"/>
      <c r="T43" s="2">
        <f>SUM(OSRRefT22_6x_0)</f>
        <v>263.72000000000003</v>
      </c>
      <c r="U43" s="2"/>
      <c r="V43" s="6">
        <f t="shared" si="5"/>
        <v>0</v>
      </c>
      <c r="W43" s="2"/>
      <c r="X43" s="2">
        <f t="shared" si="6"/>
        <v>4193.54</v>
      </c>
      <c r="Y43" s="2"/>
      <c r="Z43" s="6">
        <f t="shared" si="7"/>
        <v>15.901486424996206</v>
      </c>
    </row>
    <row r="44" spans="1:26" s="69" customFormat="1" ht="15" hidden="1" customHeight="1" outlineLevel="2" x14ac:dyDescent="0.3">
      <c r="A44" s="25"/>
      <c r="B44" s="12" t="str">
        <f>CONCATENATE("          ","6351"," - ","EQUIPMENT RENTAL")</f>
        <v xml:space="preserve">          6351 - EQUIPMENT RENTAL</v>
      </c>
      <c r="C44" s="12"/>
      <c r="D44" s="8">
        <v>290.5</v>
      </c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290.5</v>
      </c>
      <c r="M44" s="3"/>
      <c r="N44" s="7">
        <f t="shared" si="3"/>
        <v>0</v>
      </c>
      <c r="O44" s="12"/>
      <c r="P44" s="8">
        <v>4457.26</v>
      </c>
      <c r="Q44" s="3"/>
      <c r="R44" s="7">
        <f t="shared" si="4"/>
        <v>0</v>
      </c>
      <c r="S44" s="3"/>
      <c r="T44" s="8">
        <v>263.72000000000003</v>
      </c>
      <c r="U44" s="3"/>
      <c r="V44" s="7">
        <f t="shared" si="5"/>
        <v>0</v>
      </c>
      <c r="W44" s="3"/>
      <c r="X44" s="8">
        <f t="shared" si="6"/>
        <v>4193.54</v>
      </c>
      <c r="Y44" s="3"/>
      <c r="Z44" s="7">
        <f t="shared" si="7"/>
        <v>15.901486424996206</v>
      </c>
    </row>
    <row r="45" spans="1:26" s="68" customFormat="1" ht="15" customHeight="1" outlineLevel="1" collapsed="1" x14ac:dyDescent="0.3">
      <c r="A45" s="26"/>
      <c r="B45" s="14" t="str">
        <f>CONCATENATE("     ","General                                           ")</f>
        <v xml:space="preserve">     General            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SUM(OSRRefP22_7x_0)</f>
        <v>3074.55</v>
      </c>
      <c r="Q45" s="2"/>
      <c r="R45" s="6">
        <f t="shared" si="4"/>
        <v>0</v>
      </c>
      <c r="S45" s="2"/>
      <c r="T45" s="2">
        <f>SUM(OSRRefT22_7x_0)</f>
        <v>2969.55</v>
      </c>
      <c r="U45" s="2"/>
      <c r="V45" s="6">
        <f t="shared" si="5"/>
        <v>0</v>
      </c>
      <c r="W45" s="2"/>
      <c r="X45" s="2">
        <f t="shared" si="6"/>
        <v>105</v>
      </c>
      <c r="Y45" s="2"/>
      <c r="Z45" s="6">
        <f t="shared" si="7"/>
        <v>3.5358892761529523E-2</v>
      </c>
    </row>
    <row r="46" spans="1:26" s="69" customFormat="1" ht="15" hidden="1" customHeight="1" outlineLevel="2" x14ac:dyDescent="0.3">
      <c r="A46" s="25"/>
      <c r="B46" s="12" t="str">
        <f>CONCATENATE("          ","6279"," - ","GENERAL EXPENSE")</f>
        <v xml:space="preserve">          6279 - GENERAL EXPENSE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3074.55</v>
      </c>
      <c r="Q46" s="3"/>
      <c r="R46" s="7">
        <f t="shared" si="4"/>
        <v>0</v>
      </c>
      <c r="S46" s="3"/>
      <c r="T46" s="8">
        <v>2969.55</v>
      </c>
      <c r="U46" s="3"/>
      <c r="V46" s="7">
        <f t="shared" si="5"/>
        <v>0</v>
      </c>
      <c r="W46" s="3"/>
      <c r="X46" s="8">
        <f t="shared" si="6"/>
        <v>105</v>
      </c>
      <c r="Y46" s="3"/>
      <c r="Z46" s="7">
        <f t="shared" si="7"/>
        <v>3.5358892761529523E-2</v>
      </c>
    </row>
    <row r="47" spans="1:26" s="68" customFormat="1" ht="15" customHeight="1" outlineLevel="1" collapsed="1" x14ac:dyDescent="0.3">
      <c r="A47" s="26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SUM(OSRRefD22_8x_0)</f>
        <v>426.16</v>
      </c>
      <c r="E47" s="2"/>
      <c r="F47" s="6">
        <f t="shared" si="0"/>
        <v>0</v>
      </c>
      <c r="G47" s="2"/>
      <c r="H47" s="2">
        <f>SUM(OSRRefH22_8x_0)</f>
        <v>198.86</v>
      </c>
      <c r="I47" s="2"/>
      <c r="J47" s="6">
        <f t="shared" si="1"/>
        <v>0</v>
      </c>
      <c r="K47" s="2"/>
      <c r="L47" s="2">
        <f t="shared" si="2"/>
        <v>227.3</v>
      </c>
      <c r="M47" s="2"/>
      <c r="N47" s="6">
        <f t="shared" si="3"/>
        <v>1.1430151865634115</v>
      </c>
      <c r="O47" s="14"/>
      <c r="P47" s="2">
        <f>SUM(OSRRefP22_8x_0)</f>
        <v>8715.57</v>
      </c>
      <c r="Q47" s="2"/>
      <c r="R47" s="6">
        <f t="shared" si="4"/>
        <v>0</v>
      </c>
      <c r="S47" s="2"/>
      <c r="T47" s="2">
        <f>SUM(OSRRefT22_8x_0)</f>
        <v>675.19</v>
      </c>
      <c r="U47" s="2"/>
      <c r="V47" s="6">
        <f t="shared" si="5"/>
        <v>0</v>
      </c>
      <c r="W47" s="2"/>
      <c r="X47" s="2">
        <f t="shared" si="6"/>
        <v>8040.3799999999992</v>
      </c>
      <c r="Y47" s="2"/>
      <c r="Z47" s="6">
        <f t="shared" si="7"/>
        <v>11.908322101926863</v>
      </c>
    </row>
    <row r="48" spans="1:26" s="69" customFormat="1" ht="15" hidden="1" customHeight="1" outlineLevel="2" x14ac:dyDescent="0.3">
      <c r="A48" s="25"/>
      <c r="B48" s="12" t="str">
        <f>CONCATENATE("          ","6373"," - ","MAINTENANCE CONTRACTS")</f>
        <v xml:space="preserve">          6373 - MAINTENANCE CONTRACTS</v>
      </c>
      <c r="C48" s="12"/>
      <c r="D48" s="8">
        <v>426.16</v>
      </c>
      <c r="E48" s="3"/>
      <c r="F48" s="7">
        <f t="shared" si="0"/>
        <v>0</v>
      </c>
      <c r="G48" s="3"/>
      <c r="H48" s="8">
        <v>198.86</v>
      </c>
      <c r="I48" s="3"/>
      <c r="J48" s="7">
        <f t="shared" si="1"/>
        <v>0</v>
      </c>
      <c r="K48" s="3"/>
      <c r="L48" s="8">
        <f t="shared" si="2"/>
        <v>227.3</v>
      </c>
      <c r="M48" s="3"/>
      <c r="N48" s="7">
        <f t="shared" si="3"/>
        <v>1.1430151865634115</v>
      </c>
      <c r="O48" s="12"/>
      <c r="P48" s="8">
        <v>3567.59</v>
      </c>
      <c r="Q48" s="3"/>
      <c r="R48" s="7">
        <f t="shared" si="4"/>
        <v>0</v>
      </c>
      <c r="S48" s="3"/>
      <c r="T48" s="8">
        <v>675.19</v>
      </c>
      <c r="U48" s="3"/>
      <c r="V48" s="7">
        <f t="shared" si="5"/>
        <v>0</v>
      </c>
      <c r="W48" s="3"/>
      <c r="X48" s="8">
        <f t="shared" si="6"/>
        <v>2892.4</v>
      </c>
      <c r="Y48" s="3"/>
      <c r="Z48" s="7">
        <f t="shared" si="7"/>
        <v>4.2838312178794116</v>
      </c>
    </row>
    <row r="49" spans="1:26" s="69" customFormat="1" ht="15" hidden="1" customHeight="1" outlineLevel="2" x14ac:dyDescent="0.3">
      <c r="A49" s="25"/>
      <c r="B49" s="12" t="str">
        <f>CONCATENATE("          ","6375"," - ","OUTSIDE REPAIRS &amp; MAINTENANCE")</f>
        <v xml:space="preserve">          6375 - OUTSIDE REPAIRS &amp;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5147.9799999999996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5147.9799999999996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6"/>
      <c r="B50" s="14" t="str">
        <f>CONCATENATE("     ","Services                                          ")</f>
        <v xml:space="preserve">     Services                                          </v>
      </c>
      <c r="C50" s="14"/>
      <c r="D50" s="2">
        <f>SUM(OSRRefD22_9x_0)</f>
        <v>0</v>
      </c>
      <c r="E50" s="2"/>
      <c r="F50" s="6">
        <f t="shared" si="0"/>
        <v>0</v>
      </c>
      <c r="G50" s="2"/>
      <c r="H50" s="2">
        <f>SUM(OSRRefH22_9x_0)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SUM(OSRRefP22_9x_0)</f>
        <v>260</v>
      </c>
      <c r="Q50" s="2"/>
      <c r="R50" s="6">
        <f t="shared" si="4"/>
        <v>0</v>
      </c>
      <c r="S50" s="2"/>
      <c r="T50" s="2">
        <f>SUM(OSRRefT22_9x_0)</f>
        <v>0</v>
      </c>
      <c r="U50" s="2"/>
      <c r="V50" s="6">
        <f t="shared" si="5"/>
        <v>0</v>
      </c>
      <c r="W50" s="2"/>
      <c r="X50" s="2">
        <f t="shared" si="6"/>
        <v>260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","6285"," - ","JANITORIAL SERVICES")</f>
        <v xml:space="preserve">          6285 - JANITORIAL SERVICES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260</v>
      </c>
      <c r="Q51" s="3"/>
      <c r="R51" s="7">
        <f t="shared" si="4"/>
        <v>0</v>
      </c>
      <c r="S51" s="3"/>
      <c r="T51" s="8"/>
      <c r="U51" s="3"/>
      <c r="V51" s="7">
        <f t="shared" si="5"/>
        <v>0</v>
      </c>
      <c r="W51" s="3"/>
      <c r="X51" s="8">
        <f t="shared" si="6"/>
        <v>260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6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SUM(OSRRefD22_10x_0)</f>
        <v>214.92</v>
      </c>
      <c r="E52" s="2"/>
      <c r="F52" s="6">
        <f t="shared" si="0"/>
        <v>0</v>
      </c>
      <c r="G52" s="2"/>
      <c r="H52" s="2">
        <f>SUM(OSRRefH22_10x_0)</f>
        <v>0</v>
      </c>
      <c r="I52" s="2"/>
      <c r="J52" s="6">
        <f t="shared" si="1"/>
        <v>0</v>
      </c>
      <c r="K52" s="2"/>
      <c r="L52" s="2">
        <f t="shared" si="2"/>
        <v>214.92</v>
      </c>
      <c r="M52" s="2"/>
      <c r="N52" s="6">
        <f t="shared" si="3"/>
        <v>0</v>
      </c>
      <c r="O52" s="14"/>
      <c r="P52" s="2">
        <f>SUM(OSRRefP22_10x_0)</f>
        <v>1870.96</v>
      </c>
      <c r="Q52" s="2"/>
      <c r="R52" s="6">
        <f t="shared" si="4"/>
        <v>0</v>
      </c>
      <c r="S52" s="2"/>
      <c r="T52" s="2">
        <f>SUM(OSRRefT22_10x_0)</f>
        <v>0</v>
      </c>
      <c r="U52" s="2"/>
      <c r="V52" s="6">
        <f t="shared" si="5"/>
        <v>0</v>
      </c>
      <c r="W52" s="2"/>
      <c r="X52" s="2">
        <f t="shared" si="6"/>
        <v>1870.96</v>
      </c>
      <c r="Y52" s="2"/>
      <c r="Z52" s="6">
        <f t="shared" si="7"/>
        <v>0</v>
      </c>
    </row>
    <row r="53" spans="1:26" s="69" customFormat="1" ht="15" hidden="1" customHeight="1" outlineLevel="2" x14ac:dyDescent="0.3">
      <c r="A53" s="25"/>
      <c r="B53" s="12" t="str">
        <f>CONCATENATE("          ","6275"," - ","SUBSCRIPTIONS")</f>
        <v xml:space="preserve">          6275 - SUBSCRIPTIONS</v>
      </c>
      <c r="C53" s="12"/>
      <c r="D53" s="8">
        <v>214.92</v>
      </c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214.92</v>
      </c>
      <c r="M53" s="3"/>
      <c r="N53" s="7">
        <f t="shared" si="3"/>
        <v>0</v>
      </c>
      <c r="O53" s="12"/>
      <c r="P53" s="8">
        <v>1870.96</v>
      </c>
      <c r="Q53" s="3"/>
      <c r="R53" s="7">
        <f t="shared" si="4"/>
        <v>0</v>
      </c>
      <c r="S53" s="3"/>
      <c r="T53" s="8"/>
      <c r="U53" s="3"/>
      <c r="V53" s="7">
        <f t="shared" si="5"/>
        <v>0</v>
      </c>
      <c r="W53" s="3"/>
      <c r="X53" s="8">
        <f t="shared" si="6"/>
        <v>1870.96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6"/>
      <c r="B54" s="14" t="str">
        <f>CONCATENATE("     ","Supplies                                          ")</f>
        <v xml:space="preserve">     Supplies                                          </v>
      </c>
      <c r="C54" s="14"/>
      <c r="D54" s="2">
        <f>SUM(OSRRefD22_11x_0)</f>
        <v>35.72</v>
      </c>
      <c r="E54" s="2"/>
      <c r="F54" s="6">
        <f t="shared" si="0"/>
        <v>0</v>
      </c>
      <c r="G54" s="2"/>
      <c r="H54" s="2">
        <f>SUM(OSRRefH22_11x_0)</f>
        <v>0</v>
      </c>
      <c r="I54" s="2"/>
      <c r="J54" s="6">
        <f t="shared" si="1"/>
        <v>0</v>
      </c>
      <c r="K54" s="2"/>
      <c r="L54" s="2">
        <f t="shared" si="2"/>
        <v>35.72</v>
      </c>
      <c r="M54" s="2"/>
      <c r="N54" s="6">
        <f t="shared" si="3"/>
        <v>0</v>
      </c>
      <c r="O54" s="14"/>
      <c r="P54" s="2">
        <f>SUM(OSRRefP22_11x_0)</f>
        <v>2416.56</v>
      </c>
      <c r="Q54" s="2"/>
      <c r="R54" s="6">
        <f t="shared" si="4"/>
        <v>0</v>
      </c>
      <c r="S54" s="2"/>
      <c r="T54" s="2">
        <f>SUM(OSRRefT22_11x_0)</f>
        <v>0</v>
      </c>
      <c r="U54" s="2"/>
      <c r="V54" s="6">
        <f t="shared" si="5"/>
        <v>0</v>
      </c>
      <c r="W54" s="2"/>
      <c r="X54" s="2">
        <f t="shared" si="6"/>
        <v>2416.56</v>
      </c>
      <c r="Y54" s="2"/>
      <c r="Z54" s="6">
        <f t="shared" si="7"/>
        <v>0</v>
      </c>
    </row>
    <row r="55" spans="1:26" s="69" customFormat="1" ht="15" hidden="1" customHeight="1" outlineLevel="2" x14ac:dyDescent="0.3">
      <c r="A55" s="25"/>
      <c r="B55" s="12" t="str">
        <f>CONCATENATE("          ","6235"," - ","COVID-19 EXPENSES")</f>
        <v xml:space="preserve">          6235 - COVID-19 EXPENSES</v>
      </c>
      <c r="C55" s="12"/>
      <c r="D55" s="8">
        <v>35.72</v>
      </c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35.72</v>
      </c>
      <c r="M55" s="3"/>
      <c r="N55" s="7">
        <f t="shared" si="3"/>
        <v>0</v>
      </c>
      <c r="O55" s="12"/>
      <c r="P55" s="8">
        <v>35.72</v>
      </c>
      <c r="Q55" s="3"/>
      <c r="R55" s="7">
        <f t="shared" si="4"/>
        <v>0</v>
      </c>
      <c r="S55" s="3"/>
      <c r="T55" s="8"/>
      <c r="U55" s="3"/>
      <c r="V55" s="7">
        <f t="shared" si="5"/>
        <v>0</v>
      </c>
      <c r="W55" s="3"/>
      <c r="X55" s="8">
        <f t="shared" si="6"/>
        <v>35.72</v>
      </c>
      <c r="Y55" s="3"/>
      <c r="Z55" s="7">
        <f t="shared" si="7"/>
        <v>0</v>
      </c>
    </row>
    <row r="56" spans="1:26" s="69" customFormat="1" ht="15" hidden="1" customHeight="1" outlineLevel="2" x14ac:dyDescent="0.3">
      <c r="A56" s="25"/>
      <c r="B56" s="12" t="str">
        <f>CONCATENATE("          ","6237"," - ","JANITORIAL SUPPLIES")</f>
        <v xml:space="preserve">          6237 - JANITORIAL SUPPLIES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796.76</v>
      </c>
      <c r="Q56" s="3"/>
      <c r="R56" s="7">
        <f t="shared" si="4"/>
        <v>0</v>
      </c>
      <c r="S56" s="3"/>
      <c r="T56" s="8"/>
      <c r="U56" s="3"/>
      <c r="V56" s="7">
        <f t="shared" si="5"/>
        <v>0</v>
      </c>
      <c r="W56" s="3"/>
      <c r="X56" s="8">
        <f t="shared" si="6"/>
        <v>796.76</v>
      </c>
      <c r="Y56" s="3"/>
      <c r="Z56" s="7">
        <f t="shared" si="7"/>
        <v>0</v>
      </c>
    </row>
    <row r="57" spans="1:26" s="69" customFormat="1" ht="15" hidden="1" customHeight="1" outlineLevel="2" x14ac:dyDescent="0.3">
      <c r="A57" s="25"/>
      <c r="B57" s="12" t="str">
        <f>CONCATENATE("          ","6239"," - ","KITCHEN SUPPLIES")</f>
        <v xml:space="preserve">          6239 - KITCHEN SUPPLIES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>
        <v>214.67</v>
      </c>
      <c r="Q57" s="3"/>
      <c r="R57" s="7">
        <f t="shared" si="4"/>
        <v>0</v>
      </c>
      <c r="S57" s="3"/>
      <c r="T57" s="8"/>
      <c r="U57" s="3"/>
      <c r="V57" s="7">
        <f t="shared" si="5"/>
        <v>0</v>
      </c>
      <c r="W57" s="3"/>
      <c r="X57" s="8">
        <f t="shared" si="6"/>
        <v>214.67</v>
      </c>
      <c r="Y57" s="3"/>
      <c r="Z57" s="7">
        <f t="shared" si="7"/>
        <v>0</v>
      </c>
    </row>
    <row r="58" spans="1:26" s="69" customFormat="1" ht="15" hidden="1" customHeight="1" outlineLevel="2" x14ac:dyDescent="0.3">
      <c r="A58" s="25"/>
      <c r="B58" s="12" t="str">
        <f>CONCATENATE("          ","6241"," - ","OFFICE EXPENSE")</f>
        <v xml:space="preserve">          6241 - OFFICE EXPENSE</v>
      </c>
      <c r="C58" s="12"/>
      <c r="D58" s="8"/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>
        <v>893.22</v>
      </c>
      <c r="Q58" s="3"/>
      <c r="R58" s="7">
        <f t="shared" si="4"/>
        <v>0</v>
      </c>
      <c r="S58" s="3"/>
      <c r="T58" s="8"/>
      <c r="U58" s="3"/>
      <c r="V58" s="7">
        <f t="shared" si="5"/>
        <v>0</v>
      </c>
      <c r="W58" s="3"/>
      <c r="X58" s="8">
        <f t="shared" si="6"/>
        <v>893.22</v>
      </c>
      <c r="Y58" s="3"/>
      <c r="Z58" s="7">
        <f t="shared" si="7"/>
        <v>0</v>
      </c>
    </row>
    <row r="59" spans="1:26" s="69" customFormat="1" ht="15" hidden="1" customHeight="1" outlineLevel="2" x14ac:dyDescent="0.3">
      <c r="A59" s="25"/>
      <c r="B59" s="12" t="str">
        <f>CONCATENATE("          ","6243"," - ","PAPER SUPPLIES")</f>
        <v xml:space="preserve">          6243 - PAPER SUPPLIES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138.19</v>
      </c>
      <c r="Q59" s="3"/>
      <c r="R59" s="7">
        <f t="shared" si="4"/>
        <v>0</v>
      </c>
      <c r="S59" s="3"/>
      <c r="T59" s="8"/>
      <c r="U59" s="3"/>
      <c r="V59" s="7">
        <f t="shared" si="5"/>
        <v>0</v>
      </c>
      <c r="W59" s="3"/>
      <c r="X59" s="8">
        <f t="shared" si="6"/>
        <v>138.19</v>
      </c>
      <c r="Y59" s="3"/>
      <c r="Z59" s="7">
        <f t="shared" si="7"/>
        <v>0</v>
      </c>
    </row>
    <row r="60" spans="1:26" s="69" customFormat="1" ht="15" hidden="1" customHeight="1" outlineLevel="2" x14ac:dyDescent="0.3">
      <c r="A60" s="25"/>
      <c r="B60" s="12" t="str">
        <f>CONCATENATE("          ","6245"," - ","PRINTING")</f>
        <v xml:space="preserve">          6245 - PRINTING</v>
      </c>
      <c r="C60" s="12"/>
      <c r="D60" s="8"/>
      <c r="E60" s="3"/>
      <c r="F60" s="7">
        <f t="shared" si="0"/>
        <v>0</v>
      </c>
      <c r="G60" s="3"/>
      <c r="H60" s="8"/>
      <c r="I60" s="3"/>
      <c r="J60" s="7">
        <f t="shared" si="1"/>
        <v>0</v>
      </c>
      <c r="K60" s="3"/>
      <c r="L60" s="8">
        <f t="shared" si="2"/>
        <v>0</v>
      </c>
      <c r="M60" s="3"/>
      <c r="N60" s="7">
        <f t="shared" si="3"/>
        <v>0</v>
      </c>
      <c r="O60" s="12"/>
      <c r="P60" s="8">
        <v>338</v>
      </c>
      <c r="Q60" s="3"/>
      <c r="R60" s="7">
        <f t="shared" si="4"/>
        <v>0</v>
      </c>
      <c r="S60" s="3"/>
      <c r="T60" s="8"/>
      <c r="U60" s="3"/>
      <c r="V60" s="7">
        <f t="shared" si="5"/>
        <v>0</v>
      </c>
      <c r="W60" s="3"/>
      <c r="X60" s="8">
        <f t="shared" si="6"/>
        <v>338</v>
      </c>
      <c r="Y60" s="3"/>
      <c r="Z60" s="7">
        <f t="shared" si="7"/>
        <v>0</v>
      </c>
    </row>
    <row r="61" spans="1:26" s="68" customFormat="1" ht="15" customHeight="1" outlineLevel="1" collapsed="1" x14ac:dyDescent="0.3">
      <c r="A61" s="26"/>
      <c r="B61" s="14" t="str">
        <f>CONCATENATE("     ","Telephone/Data Lines                              ")</f>
        <v xml:space="preserve">     Telephone/Data Lines                              </v>
      </c>
      <c r="C61" s="14"/>
      <c r="D61" s="2">
        <f>SUM(OSRRefD22_12x_0)</f>
        <v>181.5</v>
      </c>
      <c r="E61" s="2"/>
      <c r="F61" s="6">
        <f t="shared" si="0"/>
        <v>0</v>
      </c>
      <c r="G61" s="2"/>
      <c r="H61" s="2">
        <f>SUM(OSRRefH22_12x_0)</f>
        <v>0</v>
      </c>
      <c r="I61" s="2"/>
      <c r="J61" s="6">
        <f t="shared" si="1"/>
        <v>0</v>
      </c>
      <c r="K61" s="2"/>
      <c r="L61" s="2">
        <f t="shared" si="2"/>
        <v>181.5</v>
      </c>
      <c r="M61" s="2"/>
      <c r="N61" s="6">
        <f t="shared" si="3"/>
        <v>0</v>
      </c>
      <c r="O61" s="14"/>
      <c r="P61" s="2">
        <f>SUM(OSRRefP22_12x_0)</f>
        <v>619.5</v>
      </c>
      <c r="Q61" s="2"/>
      <c r="R61" s="6">
        <f t="shared" si="4"/>
        <v>0</v>
      </c>
      <c r="S61" s="2"/>
      <c r="T61" s="2">
        <f>SUM(OSRRefT22_12x_0)</f>
        <v>250.87</v>
      </c>
      <c r="U61" s="2"/>
      <c r="V61" s="6">
        <f t="shared" si="5"/>
        <v>0</v>
      </c>
      <c r="W61" s="2"/>
      <c r="X61" s="2">
        <f t="shared" si="6"/>
        <v>368.63</v>
      </c>
      <c r="Y61" s="2"/>
      <c r="Z61" s="6">
        <f t="shared" si="7"/>
        <v>1.4694064655000598</v>
      </c>
    </row>
    <row r="62" spans="1:26" s="69" customFormat="1" ht="15" hidden="1" customHeight="1" outlineLevel="2" x14ac:dyDescent="0.3">
      <c r="A62" s="25"/>
      <c r="B62" s="12" t="str">
        <f>CONCATENATE("          ","6309"," - ","TELEPHONE")</f>
        <v xml:space="preserve">          6309 - TELEPHONE</v>
      </c>
      <c r="C62" s="12"/>
      <c r="D62" s="8">
        <v>181.5</v>
      </c>
      <c r="E62" s="3"/>
      <c r="F62" s="7">
        <f t="shared" si="0"/>
        <v>0</v>
      </c>
      <c r="G62" s="3"/>
      <c r="H62" s="8"/>
      <c r="I62" s="3"/>
      <c r="J62" s="7">
        <f t="shared" si="1"/>
        <v>0</v>
      </c>
      <c r="K62" s="3"/>
      <c r="L62" s="8">
        <f t="shared" si="2"/>
        <v>181.5</v>
      </c>
      <c r="M62" s="3"/>
      <c r="N62" s="7">
        <f t="shared" si="3"/>
        <v>0</v>
      </c>
      <c r="O62" s="12"/>
      <c r="P62" s="8">
        <v>619.5</v>
      </c>
      <c r="Q62" s="3"/>
      <c r="R62" s="7">
        <f t="shared" si="4"/>
        <v>0</v>
      </c>
      <c r="S62" s="3"/>
      <c r="T62" s="8">
        <v>250.87</v>
      </c>
      <c r="U62" s="3"/>
      <c r="V62" s="7">
        <f t="shared" si="5"/>
        <v>0</v>
      </c>
      <c r="W62" s="3"/>
      <c r="X62" s="8">
        <f t="shared" si="6"/>
        <v>368.63</v>
      </c>
      <c r="Y62" s="3"/>
      <c r="Z62" s="7">
        <f t="shared" si="7"/>
        <v>1.4694064655000598</v>
      </c>
    </row>
    <row r="63" spans="1:26" s="68" customFormat="1" ht="15" customHeight="1" outlineLevel="1" collapsed="1" x14ac:dyDescent="0.3">
      <c r="A63" s="26"/>
      <c r="B63" s="14" t="str">
        <f>CONCATENATE("     ","Training                                          ")</f>
        <v xml:space="preserve">     Training                                          </v>
      </c>
      <c r="C63" s="14"/>
      <c r="D63" s="2">
        <f>SUM(OSRRefD22_13x_0)</f>
        <v>0</v>
      </c>
      <c r="E63" s="2"/>
      <c r="F63" s="6">
        <f t="shared" si="0"/>
        <v>0</v>
      </c>
      <c r="G63" s="2"/>
      <c r="H63" s="2">
        <f>SUM(OSRRefH22_13x_0)</f>
        <v>0</v>
      </c>
      <c r="I63" s="2"/>
      <c r="J63" s="6">
        <f t="shared" si="1"/>
        <v>0</v>
      </c>
      <c r="K63" s="2"/>
      <c r="L63" s="2">
        <f t="shared" si="2"/>
        <v>0</v>
      </c>
      <c r="M63" s="2"/>
      <c r="N63" s="6">
        <f t="shared" si="3"/>
        <v>0</v>
      </c>
      <c r="O63" s="14"/>
      <c r="P63" s="2">
        <f>SUM(OSRRefP22_13x_0)</f>
        <v>120</v>
      </c>
      <c r="Q63" s="2"/>
      <c r="R63" s="6">
        <f t="shared" si="4"/>
        <v>0</v>
      </c>
      <c r="S63" s="2"/>
      <c r="T63" s="2">
        <f>SUM(OSRRefT22_13x_0)</f>
        <v>0</v>
      </c>
      <c r="U63" s="2"/>
      <c r="V63" s="6">
        <f t="shared" si="5"/>
        <v>0</v>
      </c>
      <c r="W63" s="2"/>
      <c r="X63" s="2">
        <f t="shared" si="6"/>
        <v>120</v>
      </c>
      <c r="Y63" s="2"/>
      <c r="Z63" s="6">
        <f t="shared" si="7"/>
        <v>0</v>
      </c>
    </row>
    <row r="64" spans="1:26" s="69" customFormat="1" ht="15" hidden="1" customHeight="1" outlineLevel="2" x14ac:dyDescent="0.3">
      <c r="A64" s="25"/>
      <c r="B64" s="12" t="str">
        <f>CONCATENATE("          ","6376"," - ","TRAINING")</f>
        <v xml:space="preserve">          6376 - TRAINING</v>
      </c>
      <c r="C64" s="12"/>
      <c r="D64" s="8"/>
      <c r="E64" s="3"/>
      <c r="F64" s="7">
        <f t="shared" si="0"/>
        <v>0</v>
      </c>
      <c r="G64" s="3"/>
      <c r="H64" s="8"/>
      <c r="I64" s="3"/>
      <c r="J64" s="7">
        <f t="shared" si="1"/>
        <v>0</v>
      </c>
      <c r="K64" s="3"/>
      <c r="L64" s="8">
        <f t="shared" si="2"/>
        <v>0</v>
      </c>
      <c r="M64" s="3"/>
      <c r="N64" s="7">
        <f t="shared" si="3"/>
        <v>0</v>
      </c>
      <c r="O64" s="12"/>
      <c r="P64" s="8">
        <v>120</v>
      </c>
      <c r="Q64" s="3"/>
      <c r="R64" s="7">
        <f t="shared" si="4"/>
        <v>0</v>
      </c>
      <c r="S64" s="3"/>
      <c r="T64" s="8"/>
      <c r="U64" s="3"/>
      <c r="V64" s="7">
        <f t="shared" si="5"/>
        <v>0</v>
      </c>
      <c r="W64" s="3"/>
      <c r="X64" s="8">
        <f t="shared" si="6"/>
        <v>120</v>
      </c>
      <c r="Y64" s="3"/>
      <c r="Z64" s="7">
        <f t="shared" si="7"/>
        <v>0</v>
      </c>
    </row>
    <row r="65" spans="1:26" s="64" customFormat="1" ht="15" customHeight="1" x14ac:dyDescent="0.3">
      <c r="A65" s="36"/>
      <c r="B65" s="36"/>
      <c r="C65" s="36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2" customFormat="1" ht="15" customHeight="1" collapsed="1" x14ac:dyDescent="0.3">
      <c r="A66" s="11"/>
      <c r="B66" s="28" t="s">
        <v>290</v>
      </c>
      <c r="C66" s="11"/>
      <c r="D66" s="5">
        <f>SUM(OSRRefD25x_0)</f>
        <v>352.8</v>
      </c>
      <c r="E66" s="5"/>
      <c r="F66" s="13">
        <f>IF(D$12=0,0,D66/D$12)</f>
        <v>0</v>
      </c>
      <c r="G66" s="5"/>
      <c r="H66" s="5">
        <f>SUM(OSRRefH25x_0)</f>
        <v>0</v>
      </c>
      <c r="I66" s="5"/>
      <c r="J66" s="13">
        <f>IF(H$12=0,0,H66/H$12)</f>
        <v>0</v>
      </c>
      <c r="K66" s="5"/>
      <c r="L66" s="5">
        <f>+D66-H66</f>
        <v>352.8</v>
      </c>
      <c r="M66" s="5"/>
      <c r="N66" s="13">
        <f>IF(H66=0,0,L66/H66)</f>
        <v>0</v>
      </c>
      <c r="O66" s="11"/>
      <c r="P66" s="5">
        <f>SUM(OSRRefP25x_0)</f>
        <v>694.3</v>
      </c>
      <c r="Q66" s="5"/>
      <c r="R66" s="13">
        <f>IF(P$12=0,0,P66/P$12)</f>
        <v>0</v>
      </c>
      <c r="S66" s="5"/>
      <c r="T66" s="5">
        <f>SUM(OSRRefT25x_0)</f>
        <v>111.42</v>
      </c>
      <c r="U66" s="5"/>
      <c r="V66" s="13">
        <f>IF(T$12=0,0,T66/T$12)</f>
        <v>0</v>
      </c>
      <c r="W66" s="5"/>
      <c r="X66" s="5">
        <f>+P66-T66</f>
        <v>582.88</v>
      </c>
      <c r="Y66" s="5"/>
      <c r="Z66" s="13">
        <f>IF(T66=0,0,X66/T66)</f>
        <v>5.2313767725722489</v>
      </c>
    </row>
    <row r="67" spans="1:26" s="69" customFormat="1" ht="15" hidden="1" customHeight="1" outlineLevel="1" x14ac:dyDescent="0.3">
      <c r="A67" s="42"/>
      <c r="B67" s="12" t="str">
        <f>CONCATENATE("          ","9150"," - ","MISC. INCOME")</f>
        <v xml:space="preserve">          9150 - MISC. INCOME</v>
      </c>
      <c r="C67" s="12"/>
      <c r="D67" s="3">
        <f>--352.8</f>
        <v>352.8</v>
      </c>
      <c r="E67" s="3"/>
      <c r="F67" s="20">
        <f>IF(D$12=0,0,D67/D$12)</f>
        <v>0</v>
      </c>
      <c r="G67" s="3"/>
      <c r="H67" s="3">
        <f>0</f>
        <v>0</v>
      </c>
      <c r="I67" s="3"/>
      <c r="J67" s="20">
        <f>IF(H$12=0,0,H67/H$12)</f>
        <v>0</v>
      </c>
      <c r="K67" s="3"/>
      <c r="L67" s="3">
        <f>+D67-H67</f>
        <v>352.8</v>
      </c>
      <c r="M67" s="3"/>
      <c r="N67" s="20">
        <f>IF(H67=0,0,L67/H67)</f>
        <v>0</v>
      </c>
      <c r="O67" s="12"/>
      <c r="P67" s="3">
        <f>--694.3</f>
        <v>694.3</v>
      </c>
      <c r="Q67" s="3"/>
      <c r="R67" s="20">
        <f>IF(P$12=0,0,P67/P$12)</f>
        <v>0</v>
      </c>
      <c r="S67" s="3"/>
      <c r="T67" s="3">
        <f>--111.42</f>
        <v>111.42</v>
      </c>
      <c r="U67" s="3"/>
      <c r="V67" s="20">
        <f>IF(T$12=0,0,T67/T$12)</f>
        <v>0</v>
      </c>
      <c r="W67" s="3"/>
      <c r="X67" s="3">
        <f>+P67-T67</f>
        <v>582.88</v>
      </c>
      <c r="Y67" s="3"/>
      <c r="Z67" s="20">
        <f>IF(T67=0,0,X67/T67)</f>
        <v>5.2313767725722489</v>
      </c>
    </row>
    <row r="68" spans="1:26" ht="15" customHeight="1" x14ac:dyDescent="0.3">
      <c r="A68" s="10"/>
      <c r="B68" s="11"/>
      <c r="C68" s="11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O68" s="11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7" t="s">
        <v>291</v>
      </c>
      <c r="C69" s="27"/>
      <c r="D69" s="22">
        <f>+D17-D19+D66</f>
        <v>-16206.399999999998</v>
      </c>
      <c r="E69" s="15"/>
      <c r="F69" s="21">
        <f>IF(D$12=0,0,D69/D$12)</f>
        <v>0</v>
      </c>
      <c r="G69" s="15"/>
      <c r="H69" s="22">
        <f>+H17-H19+H66</f>
        <v>-6642.3499999999995</v>
      </c>
      <c r="I69" s="15"/>
      <c r="J69" s="21">
        <f>IF(H$12=0,0,H69/H$12)</f>
        <v>0</v>
      </c>
      <c r="K69" s="17"/>
      <c r="L69" s="22">
        <f>+D69-H69</f>
        <v>-9564.0499999999993</v>
      </c>
      <c r="M69" s="17"/>
      <c r="N69" s="21">
        <f>IF(H69=0,0,L69/H69)</f>
        <v>1.4398593871145002</v>
      </c>
      <c r="O69" s="28"/>
      <c r="P69" s="22">
        <f>+P17-P19+P66</f>
        <v>-154507.49000000005</v>
      </c>
      <c r="Q69" s="15"/>
      <c r="R69" s="21">
        <f>IF(P$12=0,0,P69/P$12)</f>
        <v>0</v>
      </c>
      <c r="S69" s="15"/>
      <c r="T69" s="22">
        <f>+T17-T19+T66</f>
        <v>-73987.92</v>
      </c>
      <c r="U69" s="15"/>
      <c r="V69" s="21">
        <f>IF(T$12=0,0,T69/T$12)</f>
        <v>0</v>
      </c>
      <c r="W69" s="17"/>
      <c r="X69" s="22">
        <f>+P69-T69</f>
        <v>-80519.570000000051</v>
      </c>
      <c r="Y69" s="17"/>
      <c r="Z69" s="21">
        <f>IF(T69=0,0,X69/T69)</f>
        <v>1.0882799516461614</v>
      </c>
    </row>
    <row r="70" spans="1:26" ht="15" customHeight="1" x14ac:dyDescent="0.3">
      <c r="A70" s="10"/>
      <c r="B70" s="11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48"/>
      <c r="B71" s="11" t="s">
        <v>292</v>
      </c>
      <c r="C71" s="11"/>
      <c r="D71" s="5"/>
      <c r="E71" s="5"/>
      <c r="F71" s="13">
        <f>IF(D$12=0,0,D71/D$12)</f>
        <v>0</v>
      </c>
      <c r="G71" s="5"/>
      <c r="H71" s="5"/>
      <c r="I71" s="5"/>
      <c r="J71" s="13">
        <f>IF(H$12=0,0,H71/H$12)</f>
        <v>0</v>
      </c>
      <c r="K71" s="5"/>
      <c r="L71" s="5">
        <f>+D71-H71</f>
        <v>0</v>
      </c>
      <c r="M71" s="5"/>
      <c r="N71" s="13">
        <f>IF(H71=0,0,L71/H71)</f>
        <v>0</v>
      </c>
      <c r="O71" s="11"/>
      <c r="P71" s="5"/>
      <c r="Q71" s="5"/>
      <c r="R71" s="13">
        <f>IF(P$12=0,0,P71/P$12)</f>
        <v>0</v>
      </c>
      <c r="S71" s="5"/>
      <c r="T71" s="5"/>
      <c r="U71" s="5"/>
      <c r="V71" s="13">
        <f>IF(T$12=0,0,T71/T$12)</f>
        <v>0</v>
      </c>
      <c r="W71" s="5"/>
      <c r="X71" s="5">
        <f>+P71-T71</f>
        <v>0</v>
      </c>
      <c r="Y71" s="5"/>
      <c r="Z71" s="13">
        <f>IF(T71=0,0,X71/T71)</f>
        <v>0</v>
      </c>
    </row>
    <row r="72" spans="1:26" ht="15" customHeight="1" x14ac:dyDescent="0.3">
      <c r="A72" s="10"/>
      <c r="B72" s="11"/>
      <c r="C72" s="11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O72" s="11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3">
      <c r="A73" s="11"/>
      <c r="B73" s="27" t="s">
        <v>293</v>
      </c>
      <c r="C73" s="27"/>
      <c r="D73" s="34">
        <f>+D69-D71</f>
        <v>-16206.399999999998</v>
      </c>
      <c r="E73" s="15"/>
      <c r="F73" s="33">
        <f>IF(D$12=0,0,D73/D$12)</f>
        <v>0</v>
      </c>
      <c r="G73" s="15"/>
      <c r="H73" s="34">
        <f>+H69-H71</f>
        <v>-6642.3499999999995</v>
      </c>
      <c r="I73" s="15"/>
      <c r="J73" s="33">
        <f>IF(H$12=0,0,H73/H$12)</f>
        <v>0</v>
      </c>
      <c r="K73" s="17"/>
      <c r="L73" s="34">
        <f>D73-H73</f>
        <v>-9564.0499999999993</v>
      </c>
      <c r="M73" s="17"/>
      <c r="N73" s="33">
        <f>IF(H73=0,0,L73/H73)</f>
        <v>1.4398593871145002</v>
      </c>
      <c r="O73" s="28"/>
      <c r="P73" s="34">
        <f>+P69-P71</f>
        <v>-154507.49000000005</v>
      </c>
      <c r="Q73" s="15"/>
      <c r="R73" s="33">
        <f>IF(P$12=0,0,P73/P$12)</f>
        <v>0</v>
      </c>
      <c r="S73" s="15"/>
      <c r="T73" s="34">
        <f>+T69-T71</f>
        <v>-73987.92</v>
      </c>
      <c r="U73" s="15"/>
      <c r="V73" s="33">
        <f>IF(T$12=0,0,T73/T$12)</f>
        <v>0</v>
      </c>
      <c r="W73" s="17"/>
      <c r="X73" s="34">
        <f>P73-T73</f>
        <v>-80519.570000000051</v>
      </c>
      <c r="Y73" s="17"/>
      <c r="Z73" s="33">
        <f>IF(T73=0,0,X73/T73)</f>
        <v>1.0882799516461614</v>
      </c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ht="15" customHeight="1" x14ac:dyDescent="0.3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7" t="s">
        <v>296</v>
      </c>
      <c r="C76" s="27"/>
      <c r="D76" s="31">
        <f>SUM(D73:D75)</f>
        <v>-16206.399999999998</v>
      </c>
      <c r="E76" s="15"/>
      <c r="F76" s="32">
        <f>IF(D$12=0,0,D76/D$12)</f>
        <v>0</v>
      </c>
      <c r="G76" s="15"/>
      <c r="H76" s="31">
        <f>SUM(H73:H75)</f>
        <v>-6642.3499999999995</v>
      </c>
      <c r="I76" s="15"/>
      <c r="J76" s="32">
        <f>IF(H$12=0,0,H76/H$12)</f>
        <v>0</v>
      </c>
      <c r="K76" s="17"/>
      <c r="L76" s="31">
        <f>+D76-H76</f>
        <v>-9564.0499999999993</v>
      </c>
      <c r="M76" s="17"/>
      <c r="N76" s="32">
        <f>IF(H76=0,0,L76/H76)</f>
        <v>1.4398593871145002</v>
      </c>
      <c r="O76" s="28"/>
      <c r="P76" s="31">
        <f>SUM(P73:P75)</f>
        <v>-154507.49000000005</v>
      </c>
      <c r="Q76" s="15"/>
      <c r="R76" s="32">
        <f>IF(P$12=0,0,P76/P$12)</f>
        <v>0</v>
      </c>
      <c r="S76" s="15"/>
      <c r="T76" s="31">
        <f>SUM(T73:T75)</f>
        <v>-73987.92</v>
      </c>
      <c r="U76" s="15"/>
      <c r="V76" s="32">
        <f>IF(T$12=0,0,T76/T$12)</f>
        <v>0</v>
      </c>
      <c r="W76" s="17"/>
      <c r="X76" s="31">
        <f>+P76-T76</f>
        <v>-80519.570000000051</v>
      </c>
      <c r="Y76" s="17"/>
      <c r="Z76" s="32">
        <f>IF(T76=0,0,X76/T76)</f>
        <v>1.0882799516461614</v>
      </c>
    </row>
    <row r="77" spans="1:26" ht="15" customHeight="1" x14ac:dyDescent="0.3">
      <c r="A77" s="10"/>
      <c r="C77" s="10"/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6">
        <v>44663.03859679398</v>
      </c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A79" s="10"/>
      <c r="B79" s="57" t="s">
        <v>297</v>
      </c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  <row r="80" spans="1:26" ht="15" customHeight="1" x14ac:dyDescent="0.3">
      <c r="A80" s="10"/>
      <c r="B80" s="58"/>
      <c r="D80" s="19"/>
      <c r="E80" s="19"/>
      <c r="G80" s="19"/>
      <c r="H80" s="19"/>
      <c r="I80" s="19"/>
      <c r="J80" s="40"/>
      <c r="K80" s="19"/>
      <c r="L80" s="19"/>
      <c r="M80" s="19"/>
      <c r="P80" s="19"/>
      <c r="Q80" s="19"/>
      <c r="R80" s="40"/>
      <c r="S80" s="19"/>
      <c r="T80" s="19"/>
      <c r="U80" s="19"/>
      <c r="V80" s="40"/>
      <c r="W80" s="19"/>
      <c r="X80" s="19"/>
    </row>
    <row r="81" spans="4:24" ht="15" customHeight="1" x14ac:dyDescent="0.3">
      <c r="D81" s="19"/>
      <c r="E81" s="19"/>
      <c r="G81" s="19"/>
      <c r="H81" s="19"/>
      <c r="I81" s="19"/>
      <c r="J81" s="40"/>
      <c r="K81" s="19"/>
      <c r="L81" s="19"/>
      <c r="M81" s="19"/>
      <c r="P81" s="19"/>
      <c r="Q81" s="19"/>
      <c r="R81" s="40"/>
      <c r="S81" s="19"/>
      <c r="T81" s="19"/>
      <c r="U81" s="19"/>
      <c r="V81" s="40"/>
      <c r="W81" s="19"/>
      <c r="X8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0023F-B64F-0DBC-3AC3-A8D050309236}">
  <sheetPr>
    <tabColor rgb="FF92D050"/>
    <outlinePr summaryBelow="0" summaryRight="0"/>
  </sheetPr>
  <dimension ref="A2:Z3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","420"," - ","Catering")</f>
        <v>Department 420 - Catering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51782.31</v>
      </c>
      <c r="I12" s="5"/>
      <c r="J12" s="13"/>
      <c r="K12" s="5"/>
      <c r="L12" s="5">
        <f>+D12-H12</f>
        <v>-51782.31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331940.11</v>
      </c>
      <c r="U12" s="5"/>
      <c r="V12" s="13"/>
      <c r="W12" s="5"/>
      <c r="X12" s="5">
        <f>+P12-T12</f>
        <v>-331940.11</v>
      </c>
      <c r="Y12" s="5"/>
      <c r="Z12" s="13">
        <f>IF(T12=0,0,X12/T12)</f>
        <v>-1</v>
      </c>
    </row>
    <row r="13" spans="1:26" s="69" customFormat="1" ht="15" hidden="1" customHeight="1" outlineLevel="1" x14ac:dyDescent="0.3">
      <c r="A13" s="42"/>
      <c r="B13" s="12" t="str">
        <f>CONCATENATE("          ","4052"," - ","TAXABLE SALES-FOOD")</f>
        <v xml:space="preserve">          4052 - TAXABLE SALES-FOOD</v>
      </c>
      <c r="C13" s="12"/>
      <c r="D13" s="3">
        <f>0</f>
        <v>0</v>
      </c>
      <c r="E13" s="3"/>
      <c r="F13" s="20"/>
      <c r="G13" s="3"/>
      <c r="H13" s="3">
        <f>--51782.31</f>
        <v>51782.31</v>
      </c>
      <c r="I13" s="3"/>
      <c r="J13" s="20"/>
      <c r="K13" s="3"/>
      <c r="L13" s="3">
        <f>+D13-H13</f>
        <v>-51782.31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f>--331940.11</f>
        <v>331940.11</v>
      </c>
      <c r="U13" s="3"/>
      <c r="V13" s="20"/>
      <c r="W13" s="3"/>
      <c r="X13" s="3">
        <f>+P13-T13</f>
        <v>-331940.11</v>
      </c>
      <c r="Y13" s="3"/>
      <c r="Z13" s="20">
        <f>IF(T13=0,0,X13/T13)</f>
        <v>-1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8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7" t="s">
        <v>288</v>
      </c>
      <c r="C17" s="27"/>
      <c r="D17" s="22">
        <f>D12-D15</f>
        <v>0</v>
      </c>
      <c r="E17" s="15"/>
      <c r="F17" s="21">
        <f>IF(D$12=0,0,D17/D$12)</f>
        <v>0</v>
      </c>
      <c r="G17" s="15"/>
      <c r="H17" s="22">
        <f>H12-H15</f>
        <v>51782.31</v>
      </c>
      <c r="I17" s="15"/>
      <c r="J17" s="21">
        <f>IF(H$12=0,0,H17/H$12)</f>
        <v>1</v>
      </c>
      <c r="K17" s="17"/>
      <c r="L17" s="22">
        <f>+D17-H17</f>
        <v>-51782.31</v>
      </c>
      <c r="M17" s="17"/>
      <c r="N17" s="21">
        <f>IF(H17=0,0,L17/H17)</f>
        <v>-1</v>
      </c>
      <c r="O17" s="28"/>
      <c r="P17" s="22">
        <f>P12-P15</f>
        <v>0</v>
      </c>
      <c r="Q17" s="15"/>
      <c r="R17" s="21">
        <f>IF(P$12=0,0,P17/P$12)</f>
        <v>0</v>
      </c>
      <c r="S17" s="15"/>
      <c r="T17" s="22">
        <f>T12-T15</f>
        <v>331940.11</v>
      </c>
      <c r="U17" s="15"/>
      <c r="V17" s="21">
        <f>IF(T$12=0,0,T17/T$12)</f>
        <v>1</v>
      </c>
      <c r="W17" s="17"/>
      <c r="X17" s="22">
        <f>+P17-T17</f>
        <v>-331940.11</v>
      </c>
      <c r="Y17" s="17"/>
      <c r="Z17" s="21">
        <f>IF(T17=0,0,X17/T17)</f>
        <v>-1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8" t="s">
        <v>289</v>
      </c>
      <c r="C19" s="11"/>
      <c r="D19" s="23" cm="1">
        <f t="array" ref="D19">SUM(OSRRefD22x_0)</f>
        <v>0</v>
      </c>
      <c r="E19" s="23"/>
      <c r="F19" s="35">
        <f>IF(D$12=0,0,D19/D$12)</f>
        <v>0</v>
      </c>
      <c r="G19" s="23"/>
      <c r="H19" s="23" cm="1">
        <f t="array" ref="H19">SUM(OSRRefH22x_0)</f>
        <v>341.22</v>
      </c>
      <c r="I19" s="23"/>
      <c r="J19" s="35">
        <f>IF(H$12=0,0,H19/H$12)</f>
        <v>6.5895090427599704E-3</v>
      </c>
      <c r="K19" s="5"/>
      <c r="L19" s="23">
        <f>+D19-H19</f>
        <v>-341.22</v>
      </c>
      <c r="M19" s="5"/>
      <c r="N19" s="35">
        <f>IF(H19=0,0,L19/H19)</f>
        <v>-1</v>
      </c>
      <c r="O19" s="11"/>
      <c r="P19" s="23" cm="1">
        <f t="array" ref="P19">SUM(OSRRefP22x_0)</f>
        <v>0</v>
      </c>
      <c r="Q19" s="23"/>
      <c r="R19" s="35">
        <f>IF(P$12=0,0,P19/P$12)</f>
        <v>0</v>
      </c>
      <c r="S19" s="23"/>
      <c r="T19" s="23" cm="1">
        <f t="array" ref="T19">SUM(OSRRefT22x_0)</f>
        <v>349.08000000000004</v>
      </c>
      <c r="U19" s="23"/>
      <c r="V19" s="35">
        <f>IF(T$12=0,0,T19/T$12)</f>
        <v>1.051635489305586E-3</v>
      </c>
      <c r="W19" s="5"/>
      <c r="X19" s="23">
        <f>+P19-T19</f>
        <v>-349.08000000000004</v>
      </c>
      <c r="Y19" s="5"/>
      <c r="Z19" s="35">
        <f>IF(T19=0,0,X19/T19)</f>
        <v>-1</v>
      </c>
    </row>
    <row r="20" spans="1:26" s="68" customFormat="1" ht="15" customHeight="1" outlineLevel="1" collapsed="1" x14ac:dyDescent="0.3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0</v>
      </c>
      <c r="E20" s="2"/>
      <c r="F20" s="6">
        <f>IF(D$12=0,0,D20/D$12)</f>
        <v>0</v>
      </c>
      <c r="G20" s="2"/>
      <c r="H20" s="2">
        <f>SUM(OSRRefH22_0x_0)</f>
        <v>0</v>
      </c>
      <c r="I20" s="2"/>
      <c r="J20" s="6">
        <f>IF(H$12=0,0,H20/H$12)</f>
        <v>0</v>
      </c>
      <c r="K20" s="2"/>
      <c r="L20" s="2">
        <f>+D20-H20</f>
        <v>0</v>
      </c>
      <c r="M20" s="2"/>
      <c r="N20" s="6">
        <f>IF(H20=0,0,L20/H20)</f>
        <v>0</v>
      </c>
      <c r="O20" s="14"/>
      <c r="P20" s="2">
        <f>SUM(OSRRefP22_0x_0)</f>
        <v>0</v>
      </c>
      <c r="Q20" s="2"/>
      <c r="R20" s="6">
        <f>IF(P$12=0,0,P20/P$12)</f>
        <v>0</v>
      </c>
      <c r="S20" s="2"/>
      <c r="T20" s="2">
        <f>SUM(OSRRefT22_0x_0)</f>
        <v>7.86</v>
      </c>
      <c r="U20" s="2"/>
      <c r="V20" s="6">
        <f>IF(T$12=0,0,T20/T$12)</f>
        <v>2.3678970281717388E-5</v>
      </c>
      <c r="W20" s="2"/>
      <c r="X20" s="2">
        <f>+P20-T20</f>
        <v>-7.86</v>
      </c>
      <c r="Y20" s="2"/>
      <c r="Z20" s="6">
        <f>IF(T20=0,0,X20/T20)</f>
        <v>-1</v>
      </c>
    </row>
    <row r="21" spans="1:26" s="69" customFormat="1" ht="15" hidden="1" customHeight="1" outlineLevel="2" x14ac:dyDescent="0.3">
      <c r="A21" s="25"/>
      <c r="B21" s="12" t="str">
        <f>CONCATENATE("          ","6111"," - ","F.I.C.A.")</f>
        <v xml:space="preserve">          6111 - F.I.C.A.</v>
      </c>
      <c r="C21" s="12"/>
      <c r="D21" s="8"/>
      <c r="E21" s="3"/>
      <c r="F21" s="7">
        <f>IF(D$12=0,0,D21/D$12)</f>
        <v>0</v>
      </c>
      <c r="G21" s="3"/>
      <c r="H21" s="8"/>
      <c r="I21" s="3"/>
      <c r="J21" s="7">
        <f>IF(H$12=0,0,H21/H$12)</f>
        <v>0</v>
      </c>
      <c r="K21" s="3"/>
      <c r="L21" s="8">
        <f>+D21-H21</f>
        <v>0</v>
      </c>
      <c r="M21" s="3"/>
      <c r="N21" s="7">
        <f>IF(H21=0,0,L21/H21)</f>
        <v>0</v>
      </c>
      <c r="O21" s="12"/>
      <c r="P21" s="8"/>
      <c r="Q21" s="3"/>
      <c r="R21" s="7">
        <f>IF(P$12=0,0,P21/P$12)</f>
        <v>0</v>
      </c>
      <c r="S21" s="3"/>
      <c r="T21" s="8">
        <v>7.86</v>
      </c>
      <c r="U21" s="3"/>
      <c r="V21" s="7">
        <f>IF(T$12=0,0,T21/T$12)</f>
        <v>2.3678970281717388E-5</v>
      </c>
      <c r="W21" s="3"/>
      <c r="X21" s="8">
        <f>+P21-T21</f>
        <v>-7.86</v>
      </c>
      <c r="Y21" s="3"/>
      <c r="Z21" s="7">
        <f>IF(T21=0,0,X21/T21)</f>
        <v>-1</v>
      </c>
    </row>
    <row r="22" spans="1:26" s="68" customFormat="1" ht="15" customHeight="1" outlineLevel="1" collapsed="1" x14ac:dyDescent="0.3">
      <c r="A22" s="26"/>
      <c r="B22" s="14" t="str">
        <f>CONCATENATE("     ","Repair and Maintenance                            ")</f>
        <v xml:space="preserve">     Repair and Maintenance                            </v>
      </c>
      <c r="C22" s="14"/>
      <c r="D22" s="2">
        <f>SUM(OSRRefD22_1x_0)</f>
        <v>0</v>
      </c>
      <c r="E22" s="2"/>
      <c r="F22" s="6">
        <f>IF(D$12=0,0,D22/D$12)</f>
        <v>0</v>
      </c>
      <c r="G22" s="2"/>
      <c r="H22" s="2">
        <f>SUM(OSRRefH22_1x_0)</f>
        <v>341.22</v>
      </c>
      <c r="I22" s="2"/>
      <c r="J22" s="6">
        <f>IF(H$12=0,0,H22/H$12)</f>
        <v>6.5895090427599704E-3</v>
      </c>
      <c r="K22" s="2"/>
      <c r="L22" s="2">
        <f>+D22-H22</f>
        <v>-341.22</v>
      </c>
      <c r="M22" s="2"/>
      <c r="N22" s="6">
        <f>IF(H22=0,0,L22/H22)</f>
        <v>-1</v>
      </c>
      <c r="O22" s="14"/>
      <c r="P22" s="2">
        <f>SUM(OSRRefP22_1x_0)</f>
        <v>0</v>
      </c>
      <c r="Q22" s="2"/>
      <c r="R22" s="6">
        <f>IF(P$12=0,0,P22/P$12)</f>
        <v>0</v>
      </c>
      <c r="S22" s="2"/>
      <c r="T22" s="2">
        <f>SUM(OSRRefT22_1x_0)</f>
        <v>341.22</v>
      </c>
      <c r="U22" s="2"/>
      <c r="V22" s="6">
        <f>IF(T$12=0,0,T22/T$12)</f>
        <v>1.0279565190238686E-3</v>
      </c>
      <c r="W22" s="2"/>
      <c r="X22" s="2">
        <f>+P22-T22</f>
        <v>-341.22</v>
      </c>
      <c r="Y22" s="2"/>
      <c r="Z22" s="6">
        <f>IF(T22=0,0,X22/T22)</f>
        <v>-1</v>
      </c>
    </row>
    <row r="23" spans="1:26" s="69" customFormat="1" ht="15" hidden="1" customHeight="1" outlineLevel="2" x14ac:dyDescent="0.3">
      <c r="A23" s="25"/>
      <c r="B23" s="12" t="str">
        <f>CONCATENATE("          ","6375"," - ","OUTSIDE REPAIRS &amp; MAINTENANCE")</f>
        <v xml:space="preserve">          6375 - OUTSIDE REPAIRS &amp; MAINTENANCE</v>
      </c>
      <c r="C23" s="12"/>
      <c r="D23" s="8"/>
      <c r="E23" s="3"/>
      <c r="F23" s="7">
        <f>IF(D$12=0,0,D23/D$12)</f>
        <v>0</v>
      </c>
      <c r="G23" s="3"/>
      <c r="H23" s="8">
        <v>341.22</v>
      </c>
      <c r="I23" s="3"/>
      <c r="J23" s="7">
        <f>IF(H$12=0,0,H23/H$12)</f>
        <v>6.5895090427599704E-3</v>
      </c>
      <c r="K23" s="3"/>
      <c r="L23" s="8">
        <f>+D23-H23</f>
        <v>-341.22</v>
      </c>
      <c r="M23" s="3"/>
      <c r="N23" s="7">
        <f>IF(H23=0,0,L23/H23)</f>
        <v>-1</v>
      </c>
      <c r="O23" s="12"/>
      <c r="P23" s="8"/>
      <c r="Q23" s="3"/>
      <c r="R23" s="7">
        <f>IF(P$12=0,0,P23/P$12)</f>
        <v>0</v>
      </c>
      <c r="S23" s="3"/>
      <c r="T23" s="8">
        <v>341.22</v>
      </c>
      <c r="U23" s="3"/>
      <c r="V23" s="7">
        <f>IF(T$12=0,0,T23/T$12)</f>
        <v>1.0279565190238686E-3</v>
      </c>
      <c r="W23" s="3"/>
      <c r="X23" s="8">
        <f>+P23-T23</f>
        <v>-341.22</v>
      </c>
      <c r="Y23" s="3"/>
      <c r="Z23" s="7">
        <f>IF(T23=0,0,X23/T23)</f>
        <v>-1</v>
      </c>
    </row>
    <row r="24" spans="1:26" s="64" customFormat="1" ht="15" customHeight="1" x14ac:dyDescent="0.3">
      <c r="A24" s="36"/>
      <c r="B24" s="36"/>
      <c r="C24" s="36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8" t="s">
        <v>290</v>
      </c>
      <c r="C25" s="11"/>
      <c r="D25" s="5">
        <f>SUM(0)</f>
        <v>0</v>
      </c>
      <c r="E25" s="5"/>
      <c r="F25" s="13">
        <f>IF(D$12=0,0,D25/D$12)</f>
        <v>0</v>
      </c>
      <c r="G25" s="5"/>
      <c r="H25" s="5">
        <f>SUM(0)</f>
        <v>0</v>
      </c>
      <c r="I25" s="5"/>
      <c r="J25" s="13">
        <f>IF(H$12=0,0,H25/H$12)</f>
        <v>0</v>
      </c>
      <c r="K25" s="5"/>
      <c r="L25" s="5">
        <f>+D25-H25</f>
        <v>0</v>
      </c>
      <c r="M25" s="5"/>
      <c r="N25" s="13">
        <f>IF(H25=0,0,L25/H25)</f>
        <v>0</v>
      </c>
      <c r="O25" s="11"/>
      <c r="P25" s="5">
        <f>SUM(0)</f>
        <v>0</v>
      </c>
      <c r="Q25" s="5"/>
      <c r="R25" s="13">
        <f>IF(P$12=0,0,P25/P$12)</f>
        <v>0</v>
      </c>
      <c r="S25" s="5"/>
      <c r="T25" s="5">
        <f>SUM(0)</f>
        <v>0</v>
      </c>
      <c r="U25" s="5"/>
      <c r="V25" s="13">
        <f>IF(T$12=0,0,T25/T$12)</f>
        <v>0</v>
      </c>
      <c r="W25" s="5"/>
      <c r="X25" s="5">
        <f>+P25-T25</f>
        <v>0</v>
      </c>
      <c r="Y25" s="5"/>
      <c r="Z25" s="13">
        <f>IF(T25=0,0,X25/T25)</f>
        <v>0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>
        <f>+D17-D19+D25</f>
        <v>0</v>
      </c>
      <c r="E27" s="15"/>
      <c r="F27" s="21">
        <f>IF(D$12=0,0,D27/D$12)</f>
        <v>0</v>
      </c>
      <c r="G27" s="15"/>
      <c r="H27" s="22">
        <f>+H17-H19+H25</f>
        <v>51441.09</v>
      </c>
      <c r="I27" s="15"/>
      <c r="J27" s="21">
        <f>IF(H$12=0,0,H27/H$12)</f>
        <v>0.99341049095723999</v>
      </c>
      <c r="K27" s="17"/>
      <c r="L27" s="22">
        <f>+D27-H27</f>
        <v>-51441.09</v>
      </c>
      <c r="M27" s="17"/>
      <c r="N27" s="21">
        <f>IF(H27=0,0,L27/H27)</f>
        <v>-1</v>
      </c>
      <c r="O27" s="28"/>
      <c r="P27" s="22">
        <f>+P17-P19+P25</f>
        <v>0</v>
      </c>
      <c r="Q27" s="15"/>
      <c r="R27" s="21">
        <f>IF(P$12=0,0,P27/P$12)</f>
        <v>0</v>
      </c>
      <c r="S27" s="15"/>
      <c r="T27" s="22">
        <f>+T17-T19+T25</f>
        <v>331591.02999999997</v>
      </c>
      <c r="U27" s="15"/>
      <c r="V27" s="21">
        <f>IF(T$12=0,0,T27/T$12)</f>
        <v>0.99894836451069435</v>
      </c>
      <c r="W27" s="17"/>
      <c r="X27" s="22">
        <f>+P27-T27</f>
        <v>-331591.02999999997</v>
      </c>
      <c r="Y27" s="17"/>
      <c r="Z27" s="21">
        <f>IF(T27=0,0,X27/T27)</f>
        <v>-1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/>
      <c r="E29" s="5"/>
      <c r="F29" s="13">
        <f>IF(D$12=0,0,D29/D$12)</f>
        <v>0</v>
      </c>
      <c r="G29" s="5"/>
      <c r="H29" s="5">
        <v>12928.77</v>
      </c>
      <c r="I29" s="5"/>
      <c r="J29" s="13">
        <f>IF(H$12=0,0,H29/H$12)</f>
        <v>0.24967542004209548</v>
      </c>
      <c r="K29" s="5"/>
      <c r="L29" s="5">
        <f>+D29-H29</f>
        <v>-12928.77</v>
      </c>
      <c r="M29" s="5"/>
      <c r="N29" s="13">
        <f>IF(H29=0,0,L29/H29)</f>
        <v>-1</v>
      </c>
      <c r="O29" s="11"/>
      <c r="P29" s="5"/>
      <c r="Q29" s="5"/>
      <c r="R29" s="13">
        <f>IF(P$12=0,0,P29/P$12)</f>
        <v>0</v>
      </c>
      <c r="S29" s="5"/>
      <c r="T29" s="5">
        <v>68410.039999999994</v>
      </c>
      <c r="U29" s="5"/>
      <c r="V29" s="13">
        <f>IF(T$12=0,0,T29/T$12)</f>
        <v>0.20609151452049587</v>
      </c>
      <c r="W29" s="5"/>
      <c r="X29" s="5">
        <f>+P29-T29</f>
        <v>-68410.039999999994</v>
      </c>
      <c r="Y29" s="5"/>
      <c r="Z29" s="13">
        <f>IF(T29=0,0,X29/T29)</f>
        <v>-1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>
        <f>+D27-D29</f>
        <v>0</v>
      </c>
      <c r="E31" s="15"/>
      <c r="F31" s="33">
        <f>IF(D$12=0,0,D31/D$12)</f>
        <v>0</v>
      </c>
      <c r="G31" s="15"/>
      <c r="H31" s="34">
        <f>+H27-H29</f>
        <v>38512.319999999992</v>
      </c>
      <c r="I31" s="15"/>
      <c r="J31" s="33">
        <f>IF(H$12=0,0,H31/H$12)</f>
        <v>0.74373507091514446</v>
      </c>
      <c r="K31" s="17"/>
      <c r="L31" s="34">
        <f>D31-H31</f>
        <v>-38512.319999999992</v>
      </c>
      <c r="M31" s="17"/>
      <c r="N31" s="33">
        <f>IF(H31=0,0,L31/H31)</f>
        <v>-1</v>
      </c>
      <c r="O31" s="28"/>
      <c r="P31" s="34">
        <f>+P27-P29</f>
        <v>0</v>
      </c>
      <c r="Q31" s="15"/>
      <c r="R31" s="33">
        <f>IF(P$12=0,0,P31/P$12)</f>
        <v>0</v>
      </c>
      <c r="S31" s="15"/>
      <c r="T31" s="34">
        <f>+T27-T29</f>
        <v>263180.99</v>
      </c>
      <c r="U31" s="15"/>
      <c r="V31" s="33">
        <f>IF(T$12=0,0,T31/T$12)</f>
        <v>0.79285684999019856</v>
      </c>
      <c r="W31" s="17"/>
      <c r="X31" s="34">
        <f>P31-T31</f>
        <v>-263180.99</v>
      </c>
      <c r="Y31" s="17"/>
      <c r="Z31" s="33">
        <f>IF(T31=0,0,X31/T31)</f>
        <v>-1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7" t="s">
        <v>296</v>
      </c>
      <c r="C34" s="27"/>
      <c r="D34" s="31">
        <f>SUM(D31:D33)</f>
        <v>0</v>
      </c>
      <c r="E34" s="15"/>
      <c r="F34" s="32">
        <f>IF(D$12=0,0,D34/D$12)</f>
        <v>0</v>
      </c>
      <c r="G34" s="15"/>
      <c r="H34" s="31">
        <f>SUM(H31:H33)</f>
        <v>38512.319999999992</v>
      </c>
      <c r="I34" s="15"/>
      <c r="J34" s="32">
        <f>IF(H$12=0,0,H34/H$12)</f>
        <v>0.74373507091514446</v>
      </c>
      <c r="K34" s="17"/>
      <c r="L34" s="31">
        <f>+D34-H34</f>
        <v>-38512.319999999992</v>
      </c>
      <c r="M34" s="17"/>
      <c r="N34" s="32">
        <f>IF(H34=0,0,L34/H34)</f>
        <v>-1</v>
      </c>
      <c r="O34" s="28"/>
      <c r="P34" s="31">
        <f>SUM(P31:P33)</f>
        <v>0</v>
      </c>
      <c r="Q34" s="15"/>
      <c r="R34" s="32">
        <f>IF(P$12=0,0,P34/P$12)</f>
        <v>0</v>
      </c>
      <c r="S34" s="15"/>
      <c r="T34" s="31">
        <f>SUM(T31:T33)</f>
        <v>263180.99</v>
      </c>
      <c r="U34" s="15"/>
      <c r="V34" s="32">
        <f>IF(T$12=0,0,T34/T$12)</f>
        <v>0.79285684999019856</v>
      </c>
      <c r="W34" s="17"/>
      <c r="X34" s="31">
        <f>+P34-T34</f>
        <v>-263180.99</v>
      </c>
      <c r="Y34" s="17"/>
      <c r="Z34" s="32">
        <f>IF(T34=0,0,X34/T34)</f>
        <v>-1</v>
      </c>
    </row>
    <row r="35" spans="1:26" ht="15" customHeight="1" x14ac:dyDescent="0.3">
      <c r="A35" s="10"/>
      <c r="C35" s="10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6" ht="15" customHeight="1" x14ac:dyDescent="0.3">
      <c r="A36" s="10"/>
      <c r="B36" s="56">
        <v>44663.03859679398</v>
      </c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7" t="s">
        <v>297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8"/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42A5-FD47-4DD7-77E6-6FEBEACE37C9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","423"," - ","Contract/Vending Revenue")</f>
        <v>Department 423 - Contract/Vending Revenue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36</v>
      </c>
      <c r="E18" s="23"/>
      <c r="F18" s="35">
        <f t="shared" ref="F18:F27" si="0">IF(D$12=0,0,D18/D$12)</f>
        <v>0</v>
      </c>
      <c r="G18" s="23"/>
      <c r="H18" s="23" cm="1">
        <f t="array" ref="H18">SUM(OSRRefH22x_0)</f>
        <v>186</v>
      </c>
      <c r="I18" s="23"/>
      <c r="J18" s="35">
        <f t="shared" ref="J18:J27" si="1">IF(H$12=0,0,H18/H$12)</f>
        <v>0</v>
      </c>
      <c r="K18" s="5"/>
      <c r="L18" s="23">
        <f t="shared" ref="L18:L27" si="2">+D18-H18</f>
        <v>-150</v>
      </c>
      <c r="M18" s="5"/>
      <c r="N18" s="35">
        <f t="shared" ref="N18:N27" si="3">IF(H18=0,0,L18/H18)</f>
        <v>-0.80645161290322576</v>
      </c>
      <c r="O18" s="11"/>
      <c r="P18" s="23" cm="1">
        <f t="array" ref="P18">SUM(OSRRefP22x_0)</f>
        <v>8861.64</v>
      </c>
      <c r="Q18" s="23"/>
      <c r="R18" s="35">
        <f t="shared" ref="R18:R27" si="4">IF(P$12=0,0,P18/P$12)</f>
        <v>0</v>
      </c>
      <c r="S18" s="23"/>
      <c r="T18" s="23" cm="1">
        <f t="array" ref="T18">SUM(OSRRefT22x_0)</f>
        <v>3288.7400000000002</v>
      </c>
      <c r="U18" s="23"/>
      <c r="V18" s="35">
        <f t="shared" ref="V18:V27" si="5">IF(T$12=0,0,T18/T$12)</f>
        <v>0</v>
      </c>
      <c r="W18" s="5"/>
      <c r="X18" s="23">
        <f t="shared" ref="X18:X27" si="6">+P18-T18</f>
        <v>5572.9</v>
      </c>
      <c r="Y18" s="5"/>
      <c r="Z18" s="35">
        <f t="shared" ref="Z18:Z27" si="7">IF(T18=0,0,X18/T18)</f>
        <v>1.6945395501012543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2478.73</v>
      </c>
      <c r="U19" s="2"/>
      <c r="V19" s="6">
        <f t="shared" si="5"/>
        <v>0</v>
      </c>
      <c r="W19" s="2"/>
      <c r="X19" s="2">
        <f t="shared" si="6"/>
        <v>-2478.73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5"/>
      <c r="B20" s="12" t="str">
        <f>CONCATENATE("          ","6113"," - ","GROUP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1868.2</v>
      </c>
      <c r="U20" s="3"/>
      <c r="V20" s="7">
        <f t="shared" si="5"/>
        <v>0</v>
      </c>
      <c r="W20" s="3"/>
      <c r="X20" s="8">
        <f t="shared" si="6"/>
        <v>-1868.2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5"/>
      <c r="B21" s="12" t="str">
        <f>CONCATENATE("          ","6115"," - ","P.E.R.S.")</f>
        <v xml:space="preserve">          6115 - P.E.R.S.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610.53</v>
      </c>
      <c r="U21" s="3"/>
      <c r="V21" s="7">
        <f t="shared" si="5"/>
        <v>0</v>
      </c>
      <c r="W21" s="3"/>
      <c r="X21" s="8">
        <f t="shared" si="6"/>
        <v>-610.53</v>
      </c>
      <c r="Y21" s="3"/>
      <c r="Z21" s="7">
        <f t="shared" si="7"/>
        <v>-1</v>
      </c>
    </row>
    <row r="22" spans="1:26" s="68" customFormat="1" ht="15" customHeight="1" outlineLevel="1" collapsed="1" x14ac:dyDescent="0.3">
      <c r="A22" s="26"/>
      <c r="B22" s="14" t="str">
        <f>CONCATENATE("     ","General                                           ")</f>
        <v xml:space="preserve">     General                                           </v>
      </c>
      <c r="C22" s="14"/>
      <c r="D22" s="2">
        <f>SUM(OSRRefD22_1x_0)</f>
        <v>0</v>
      </c>
      <c r="E22" s="2"/>
      <c r="F22" s="6">
        <f t="shared" si="0"/>
        <v>0</v>
      </c>
      <c r="G22" s="2"/>
      <c r="H22" s="2">
        <f>SUM(OSRRefH22_1x_0)</f>
        <v>0</v>
      </c>
      <c r="I22" s="2"/>
      <c r="J22" s="6">
        <f t="shared" si="1"/>
        <v>0</v>
      </c>
      <c r="K22" s="2"/>
      <c r="L22" s="2">
        <f t="shared" si="2"/>
        <v>0</v>
      </c>
      <c r="M22" s="2"/>
      <c r="N22" s="6">
        <f t="shared" si="3"/>
        <v>0</v>
      </c>
      <c r="O22" s="14"/>
      <c r="P22" s="2">
        <f>SUM(OSRRefP22_1x_0)</f>
        <v>7816.11</v>
      </c>
      <c r="Q22" s="2"/>
      <c r="R22" s="6">
        <f t="shared" si="4"/>
        <v>0</v>
      </c>
      <c r="S22" s="2"/>
      <c r="T22" s="2">
        <f>SUM(OSRRefT22_1x_0)</f>
        <v>0</v>
      </c>
      <c r="U22" s="2"/>
      <c r="V22" s="6">
        <f t="shared" si="5"/>
        <v>0</v>
      </c>
      <c r="W22" s="2"/>
      <c r="X22" s="2">
        <f t="shared" si="6"/>
        <v>7816.11</v>
      </c>
      <c r="Y22" s="2"/>
      <c r="Z22" s="6">
        <f t="shared" si="7"/>
        <v>0</v>
      </c>
    </row>
    <row r="23" spans="1:26" s="69" customFormat="1" ht="15" hidden="1" customHeight="1" outlineLevel="2" x14ac:dyDescent="0.3">
      <c r="A23" s="25"/>
      <c r="B23" s="12" t="str">
        <f>CONCATENATE("          ","6279"," - ","GENERAL EXPENSE")</f>
        <v xml:space="preserve">          6279 - GENERAL EXPENSE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>
        <v>7816.11</v>
      </c>
      <c r="Q23" s="3"/>
      <c r="R23" s="7">
        <f t="shared" si="4"/>
        <v>0</v>
      </c>
      <c r="S23" s="3"/>
      <c r="T23" s="8"/>
      <c r="U23" s="3"/>
      <c r="V23" s="7">
        <f t="shared" si="5"/>
        <v>0</v>
      </c>
      <c r="W23" s="3"/>
      <c r="X23" s="8">
        <f t="shared" si="6"/>
        <v>7816.11</v>
      </c>
      <c r="Y23" s="3"/>
      <c r="Z23" s="7">
        <f t="shared" si="7"/>
        <v>0</v>
      </c>
    </row>
    <row r="24" spans="1:26" s="68" customFormat="1" ht="15" customHeight="1" outlineLevel="1" collapsed="1" x14ac:dyDescent="0.3">
      <c r="A24" s="26"/>
      <c r="B24" s="14" t="str">
        <f>CONCATENATE("     ","Supplies                                          ")</f>
        <v xml:space="preserve">     Supplies                                          </v>
      </c>
      <c r="C24" s="14"/>
      <c r="D24" s="2">
        <f>SUM(OSRRefD22_2x_0)</f>
        <v>0</v>
      </c>
      <c r="E24" s="2"/>
      <c r="F24" s="6">
        <f t="shared" si="0"/>
        <v>0</v>
      </c>
      <c r="G24" s="2"/>
      <c r="H24" s="2">
        <f>SUM(OSRRefH22_2x_0)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SUM(OSRRefP22_2x_0)</f>
        <v>564.03</v>
      </c>
      <c r="Q24" s="2"/>
      <c r="R24" s="6">
        <f t="shared" si="4"/>
        <v>0</v>
      </c>
      <c r="S24" s="2"/>
      <c r="T24" s="2">
        <f>SUM(OSRRefT22_2x_0)</f>
        <v>-2.99</v>
      </c>
      <c r="U24" s="2"/>
      <c r="V24" s="6">
        <f t="shared" si="5"/>
        <v>0</v>
      </c>
      <c r="W24" s="2"/>
      <c r="X24" s="2">
        <f t="shared" si="6"/>
        <v>567.02</v>
      </c>
      <c r="Y24" s="2"/>
      <c r="Z24" s="6">
        <f t="shared" si="7"/>
        <v>-189.63879598662206</v>
      </c>
    </row>
    <row r="25" spans="1:26" s="69" customFormat="1" ht="15" hidden="1" customHeight="1" outlineLevel="2" x14ac:dyDescent="0.3">
      <c r="A25" s="25"/>
      <c r="B25" s="12" t="str">
        <f>CONCATENATE("          ","6241"," - ","OFFICE EXPENSE")</f>
        <v xml:space="preserve">          6241 - OFFICE EXPENSE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564.03</v>
      </c>
      <c r="Q25" s="3"/>
      <c r="R25" s="7">
        <f t="shared" si="4"/>
        <v>0</v>
      </c>
      <c r="S25" s="3"/>
      <c r="T25" s="8">
        <v>-2.99</v>
      </c>
      <c r="U25" s="3"/>
      <c r="V25" s="7">
        <f t="shared" si="5"/>
        <v>0</v>
      </c>
      <c r="W25" s="3"/>
      <c r="X25" s="8">
        <f t="shared" si="6"/>
        <v>567.02</v>
      </c>
      <c r="Y25" s="3"/>
      <c r="Z25" s="7">
        <f t="shared" si="7"/>
        <v>-189.63879598662206</v>
      </c>
    </row>
    <row r="26" spans="1:26" s="68" customFormat="1" ht="15" customHeight="1" outlineLevel="1" collapsed="1" x14ac:dyDescent="0.3">
      <c r="A26" s="26"/>
      <c r="B26" s="14" t="str">
        <f>CONCATENATE("     ","Telephone/Data Lines                              ")</f>
        <v xml:space="preserve">     Telephone/Data Lines                              </v>
      </c>
      <c r="C26" s="14"/>
      <c r="D26" s="2">
        <f>SUM(OSRRefD22_3x_0)</f>
        <v>36</v>
      </c>
      <c r="E26" s="2"/>
      <c r="F26" s="6">
        <f t="shared" si="0"/>
        <v>0</v>
      </c>
      <c r="G26" s="2"/>
      <c r="H26" s="2">
        <f>SUM(OSRRefH22_3x_0)</f>
        <v>186</v>
      </c>
      <c r="I26" s="2"/>
      <c r="J26" s="6">
        <f t="shared" si="1"/>
        <v>0</v>
      </c>
      <c r="K26" s="2"/>
      <c r="L26" s="2">
        <f t="shared" si="2"/>
        <v>-150</v>
      </c>
      <c r="M26" s="2"/>
      <c r="N26" s="6">
        <f t="shared" si="3"/>
        <v>-0.80645161290322576</v>
      </c>
      <c r="O26" s="14"/>
      <c r="P26" s="2">
        <f>SUM(OSRRefP22_3x_0)</f>
        <v>481.5</v>
      </c>
      <c r="Q26" s="2"/>
      <c r="R26" s="6">
        <f t="shared" si="4"/>
        <v>0</v>
      </c>
      <c r="S26" s="2"/>
      <c r="T26" s="2">
        <f>SUM(OSRRefT22_3x_0)</f>
        <v>813</v>
      </c>
      <c r="U26" s="2"/>
      <c r="V26" s="6">
        <f t="shared" si="5"/>
        <v>0</v>
      </c>
      <c r="W26" s="2"/>
      <c r="X26" s="2">
        <f t="shared" si="6"/>
        <v>-331.5</v>
      </c>
      <c r="Y26" s="2"/>
      <c r="Z26" s="6">
        <f t="shared" si="7"/>
        <v>-0.40774907749077488</v>
      </c>
    </row>
    <row r="27" spans="1:26" s="69" customFormat="1" ht="15" hidden="1" customHeight="1" outlineLevel="2" x14ac:dyDescent="0.3">
      <c r="A27" s="25"/>
      <c r="B27" s="12" t="str">
        <f>CONCATENATE("          ","6309"," - ","TELEPHONE")</f>
        <v xml:space="preserve">          6309 - TELEPHONE</v>
      </c>
      <c r="C27" s="12"/>
      <c r="D27" s="8">
        <v>36</v>
      </c>
      <c r="E27" s="3"/>
      <c r="F27" s="7">
        <f t="shared" si="0"/>
        <v>0</v>
      </c>
      <c r="G27" s="3"/>
      <c r="H27" s="8">
        <v>186</v>
      </c>
      <c r="I27" s="3"/>
      <c r="J27" s="7">
        <f t="shared" si="1"/>
        <v>0</v>
      </c>
      <c r="K27" s="3"/>
      <c r="L27" s="8">
        <f t="shared" si="2"/>
        <v>-150</v>
      </c>
      <c r="M27" s="3"/>
      <c r="N27" s="7">
        <f t="shared" si="3"/>
        <v>-0.80645161290322576</v>
      </c>
      <c r="O27" s="12"/>
      <c r="P27" s="8">
        <v>481.5</v>
      </c>
      <c r="Q27" s="3"/>
      <c r="R27" s="7">
        <f t="shared" si="4"/>
        <v>0</v>
      </c>
      <c r="S27" s="3"/>
      <c r="T27" s="8">
        <v>813</v>
      </c>
      <c r="U27" s="3"/>
      <c r="V27" s="7">
        <f t="shared" si="5"/>
        <v>0</v>
      </c>
      <c r="W27" s="3"/>
      <c r="X27" s="8">
        <f t="shared" si="6"/>
        <v>-331.5</v>
      </c>
      <c r="Y27" s="3"/>
      <c r="Z27" s="7">
        <f t="shared" si="7"/>
        <v>-0.40774907749077488</v>
      </c>
    </row>
    <row r="28" spans="1:26" s="64" customFormat="1" ht="15" customHeight="1" x14ac:dyDescent="0.3">
      <c r="A28" s="36"/>
      <c r="B28" s="36"/>
      <c r="C28" s="36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collapsed="1" x14ac:dyDescent="0.3">
      <c r="A29" s="11"/>
      <c r="B29" s="28" t="s">
        <v>290</v>
      </c>
      <c r="C29" s="11"/>
      <c r="D29" s="5">
        <f>SUM(OSRRefD25x_0)</f>
        <v>5387.14</v>
      </c>
      <c r="E29" s="5"/>
      <c r="F29" s="13">
        <f>IF(D$12=0,0,D29/D$12)</f>
        <v>0</v>
      </c>
      <c r="G29" s="5"/>
      <c r="H29" s="5">
        <f>SUM(OSRRefH25x_0)</f>
        <v>0</v>
      </c>
      <c r="I29" s="5"/>
      <c r="J29" s="13">
        <f>IF(H$12=0,0,H29/H$12)</f>
        <v>0</v>
      </c>
      <c r="K29" s="5"/>
      <c r="L29" s="5">
        <f>+D29-H29</f>
        <v>5387.14</v>
      </c>
      <c r="M29" s="5"/>
      <c r="N29" s="13">
        <f>IF(H29=0,0,L29/H29)</f>
        <v>0</v>
      </c>
      <c r="O29" s="11"/>
      <c r="P29" s="5">
        <f>SUM(OSRRefP25x_0)</f>
        <v>133485.91</v>
      </c>
      <c r="Q29" s="5"/>
      <c r="R29" s="13">
        <f>IF(P$12=0,0,P29/P$12)</f>
        <v>0</v>
      </c>
      <c r="S29" s="5"/>
      <c r="T29" s="5">
        <f>SUM(OSRRefT25x_0)</f>
        <v>0</v>
      </c>
      <c r="U29" s="5"/>
      <c r="V29" s="13">
        <f>IF(T$12=0,0,T29/T$12)</f>
        <v>0</v>
      </c>
      <c r="W29" s="5"/>
      <c r="X29" s="5">
        <f>+P29-T29</f>
        <v>133485.91</v>
      </c>
      <c r="Y29" s="5"/>
      <c r="Z29" s="13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","9150"," - ","MISC. INCOME")</f>
        <v xml:space="preserve">          9150 - MISC. INCOME</v>
      </c>
      <c r="C30" s="12"/>
      <c r="D30" s="3">
        <f>--5387.14</f>
        <v>5387.14</v>
      </c>
      <c r="E30" s="3"/>
      <c r="F30" s="20">
        <f>IF(D$12=0,0,D30/D$12)</f>
        <v>0</v>
      </c>
      <c r="G30" s="3"/>
      <c r="H30" s="3">
        <f>0</f>
        <v>0</v>
      </c>
      <c r="I30" s="3"/>
      <c r="J30" s="20">
        <f>IF(H$12=0,0,H30/H$12)</f>
        <v>0</v>
      </c>
      <c r="K30" s="3"/>
      <c r="L30" s="3">
        <f>+D30-H30</f>
        <v>5387.14</v>
      </c>
      <c r="M30" s="3"/>
      <c r="N30" s="20">
        <f>IF(H30=0,0,L30/H30)</f>
        <v>0</v>
      </c>
      <c r="O30" s="12"/>
      <c r="P30" s="3">
        <f>--133485.91</f>
        <v>133485.91</v>
      </c>
      <c r="Q30" s="3"/>
      <c r="R30" s="20">
        <f>IF(P$12=0,0,P30/P$12)</f>
        <v>0</v>
      </c>
      <c r="S30" s="3"/>
      <c r="T30" s="3">
        <f>0</f>
        <v>0</v>
      </c>
      <c r="U30" s="3"/>
      <c r="V30" s="20">
        <f>IF(T$12=0,0,T30/T$12)</f>
        <v>0</v>
      </c>
      <c r="W30" s="3"/>
      <c r="X30" s="3">
        <f>+P30-T30</f>
        <v>133485.91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7" t="s">
        <v>291</v>
      </c>
      <c r="C32" s="27"/>
      <c r="D32" s="22">
        <f>+D16-D18+D29</f>
        <v>5351.14</v>
      </c>
      <c r="E32" s="15"/>
      <c r="F32" s="21">
        <f>IF(D$12=0,0,D32/D$12)</f>
        <v>0</v>
      </c>
      <c r="G32" s="15"/>
      <c r="H32" s="22">
        <f>+H16-H18+H29</f>
        <v>-186</v>
      </c>
      <c r="I32" s="15"/>
      <c r="J32" s="21">
        <f>IF(H$12=0,0,H32/H$12)</f>
        <v>0</v>
      </c>
      <c r="K32" s="17"/>
      <c r="L32" s="22">
        <f>+D32-H32</f>
        <v>5537.14</v>
      </c>
      <c r="M32" s="17"/>
      <c r="N32" s="21">
        <f>IF(H32=0,0,L32/H32)</f>
        <v>-29.769569892473122</v>
      </c>
      <c r="O32" s="28"/>
      <c r="P32" s="22">
        <f>+P16-P18+P29</f>
        <v>124624.27</v>
      </c>
      <c r="Q32" s="15"/>
      <c r="R32" s="21">
        <f>IF(P$12=0,0,P32/P$12)</f>
        <v>0</v>
      </c>
      <c r="S32" s="15"/>
      <c r="T32" s="22">
        <f>+T16-T18+T29</f>
        <v>-3288.7400000000002</v>
      </c>
      <c r="U32" s="15"/>
      <c r="V32" s="21">
        <f>IF(T$12=0,0,T32/T$12)</f>
        <v>0</v>
      </c>
      <c r="W32" s="17"/>
      <c r="X32" s="22">
        <f>+P32-T32</f>
        <v>127913.01000000001</v>
      </c>
      <c r="Y32" s="17"/>
      <c r="Z32" s="21">
        <f>IF(T32=0,0,X32/T32)</f>
        <v>-38.894230009061218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293</v>
      </c>
      <c r="C36" s="27"/>
      <c r="D36" s="34">
        <f>+D32-D34</f>
        <v>5351.14</v>
      </c>
      <c r="E36" s="15"/>
      <c r="F36" s="33">
        <f>IF(D$12=0,0,D36/D$12)</f>
        <v>0</v>
      </c>
      <c r="G36" s="15"/>
      <c r="H36" s="34">
        <f>+H32-H34</f>
        <v>-186</v>
      </c>
      <c r="I36" s="15"/>
      <c r="J36" s="33">
        <f>IF(H$12=0,0,H36/H$12)</f>
        <v>0</v>
      </c>
      <c r="K36" s="17"/>
      <c r="L36" s="34">
        <f>D36-H36</f>
        <v>5537.14</v>
      </c>
      <c r="M36" s="17"/>
      <c r="N36" s="33">
        <f>IF(H36=0,0,L36/H36)</f>
        <v>-29.769569892473122</v>
      </c>
      <c r="O36" s="28"/>
      <c r="P36" s="34">
        <f>+P32-P34</f>
        <v>124624.27</v>
      </c>
      <c r="Q36" s="15"/>
      <c r="R36" s="33">
        <f>IF(P$12=0,0,P36/P$12)</f>
        <v>0</v>
      </c>
      <c r="S36" s="15"/>
      <c r="T36" s="34">
        <f>+T32-T34</f>
        <v>-3288.7400000000002</v>
      </c>
      <c r="U36" s="15"/>
      <c r="V36" s="33">
        <f>IF(T$12=0,0,T36/T$12)</f>
        <v>0</v>
      </c>
      <c r="W36" s="17"/>
      <c r="X36" s="34">
        <f>P36-T36</f>
        <v>127913.01000000001</v>
      </c>
      <c r="Y36" s="17"/>
      <c r="Z36" s="33">
        <f>IF(T36=0,0,X36/T36)</f>
        <v>-38.894230009061218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7" t="s">
        <v>296</v>
      </c>
      <c r="C39" s="27"/>
      <c r="D39" s="31">
        <f>SUM(D36:D38)</f>
        <v>5351.14</v>
      </c>
      <c r="E39" s="15"/>
      <c r="F39" s="32">
        <f>IF(D$12=0,0,D39/D$12)</f>
        <v>0</v>
      </c>
      <c r="G39" s="15"/>
      <c r="H39" s="31">
        <f>SUM(H36:H38)</f>
        <v>-186</v>
      </c>
      <c r="I39" s="15"/>
      <c r="J39" s="32">
        <f>IF(H$12=0,0,H39/H$12)</f>
        <v>0</v>
      </c>
      <c r="K39" s="17"/>
      <c r="L39" s="31">
        <f>+D39-H39</f>
        <v>5537.14</v>
      </c>
      <c r="M39" s="17"/>
      <c r="N39" s="32">
        <f>IF(H39=0,0,L39/H39)</f>
        <v>-29.769569892473122</v>
      </c>
      <c r="O39" s="28"/>
      <c r="P39" s="31">
        <f>SUM(P36:P38)</f>
        <v>124624.27</v>
      </c>
      <c r="Q39" s="15"/>
      <c r="R39" s="32">
        <f>IF(P$12=0,0,P39/P$12)</f>
        <v>0</v>
      </c>
      <c r="S39" s="15"/>
      <c r="T39" s="31">
        <f>SUM(T36:T38)</f>
        <v>-3288.7400000000002</v>
      </c>
      <c r="U39" s="15"/>
      <c r="V39" s="32">
        <f>IF(T$12=0,0,T39/T$12)</f>
        <v>0</v>
      </c>
      <c r="W39" s="17"/>
      <c r="X39" s="31">
        <f>+P39-T39</f>
        <v>127913.01000000001</v>
      </c>
      <c r="Y39" s="17"/>
      <c r="Z39" s="32">
        <f>IF(T39=0,0,X39/T39)</f>
        <v>-38.894230009061218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6">
        <v>44663.03859679398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7" t="s">
        <v>297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8"/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341EA-FBB6-C993-8A6A-60456331688B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","424"," - ","Blair Field")</f>
        <v>Department 424 - Blair Field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479.29</v>
      </c>
      <c r="E18" s="23"/>
      <c r="F18" s="35">
        <f t="shared" ref="F18:F26" si="0">IF(D$12=0,0,D18/D$12)</f>
        <v>0</v>
      </c>
      <c r="G18" s="23"/>
      <c r="H18" s="23" cm="1">
        <f t="array" ref="H18">SUM(OSRRefH22x_0)</f>
        <v>934.29</v>
      </c>
      <c r="I18" s="23"/>
      <c r="J18" s="35">
        <f t="shared" ref="J18:J26" si="1">IF(H$12=0,0,H18/H$12)</f>
        <v>0</v>
      </c>
      <c r="K18" s="5"/>
      <c r="L18" s="23">
        <f t="shared" ref="L18:L26" si="2">+D18-H18</f>
        <v>-454.99999999999994</v>
      </c>
      <c r="M18" s="5"/>
      <c r="N18" s="35">
        <f t="shared" ref="N18:N26" si="3">IF(H18=0,0,L18/H18)</f>
        <v>-0.48700082415524082</v>
      </c>
      <c r="O18" s="11"/>
      <c r="P18" s="23" cm="1">
        <f t="array" ref="P18">SUM(OSRRefP22x_0)</f>
        <v>4792.6099999999997</v>
      </c>
      <c r="Q18" s="23"/>
      <c r="R18" s="35">
        <f t="shared" ref="R18:R26" si="4">IF(P$12=0,0,P18/P$12)</f>
        <v>0</v>
      </c>
      <c r="S18" s="23"/>
      <c r="T18" s="23" cm="1">
        <f t="array" ref="T18">SUM(OSRRefT22x_0)</f>
        <v>5874.5</v>
      </c>
      <c r="U18" s="23"/>
      <c r="V18" s="35">
        <f t="shared" ref="V18:V26" si="5">IF(T$12=0,0,T18/T$12)</f>
        <v>0</v>
      </c>
      <c r="W18" s="5"/>
      <c r="X18" s="23">
        <f t="shared" ref="X18:X26" si="6">+P18-T18</f>
        <v>-1081.8900000000003</v>
      </c>
      <c r="Y18" s="5"/>
      <c r="Z18" s="35">
        <f t="shared" ref="Z18:Z26" si="7">IF(T18=0,0,X18/T18)</f>
        <v>-0.18416716316282242</v>
      </c>
    </row>
    <row r="19" spans="1:26" s="68" customFormat="1" ht="15" customHeight="1" outlineLevel="1" collapsed="1" x14ac:dyDescent="0.3">
      <c r="A19" s="26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479.29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4313.6099999999997</v>
      </c>
      <c r="Q19" s="2"/>
      <c r="R19" s="6">
        <f t="shared" si="4"/>
        <v>0</v>
      </c>
      <c r="S19" s="2"/>
      <c r="T19" s="2">
        <f>SUM(OSRRefT22_0x_0)</f>
        <v>4313.6099999999997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69" customFormat="1" ht="15" hidden="1" customHeight="1" outlineLevel="2" x14ac:dyDescent="0.3">
      <c r="A20" s="25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479.29</v>
      </c>
      <c r="E20" s="3"/>
      <c r="F20" s="7">
        <f t="shared" si="0"/>
        <v>0</v>
      </c>
      <c r="G20" s="3"/>
      <c r="H20" s="8">
        <v>479.29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4313.6099999999997</v>
      </c>
      <c r="Q20" s="3"/>
      <c r="R20" s="7">
        <f t="shared" si="4"/>
        <v>0</v>
      </c>
      <c r="S20" s="3"/>
      <c r="T20" s="8">
        <v>4313.6099999999997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68" customFormat="1" ht="15" customHeight="1" outlineLevel="1" collapsed="1" x14ac:dyDescent="0.3">
      <c r="A21" s="26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455</v>
      </c>
      <c r="I21" s="2"/>
      <c r="J21" s="6">
        <f t="shared" si="1"/>
        <v>0</v>
      </c>
      <c r="K21" s="2"/>
      <c r="L21" s="2">
        <f t="shared" si="2"/>
        <v>-455</v>
      </c>
      <c r="M21" s="2"/>
      <c r="N21" s="6">
        <f t="shared" si="3"/>
        <v>-1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978.55</v>
      </c>
      <c r="U21" s="2"/>
      <c r="V21" s="6">
        <f t="shared" si="5"/>
        <v>0</v>
      </c>
      <c r="W21" s="2"/>
      <c r="X21" s="2">
        <f t="shared" si="6"/>
        <v>-499.54999999999995</v>
      </c>
      <c r="Y21" s="2"/>
      <c r="Z21" s="6">
        <f t="shared" si="7"/>
        <v>-0.51050022993204225</v>
      </c>
    </row>
    <row r="22" spans="1:26" s="69" customFormat="1" ht="15" hidden="1" customHeight="1" outlineLevel="2" x14ac:dyDescent="0.3">
      <c r="A22" s="25"/>
      <c r="B22" s="12" t="str">
        <f>CONCATENATE("          ","6279"," - ","GENERAL EXPENSE")</f>
        <v xml:space="preserve">          6279 - GENERAL EXPENSE</v>
      </c>
      <c r="C22" s="12"/>
      <c r="D22" s="8"/>
      <c r="E22" s="3"/>
      <c r="F22" s="7">
        <f t="shared" si="0"/>
        <v>0</v>
      </c>
      <c r="G22" s="3"/>
      <c r="H22" s="8">
        <v>455</v>
      </c>
      <c r="I22" s="3"/>
      <c r="J22" s="7">
        <f t="shared" si="1"/>
        <v>0</v>
      </c>
      <c r="K22" s="3"/>
      <c r="L22" s="8">
        <f t="shared" si="2"/>
        <v>-455</v>
      </c>
      <c r="M22" s="3"/>
      <c r="N22" s="7">
        <f t="shared" si="3"/>
        <v>-1</v>
      </c>
      <c r="O22" s="12"/>
      <c r="P22" s="8">
        <v>479</v>
      </c>
      <c r="Q22" s="3"/>
      <c r="R22" s="7">
        <f t="shared" si="4"/>
        <v>0</v>
      </c>
      <c r="S22" s="3"/>
      <c r="T22" s="8">
        <v>978.55</v>
      </c>
      <c r="U22" s="3"/>
      <c r="V22" s="7">
        <f t="shared" si="5"/>
        <v>0</v>
      </c>
      <c r="W22" s="3"/>
      <c r="X22" s="8">
        <f t="shared" si="6"/>
        <v>-499.54999999999995</v>
      </c>
      <c r="Y22" s="3"/>
      <c r="Z22" s="7">
        <f t="shared" si="7"/>
        <v>-0.51050022993204225</v>
      </c>
    </row>
    <row r="23" spans="1:26" s="68" customFormat="1" ht="15" customHeight="1" outlineLevel="1" collapsed="1" x14ac:dyDescent="0.3">
      <c r="A23" s="26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154.33000000000001</v>
      </c>
      <c r="U23" s="2"/>
      <c r="V23" s="6">
        <f t="shared" si="5"/>
        <v>0</v>
      </c>
      <c r="W23" s="2"/>
      <c r="X23" s="2">
        <f t="shared" si="6"/>
        <v>-154.33000000000001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5"/>
      <c r="B24" s="12" t="str">
        <f>CONCATENATE("          ","6373"," - ","MAINTENANCE CONTRACTS")</f>
        <v xml:space="preserve">          6373 - MAINTENANCE CONTRACTS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154.33000000000001</v>
      </c>
      <c r="U24" s="3"/>
      <c r="V24" s="7">
        <f t="shared" si="5"/>
        <v>0</v>
      </c>
      <c r="W24" s="3"/>
      <c r="X24" s="8">
        <f t="shared" si="6"/>
        <v>-154.33000000000001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6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0</v>
      </c>
      <c r="Q25" s="2"/>
      <c r="R25" s="6">
        <f t="shared" si="4"/>
        <v>0</v>
      </c>
      <c r="S25" s="2"/>
      <c r="T25" s="2">
        <f>SUM(OSRRefT22_3x_0)</f>
        <v>428.01</v>
      </c>
      <c r="U25" s="2"/>
      <c r="V25" s="6">
        <f t="shared" si="5"/>
        <v>0</v>
      </c>
      <c r="W25" s="2"/>
      <c r="X25" s="2">
        <f t="shared" si="6"/>
        <v>-428.01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","6309"," - ","TELEPHONE")</f>
        <v xml:space="preserve">          6309 - TELEPHONE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428.01</v>
      </c>
      <c r="U26" s="3"/>
      <c r="V26" s="7">
        <f t="shared" si="5"/>
        <v>0</v>
      </c>
      <c r="W26" s="3"/>
      <c r="X26" s="8">
        <f t="shared" si="6"/>
        <v>-428.01</v>
      </c>
      <c r="Y26" s="3"/>
      <c r="Z26" s="7">
        <f t="shared" si="7"/>
        <v>-1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7" t="s">
        <v>291</v>
      </c>
      <c r="C30" s="27"/>
      <c r="D30" s="22">
        <f>+D16-D18+D28</f>
        <v>-479.29</v>
      </c>
      <c r="E30" s="15"/>
      <c r="F30" s="21">
        <f>IF(D$12=0,0,D30/D$12)</f>
        <v>0</v>
      </c>
      <c r="G30" s="15"/>
      <c r="H30" s="22">
        <f>+H16-H18+H28</f>
        <v>-934.29</v>
      </c>
      <c r="I30" s="15"/>
      <c r="J30" s="21">
        <f>IF(H$12=0,0,H30/H$12)</f>
        <v>0</v>
      </c>
      <c r="K30" s="17"/>
      <c r="L30" s="22">
        <f>+D30-H30</f>
        <v>454.99999999999994</v>
      </c>
      <c r="M30" s="17"/>
      <c r="N30" s="21">
        <f>IF(H30=0,0,L30/H30)</f>
        <v>-0.48700082415524082</v>
      </c>
      <c r="O30" s="28"/>
      <c r="P30" s="22">
        <f>+P16-P18+P28</f>
        <v>-4792.6099999999997</v>
      </c>
      <c r="Q30" s="15"/>
      <c r="R30" s="21">
        <f>IF(P$12=0,0,P30/P$12)</f>
        <v>0</v>
      </c>
      <c r="S30" s="15"/>
      <c r="T30" s="22">
        <f>+T16-T18+T28</f>
        <v>-5874.5</v>
      </c>
      <c r="U30" s="15"/>
      <c r="V30" s="21">
        <f>IF(T$12=0,0,T30/T$12)</f>
        <v>0</v>
      </c>
      <c r="W30" s="17"/>
      <c r="X30" s="22">
        <f>+P30-T30</f>
        <v>1081.8900000000003</v>
      </c>
      <c r="Y30" s="17"/>
      <c r="Z30" s="21">
        <f>IF(T30=0,0,X30/T30)</f>
        <v>-0.18416716316282242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7" t="s">
        <v>293</v>
      </c>
      <c r="C34" s="27"/>
      <c r="D34" s="34">
        <f>+D30-D32</f>
        <v>-479.29</v>
      </c>
      <c r="E34" s="15"/>
      <c r="F34" s="33">
        <f>IF(D$12=0,0,D34/D$12)</f>
        <v>0</v>
      </c>
      <c r="G34" s="15"/>
      <c r="H34" s="34">
        <f>+H30-H32</f>
        <v>-934.29</v>
      </c>
      <c r="I34" s="15"/>
      <c r="J34" s="33">
        <f>IF(H$12=0,0,H34/H$12)</f>
        <v>0</v>
      </c>
      <c r="K34" s="17"/>
      <c r="L34" s="34">
        <f>D34-H34</f>
        <v>454.99999999999994</v>
      </c>
      <c r="M34" s="17"/>
      <c r="N34" s="33">
        <f>IF(H34=0,0,L34/H34)</f>
        <v>-0.48700082415524082</v>
      </c>
      <c r="O34" s="28"/>
      <c r="P34" s="34">
        <f>+P30-P32</f>
        <v>-4792.6099999999997</v>
      </c>
      <c r="Q34" s="15"/>
      <c r="R34" s="33">
        <f>IF(P$12=0,0,P34/P$12)</f>
        <v>0</v>
      </c>
      <c r="S34" s="15"/>
      <c r="T34" s="34">
        <f>+T30-T32</f>
        <v>-5874.5</v>
      </c>
      <c r="U34" s="15"/>
      <c r="V34" s="33">
        <f>IF(T$12=0,0,T34/T$12)</f>
        <v>0</v>
      </c>
      <c r="W34" s="17"/>
      <c r="X34" s="34">
        <f>P34-T34</f>
        <v>1081.8900000000003</v>
      </c>
      <c r="Y34" s="17"/>
      <c r="Z34" s="33">
        <f>IF(T34=0,0,X34/T34)</f>
        <v>-0.18416716316282242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7" t="s">
        <v>296</v>
      </c>
      <c r="C37" s="27"/>
      <c r="D37" s="31">
        <f>SUM(D34:D36)</f>
        <v>-479.29</v>
      </c>
      <c r="E37" s="15"/>
      <c r="F37" s="32">
        <f>IF(D$12=0,0,D37/D$12)</f>
        <v>0</v>
      </c>
      <c r="G37" s="15"/>
      <c r="H37" s="31">
        <f>SUM(H34:H36)</f>
        <v>-934.29</v>
      </c>
      <c r="I37" s="15"/>
      <c r="J37" s="32">
        <f>IF(H$12=0,0,H37/H$12)</f>
        <v>0</v>
      </c>
      <c r="K37" s="17"/>
      <c r="L37" s="31">
        <f>+D37-H37</f>
        <v>454.99999999999994</v>
      </c>
      <c r="M37" s="17"/>
      <c r="N37" s="32">
        <f>IF(H37=0,0,L37/H37)</f>
        <v>-0.48700082415524082</v>
      </c>
      <c r="O37" s="28"/>
      <c r="P37" s="31">
        <f>SUM(P34:P36)</f>
        <v>-4792.6099999999997</v>
      </c>
      <c r="Q37" s="15"/>
      <c r="R37" s="32">
        <f>IF(P$12=0,0,P37/P$12)</f>
        <v>0</v>
      </c>
      <c r="S37" s="15"/>
      <c r="T37" s="31">
        <f>SUM(T34:T36)</f>
        <v>-5874.5</v>
      </c>
      <c r="U37" s="15"/>
      <c r="V37" s="32">
        <f>IF(T$12=0,0,T37/T$12)</f>
        <v>0</v>
      </c>
      <c r="W37" s="17"/>
      <c r="X37" s="31">
        <f>+P37-T37</f>
        <v>1081.8900000000003</v>
      </c>
      <c r="Y37" s="17"/>
      <c r="Z37" s="32">
        <f>IF(T37=0,0,X37/T37)</f>
        <v>-0.18416716316282242</v>
      </c>
    </row>
    <row r="38" spans="1:26" ht="15" customHeight="1" x14ac:dyDescent="0.3">
      <c r="A38" s="10"/>
      <c r="C38" s="10"/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6">
        <v>44663.03859679398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7" t="s">
        <v>297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8"/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638D4-0908-144E-FB69-D82A6CA40928}">
  <sheetPr>
    <tabColor rgb="FF92D050"/>
    <outlinePr summaryBelow="0" summaryRight="0"/>
  </sheetPr>
  <dimension ref="A2:Z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","425"," - ","Events Center")</f>
        <v>Department 425 - Events Center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2334.69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2334.69</v>
      </c>
      <c r="M12" s="5"/>
      <c r="N12" s="13">
        <f>IF(H12=0,0,L12/H12)</f>
        <v>0</v>
      </c>
      <c r="O12" s="11"/>
      <c r="P12" s="5">
        <f>SUM(OSRRefP13x_0)</f>
        <v>16870.43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16870.43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--2334.69</f>
        <v>2334.69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2334.69</v>
      </c>
      <c r="M13" s="3"/>
      <c r="N13" s="20">
        <f>IF(H13=0,0,L13/H13)</f>
        <v>0</v>
      </c>
      <c r="O13" s="12"/>
      <c r="P13" s="3">
        <f>--16870.43</f>
        <v>16870.43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16870.43</v>
      </c>
      <c r="Y13" s="3"/>
      <c r="Z13" s="20">
        <f>IF(T13=0,0,X13/T13)</f>
        <v>0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>
        <f>SUM(OSRRefD16x_0)</f>
        <v>-599</v>
      </c>
      <c r="E15" s="5"/>
      <c r="F15" s="13">
        <f>IF(D$12=0,0,D15/D$12)</f>
        <v>-0.25656511142806965</v>
      </c>
      <c r="G15" s="5"/>
      <c r="H15" s="5">
        <f>SUM(OSRRefH16x_0)</f>
        <v>-6593.4</v>
      </c>
      <c r="I15" s="5"/>
      <c r="J15" s="13">
        <f>IF(H$12=0,0,H15/H$12)</f>
        <v>0</v>
      </c>
      <c r="K15" s="5"/>
      <c r="L15" s="5">
        <f>+D15-H15</f>
        <v>5994.4</v>
      </c>
      <c r="M15" s="5"/>
      <c r="N15" s="13">
        <f>IF(H15=0,0,L15/H15)</f>
        <v>-0.90915157581824246</v>
      </c>
      <c r="O15" s="11"/>
      <c r="P15" s="5">
        <f>SUM(OSRRefP16x_0)</f>
        <v>7568.25</v>
      </c>
      <c r="Q15" s="5"/>
      <c r="R15" s="13">
        <f>IF(P$12=0,0,P15/P$12)</f>
        <v>0.44861037922566288</v>
      </c>
      <c r="S15" s="5"/>
      <c r="T15" s="5">
        <f>SUM(OSRRefT16x_0)</f>
        <v>-6593.4</v>
      </c>
      <c r="U15" s="5"/>
      <c r="V15" s="13">
        <f>IF(T$12=0,0,T15/T$12)</f>
        <v>0</v>
      </c>
      <c r="W15" s="5"/>
      <c r="X15" s="5">
        <f>+P15-T15</f>
        <v>14161.65</v>
      </c>
      <c r="Y15" s="5"/>
      <c r="Z15" s="13">
        <f>IF(T15=0,0,X15/T15)</f>
        <v>-2.147852397852398</v>
      </c>
    </row>
    <row r="16" spans="1:26" s="69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-599</v>
      </c>
      <c r="E16" s="3"/>
      <c r="F16" s="20">
        <f>IF(D$12=0,0,D16/D$12)</f>
        <v>-0.25656511142806965</v>
      </c>
      <c r="G16" s="3"/>
      <c r="H16" s="3">
        <v>-6593.4</v>
      </c>
      <c r="I16" s="3"/>
      <c r="J16" s="20">
        <f>IF(H$12=0,0,H16/H$12)</f>
        <v>0</v>
      </c>
      <c r="K16" s="3"/>
      <c r="L16" s="3">
        <f>+D16-H16</f>
        <v>5994.4</v>
      </c>
      <c r="M16" s="3"/>
      <c r="N16" s="20">
        <f>IF(H16=0,0,L16/H16)</f>
        <v>-0.90915157581824246</v>
      </c>
      <c r="O16" s="12"/>
      <c r="P16" s="3">
        <v>7568.25</v>
      </c>
      <c r="Q16" s="3"/>
      <c r="R16" s="20">
        <f>IF(P$12=0,0,P16/P$12)</f>
        <v>0.44861037922566288</v>
      </c>
      <c r="S16" s="3"/>
      <c r="T16" s="3">
        <v>-6593.4</v>
      </c>
      <c r="U16" s="3"/>
      <c r="V16" s="20">
        <f>IF(T$12=0,0,T16/T$12)</f>
        <v>0</v>
      </c>
      <c r="W16" s="3"/>
      <c r="X16" s="3">
        <f>+P16-T16</f>
        <v>14161.65</v>
      </c>
      <c r="Y16" s="3"/>
      <c r="Z16" s="20">
        <f>IF(T16=0,0,X16/T16)</f>
        <v>-2.147852397852398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>
        <f>D12-D15</f>
        <v>2933.69</v>
      </c>
      <c r="E18" s="15"/>
      <c r="F18" s="21">
        <f>IF(D$12=0,0,D18/D$12)</f>
        <v>1.2565651114280696</v>
      </c>
      <c r="G18" s="15"/>
      <c r="H18" s="22">
        <f>H12-H15</f>
        <v>6593.4</v>
      </c>
      <c r="I18" s="15"/>
      <c r="J18" s="21">
        <f>IF(H$12=0,0,H18/H$12)</f>
        <v>0</v>
      </c>
      <c r="K18" s="17"/>
      <c r="L18" s="22">
        <f>+D18-H18</f>
        <v>-3659.7099999999996</v>
      </c>
      <c r="M18" s="17"/>
      <c r="N18" s="21">
        <f>IF(H18=0,0,L18/H18)</f>
        <v>-0.55505657172323841</v>
      </c>
      <c r="O18" s="28"/>
      <c r="P18" s="22">
        <f>P12-P15</f>
        <v>9302.18</v>
      </c>
      <c r="Q18" s="15"/>
      <c r="R18" s="21">
        <f>IF(P$12=0,0,P18/P$12)</f>
        <v>0.55138962077433706</v>
      </c>
      <c r="S18" s="15"/>
      <c r="T18" s="22">
        <f>T12-T15</f>
        <v>6593.4</v>
      </c>
      <c r="U18" s="15"/>
      <c r="V18" s="21">
        <f>IF(T$12=0,0,T18/T$12)</f>
        <v>0</v>
      </c>
      <c r="W18" s="17"/>
      <c r="X18" s="22">
        <f>+P18-T18</f>
        <v>2708.7800000000007</v>
      </c>
      <c r="Y18" s="17"/>
      <c r="Z18" s="21">
        <f>IF(T18=0,0,X18/T18)</f>
        <v>0.41083204416537761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cm="1">
        <f t="array" ref="D20">SUM(OSRRefD22x_0)</f>
        <v>3019.7799999999997</v>
      </c>
      <c r="E20" s="23"/>
      <c r="F20" s="35">
        <f t="shared" ref="F20:F43" si="0">IF(D$12=0,0,D20/D$12)</f>
        <v>1.2934393859570219</v>
      </c>
      <c r="G20" s="23"/>
      <c r="H20" s="23" cm="1">
        <f t="array" ref="H20">SUM(OSRRefH22x_0)</f>
        <v>1000.91</v>
      </c>
      <c r="I20" s="23"/>
      <c r="J20" s="35">
        <f t="shared" ref="J20:J43" si="1">IF(H$12=0,0,H20/H$12)</f>
        <v>0</v>
      </c>
      <c r="K20" s="5"/>
      <c r="L20" s="23">
        <f t="shared" ref="L20:L43" si="2">+D20-H20</f>
        <v>2018.87</v>
      </c>
      <c r="M20" s="5"/>
      <c r="N20" s="35">
        <f t="shared" ref="N20:N43" si="3">IF(H20=0,0,L20/H20)</f>
        <v>2.017034498606268</v>
      </c>
      <c r="O20" s="11"/>
      <c r="P20" s="23" cm="1">
        <f t="array" ref="P20">SUM(OSRRefP22x_0)</f>
        <v>18610.239999999998</v>
      </c>
      <c r="Q20" s="23"/>
      <c r="R20" s="35">
        <f t="shared" ref="R20:R43" si="4">IF(P$12=0,0,P20/P$12)</f>
        <v>1.1031277803825983</v>
      </c>
      <c r="S20" s="23"/>
      <c r="T20" s="23" cm="1">
        <f t="array" ref="T20">SUM(OSRRefT22x_0)</f>
        <v>12636.869999999999</v>
      </c>
      <c r="U20" s="23"/>
      <c r="V20" s="35">
        <f t="shared" ref="V20:V43" si="5">IF(T$12=0,0,T20/T$12)</f>
        <v>0</v>
      </c>
      <c r="W20" s="5"/>
      <c r="X20" s="23">
        <f t="shared" ref="X20:X43" si="6">+P20-T20</f>
        <v>5973.369999999999</v>
      </c>
      <c r="Y20" s="5"/>
      <c r="Z20" s="35">
        <f t="shared" ref="Z20:Z43" si="7">IF(T20=0,0,X20/T20)</f>
        <v>0.47269379205451978</v>
      </c>
    </row>
    <row r="21" spans="1:26" s="68" customFormat="1" ht="15" customHeight="1" outlineLevel="1" collapsed="1" x14ac:dyDescent="0.3">
      <c r="A21" s="26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1420.5</v>
      </c>
      <c r="U21" s="2"/>
      <c r="V21" s="6">
        <f t="shared" si="5"/>
        <v>0</v>
      </c>
      <c r="W21" s="2"/>
      <c r="X21" s="2">
        <f t="shared" si="6"/>
        <v>-1420.5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5"/>
      <c r="B22" s="12" t="str">
        <f>CONCATENATE("          ","6111"," - ","F.I.C.A.")</f>
        <v xml:space="preserve">          6111 - F.I.C.A.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171.54</v>
      </c>
      <c r="U22" s="3"/>
      <c r="V22" s="7">
        <f t="shared" si="5"/>
        <v>0</v>
      </c>
      <c r="W22" s="3"/>
      <c r="X22" s="8">
        <f t="shared" si="6"/>
        <v>-171.54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5"/>
      <c r="B23" s="12" t="str">
        <f>CONCATENATE("          ","6113"," - ","GROUP INSURANCE")</f>
        <v xml:space="preserve">          6113 - GROUP INSURANCE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699.3</v>
      </c>
      <c r="U23" s="3"/>
      <c r="V23" s="7">
        <f t="shared" si="5"/>
        <v>0</v>
      </c>
      <c r="W23" s="3"/>
      <c r="X23" s="8">
        <f t="shared" si="6"/>
        <v>-699.3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355.22</v>
      </c>
      <c r="U24" s="3"/>
      <c r="V24" s="7">
        <f t="shared" si="5"/>
        <v>0</v>
      </c>
      <c r="W24" s="3"/>
      <c r="X24" s="8">
        <f t="shared" si="6"/>
        <v>-355.22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88.46</v>
      </c>
      <c r="U25" s="3"/>
      <c r="V25" s="7">
        <f t="shared" si="5"/>
        <v>0</v>
      </c>
      <c r="W25" s="3"/>
      <c r="X25" s="8">
        <f t="shared" si="6"/>
        <v>-88.46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105.98</v>
      </c>
      <c r="U26" s="3"/>
      <c r="V26" s="7">
        <f t="shared" si="5"/>
        <v>0</v>
      </c>
      <c r="W26" s="3"/>
      <c r="X26" s="8">
        <f t="shared" si="6"/>
        <v>-105.98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6"/>
      <c r="B27" s="14" t="str">
        <f>CONCATENATE("     ","*Payroll                                          ")</f>
        <v xml:space="preserve">     *Payroll                                          </v>
      </c>
      <c r="C27" s="14"/>
      <c r="D27" s="2">
        <f>SUM(OSRRefD22_1x_0)</f>
        <v>0</v>
      </c>
      <c r="E27" s="2"/>
      <c r="F27" s="6">
        <f t="shared" si="0"/>
        <v>0</v>
      </c>
      <c r="G27" s="2"/>
      <c r="H27" s="2">
        <f>SUM(OSRRefH22_1x_0)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SUM(OSRRefP22_1x_0)</f>
        <v>0</v>
      </c>
      <c r="Q27" s="2"/>
      <c r="R27" s="6">
        <f t="shared" si="4"/>
        <v>0</v>
      </c>
      <c r="S27" s="2"/>
      <c r="T27" s="2">
        <f>SUM(OSRRefT22_1x_0)</f>
        <v>1378.61</v>
      </c>
      <c r="U27" s="2"/>
      <c r="V27" s="6">
        <f t="shared" si="5"/>
        <v>0</v>
      </c>
      <c r="W27" s="2"/>
      <c r="X27" s="2">
        <f t="shared" si="6"/>
        <v>-1378.61</v>
      </c>
      <c r="Y27" s="2"/>
      <c r="Z27" s="6">
        <f t="shared" si="7"/>
        <v>-1</v>
      </c>
    </row>
    <row r="28" spans="1:26" s="69" customFormat="1" ht="15" hidden="1" customHeight="1" outlineLevel="2" x14ac:dyDescent="0.3">
      <c r="A28" s="25"/>
      <c r="B28" s="12" t="str">
        <f>CONCATENATE("          ","6002"," - ","STAFF SALARIES")</f>
        <v xml:space="preserve">          6002 - STAFF SALARIES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1378.61</v>
      </c>
      <c r="U28" s="3"/>
      <c r="V28" s="7">
        <f t="shared" si="5"/>
        <v>0</v>
      </c>
      <c r="W28" s="3"/>
      <c r="X28" s="8">
        <f t="shared" si="6"/>
        <v>-1378.61</v>
      </c>
      <c r="Y28" s="3"/>
      <c r="Z28" s="7">
        <f t="shared" si="7"/>
        <v>-1</v>
      </c>
    </row>
    <row r="29" spans="1:26" s="68" customFormat="1" ht="15" customHeight="1" outlineLevel="1" collapsed="1" x14ac:dyDescent="0.3">
      <c r="A29" s="26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SUM(OSRRefD22_2x_0)</f>
        <v>35.19</v>
      </c>
      <c r="E29" s="2"/>
      <c r="F29" s="6">
        <f t="shared" si="0"/>
        <v>1.5072664893411972E-2</v>
      </c>
      <c r="G29" s="2"/>
      <c r="H29" s="2">
        <f>SUM(OSRRefH22_2x_0)</f>
        <v>0</v>
      </c>
      <c r="I29" s="2"/>
      <c r="J29" s="6">
        <f t="shared" si="1"/>
        <v>0</v>
      </c>
      <c r="K29" s="2"/>
      <c r="L29" s="2">
        <f t="shared" si="2"/>
        <v>35.19</v>
      </c>
      <c r="M29" s="2"/>
      <c r="N29" s="6">
        <f t="shared" si="3"/>
        <v>0</v>
      </c>
      <c r="O29" s="14"/>
      <c r="P29" s="2">
        <f>SUM(OSRRefP22_2x_0)</f>
        <v>313.08</v>
      </c>
      <c r="Q29" s="2"/>
      <c r="R29" s="6">
        <f t="shared" si="4"/>
        <v>1.8557914647107394E-2</v>
      </c>
      <c r="S29" s="2"/>
      <c r="T29" s="2">
        <f>SUM(OSRRefT22_2x_0)</f>
        <v>0</v>
      </c>
      <c r="U29" s="2"/>
      <c r="V29" s="6">
        <f t="shared" si="5"/>
        <v>0</v>
      </c>
      <c r="W29" s="2"/>
      <c r="X29" s="2">
        <f t="shared" si="6"/>
        <v>313.08</v>
      </c>
      <c r="Y29" s="2"/>
      <c r="Z29" s="6">
        <f t="shared" si="7"/>
        <v>0</v>
      </c>
    </row>
    <row r="30" spans="1:26" s="69" customFormat="1" ht="15" hidden="1" customHeight="1" outlineLevel="2" x14ac:dyDescent="0.3">
      <c r="A30" s="25"/>
      <c r="B30" s="12" t="str">
        <f>CONCATENATE("          ","6381"," - ","BANK/CREDIT CARD FEES")</f>
        <v xml:space="preserve">          6381 - BANK/CREDIT CARD FEES</v>
      </c>
      <c r="C30" s="12"/>
      <c r="D30" s="8">
        <v>35.19</v>
      </c>
      <c r="E30" s="3"/>
      <c r="F30" s="7">
        <f t="shared" si="0"/>
        <v>1.5072664893411972E-2</v>
      </c>
      <c r="G30" s="3"/>
      <c r="H30" s="8"/>
      <c r="I30" s="3"/>
      <c r="J30" s="7">
        <f t="shared" si="1"/>
        <v>0</v>
      </c>
      <c r="K30" s="3"/>
      <c r="L30" s="8">
        <f t="shared" si="2"/>
        <v>35.19</v>
      </c>
      <c r="M30" s="3"/>
      <c r="N30" s="7">
        <f t="shared" si="3"/>
        <v>0</v>
      </c>
      <c r="O30" s="12"/>
      <c r="P30" s="8">
        <v>313.08</v>
      </c>
      <c r="Q30" s="3"/>
      <c r="R30" s="7">
        <f t="shared" si="4"/>
        <v>1.8557914647107394E-2</v>
      </c>
      <c r="S30" s="3"/>
      <c r="T30" s="8"/>
      <c r="U30" s="3"/>
      <c r="V30" s="7">
        <f t="shared" si="5"/>
        <v>0</v>
      </c>
      <c r="W30" s="3"/>
      <c r="X30" s="8">
        <f t="shared" si="6"/>
        <v>313.08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6"/>
      <c r="B31" s="14" t="str">
        <f>CONCATENATE("     ","Depreciation                                      ")</f>
        <v xml:space="preserve">     Depreciation                                      </v>
      </c>
      <c r="C31" s="14"/>
      <c r="D31" s="2">
        <f>SUM(OSRRefD22_3x_0)</f>
        <v>1000.91</v>
      </c>
      <c r="E31" s="2"/>
      <c r="F31" s="6">
        <f t="shared" si="0"/>
        <v>0.42871216307090015</v>
      </c>
      <c r="G31" s="2"/>
      <c r="H31" s="2">
        <f>SUM(OSRRefH22_3x_0)</f>
        <v>1000.91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SUM(OSRRefP22_3x_0)</f>
        <v>9008.19</v>
      </c>
      <c r="Q31" s="2"/>
      <c r="R31" s="6">
        <f t="shared" si="4"/>
        <v>0.53396327183124559</v>
      </c>
      <c r="S31" s="2"/>
      <c r="T31" s="2">
        <f>SUM(OSRRefT22_3x_0)</f>
        <v>9008.19</v>
      </c>
      <c r="U31" s="2"/>
      <c r="V31" s="6">
        <f t="shared" si="5"/>
        <v>0</v>
      </c>
      <c r="W31" s="2"/>
      <c r="X31" s="2">
        <f t="shared" si="6"/>
        <v>0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5"/>
      <c r="B32" s="12" t="str">
        <f>CONCATENATE("          ","6322"," - ","EQUIPMENT DEPRECIATION EXPENSE")</f>
        <v xml:space="preserve">          6322 - EQUIPMENT DEPRECIATION EXPENSE</v>
      </c>
      <c r="C32" s="12"/>
      <c r="D32" s="8">
        <v>1000.91</v>
      </c>
      <c r="E32" s="3"/>
      <c r="F32" s="7">
        <f t="shared" si="0"/>
        <v>0.42871216307090015</v>
      </c>
      <c r="G32" s="3"/>
      <c r="H32" s="8">
        <v>1000.91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9008.19</v>
      </c>
      <c r="Q32" s="3"/>
      <c r="R32" s="7">
        <f t="shared" si="4"/>
        <v>0.53396327183124559</v>
      </c>
      <c r="S32" s="3"/>
      <c r="T32" s="8">
        <v>9008.19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6"/>
      <c r="B33" s="14" t="str">
        <f>CONCATENATE("     ","General                                           ")</f>
        <v xml:space="preserve">     General                                           </v>
      </c>
      <c r="C33" s="14"/>
      <c r="D33" s="2">
        <f>SUM(OSRRefD22_4x_0)</f>
        <v>1400</v>
      </c>
      <c r="E33" s="2"/>
      <c r="F33" s="6">
        <f t="shared" si="0"/>
        <v>0.59965134557478716</v>
      </c>
      <c r="G33" s="2"/>
      <c r="H33" s="2">
        <f>SUM(OSRRefH22_4x_0)</f>
        <v>0</v>
      </c>
      <c r="I33" s="2"/>
      <c r="J33" s="6">
        <f t="shared" si="1"/>
        <v>0</v>
      </c>
      <c r="K33" s="2"/>
      <c r="L33" s="2">
        <f t="shared" si="2"/>
        <v>1400</v>
      </c>
      <c r="M33" s="2"/>
      <c r="N33" s="6">
        <f t="shared" si="3"/>
        <v>0</v>
      </c>
      <c r="O33" s="14"/>
      <c r="P33" s="2">
        <f>SUM(OSRRefP22_4x_0)</f>
        <v>4955</v>
      </c>
      <c r="Q33" s="2"/>
      <c r="R33" s="6">
        <f t="shared" si="4"/>
        <v>0.29370917042422745</v>
      </c>
      <c r="S33" s="2"/>
      <c r="T33" s="2">
        <f>SUM(OSRRefT22_4x_0)</f>
        <v>455</v>
      </c>
      <c r="U33" s="2"/>
      <c r="V33" s="6">
        <f t="shared" si="5"/>
        <v>0</v>
      </c>
      <c r="W33" s="2"/>
      <c r="X33" s="2">
        <f t="shared" si="6"/>
        <v>4500</v>
      </c>
      <c r="Y33" s="2"/>
      <c r="Z33" s="6">
        <f t="shared" si="7"/>
        <v>9.8901098901098905</v>
      </c>
    </row>
    <row r="34" spans="1:26" s="69" customFormat="1" ht="15" hidden="1" customHeight="1" outlineLevel="2" x14ac:dyDescent="0.3">
      <c r="A34" s="25"/>
      <c r="B34" s="12" t="str">
        <f>CONCATENATE("          ","6279"," - ","GENERAL EXPENSE")</f>
        <v xml:space="preserve">          6279 - GENERAL EXPENSE</v>
      </c>
      <c r="C34" s="12"/>
      <c r="D34" s="8">
        <v>1400</v>
      </c>
      <c r="E34" s="3"/>
      <c r="F34" s="7">
        <f t="shared" si="0"/>
        <v>0.59965134557478716</v>
      </c>
      <c r="G34" s="3"/>
      <c r="H34" s="8"/>
      <c r="I34" s="3"/>
      <c r="J34" s="7">
        <f t="shared" si="1"/>
        <v>0</v>
      </c>
      <c r="K34" s="3"/>
      <c r="L34" s="8">
        <f t="shared" si="2"/>
        <v>1400</v>
      </c>
      <c r="M34" s="3"/>
      <c r="N34" s="7">
        <f t="shared" si="3"/>
        <v>0</v>
      </c>
      <c r="O34" s="12"/>
      <c r="P34" s="8">
        <v>4955</v>
      </c>
      <c r="Q34" s="3"/>
      <c r="R34" s="7">
        <f t="shared" si="4"/>
        <v>0.29370917042422745</v>
      </c>
      <c r="S34" s="3"/>
      <c r="T34" s="8">
        <v>455</v>
      </c>
      <c r="U34" s="3"/>
      <c r="V34" s="7">
        <f t="shared" si="5"/>
        <v>0</v>
      </c>
      <c r="W34" s="3"/>
      <c r="X34" s="8">
        <f t="shared" si="6"/>
        <v>4500</v>
      </c>
      <c r="Y34" s="3"/>
      <c r="Z34" s="7">
        <f t="shared" si="7"/>
        <v>9.8901098901098905</v>
      </c>
    </row>
    <row r="35" spans="1:26" s="68" customFormat="1" ht="15" customHeight="1" outlineLevel="1" collapsed="1" x14ac:dyDescent="0.3">
      <c r="A35" s="26"/>
      <c r="B35" s="14" t="str">
        <f>CONCATENATE("     ","Repair and Maintenance                            ")</f>
        <v xml:space="preserve">     Repair and Maintenance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242.03</v>
      </c>
      <c r="U35" s="2"/>
      <c r="V35" s="6">
        <f t="shared" si="5"/>
        <v>0</v>
      </c>
      <c r="W35" s="2"/>
      <c r="X35" s="2">
        <f t="shared" si="6"/>
        <v>-242.03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5"/>
      <c r="B36" s="12" t="str">
        <f>CONCATENATE("          ","6373"," - ","MAINTENANCE CONTRACTS")</f>
        <v xml:space="preserve">          6373 - MAINTENANCE CONTRACTS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235.8</v>
      </c>
      <c r="U36" s="3"/>
      <c r="V36" s="7">
        <f t="shared" si="5"/>
        <v>0</v>
      </c>
      <c r="W36" s="3"/>
      <c r="X36" s="8">
        <f t="shared" si="6"/>
        <v>-235.8</v>
      </c>
      <c r="Y36" s="3"/>
      <c r="Z36" s="7">
        <f t="shared" si="7"/>
        <v>-1</v>
      </c>
    </row>
    <row r="37" spans="1:26" s="69" customFormat="1" ht="15" hidden="1" customHeight="1" outlineLevel="2" x14ac:dyDescent="0.3">
      <c r="A37" s="25"/>
      <c r="B37" s="12" t="str">
        <f>CONCATENATE("          ","6375"," - ","OUTSIDE REPAIRS &amp; MAINTENANCE")</f>
        <v xml:space="preserve">          6375 - OUTSIDE REPAIRS &amp; MAINTENANCE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6.23</v>
      </c>
      <c r="U37" s="3"/>
      <c r="V37" s="7">
        <f t="shared" si="5"/>
        <v>0</v>
      </c>
      <c r="W37" s="3"/>
      <c r="X37" s="8">
        <f t="shared" si="6"/>
        <v>-6.23</v>
      </c>
      <c r="Y37" s="3"/>
      <c r="Z37" s="7">
        <f t="shared" si="7"/>
        <v>-1</v>
      </c>
    </row>
    <row r="38" spans="1:26" s="68" customFormat="1" ht="15" customHeight="1" outlineLevel="1" collapsed="1" x14ac:dyDescent="0.3">
      <c r="A38" s="26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2">
        <f>SUM(OSRRefD22_6x_0)</f>
        <v>583.67999999999995</v>
      </c>
      <c r="E38" s="2"/>
      <c r="F38" s="6">
        <f t="shared" si="0"/>
        <v>0.25000321241792267</v>
      </c>
      <c r="G38" s="2"/>
      <c r="H38" s="2">
        <f>SUM(OSRRefH22_6x_0)</f>
        <v>0</v>
      </c>
      <c r="I38" s="2"/>
      <c r="J38" s="6">
        <f t="shared" si="1"/>
        <v>0</v>
      </c>
      <c r="K38" s="2"/>
      <c r="L38" s="2">
        <f t="shared" si="2"/>
        <v>583.67999999999995</v>
      </c>
      <c r="M38" s="2"/>
      <c r="N38" s="6">
        <f t="shared" si="3"/>
        <v>0</v>
      </c>
      <c r="O38" s="14"/>
      <c r="P38" s="2">
        <f>SUM(OSRRefP22_6x_0)</f>
        <v>4217.71</v>
      </c>
      <c r="Q38" s="2"/>
      <c r="R38" s="6">
        <f t="shared" si="4"/>
        <v>0.25000607571946892</v>
      </c>
      <c r="S38" s="2"/>
      <c r="T38" s="2">
        <f>SUM(OSRRefT22_6x_0)</f>
        <v>0</v>
      </c>
      <c r="U38" s="2"/>
      <c r="V38" s="6">
        <f t="shared" si="5"/>
        <v>0</v>
      </c>
      <c r="W38" s="2"/>
      <c r="X38" s="2">
        <f t="shared" si="6"/>
        <v>4217.71</v>
      </c>
      <c r="Y38" s="2"/>
      <c r="Z38" s="6">
        <f t="shared" si="7"/>
        <v>0</v>
      </c>
    </row>
    <row r="39" spans="1:26" s="69" customFormat="1" ht="15" hidden="1" customHeight="1" outlineLevel="2" x14ac:dyDescent="0.3">
      <c r="A39" s="25"/>
      <c r="B39" s="12" t="str">
        <f>CONCATENATE("          ","6254"," - ","ROYALTY &amp; COMMISSIONS")</f>
        <v xml:space="preserve">          6254 - ROYALTY &amp; COMMISSIONS</v>
      </c>
      <c r="C39" s="12"/>
      <c r="D39" s="8">
        <v>583.67999999999995</v>
      </c>
      <c r="E39" s="3"/>
      <c r="F39" s="7">
        <f t="shared" si="0"/>
        <v>0.25000321241792267</v>
      </c>
      <c r="G39" s="3"/>
      <c r="H39" s="8"/>
      <c r="I39" s="3"/>
      <c r="J39" s="7">
        <f t="shared" si="1"/>
        <v>0</v>
      </c>
      <c r="K39" s="3"/>
      <c r="L39" s="8">
        <f t="shared" si="2"/>
        <v>583.67999999999995</v>
      </c>
      <c r="M39" s="3"/>
      <c r="N39" s="7">
        <f t="shared" si="3"/>
        <v>0</v>
      </c>
      <c r="O39" s="12"/>
      <c r="P39" s="8">
        <v>4217.71</v>
      </c>
      <c r="Q39" s="3"/>
      <c r="R39" s="7">
        <f t="shared" si="4"/>
        <v>0.25000607571946892</v>
      </c>
      <c r="S39" s="3"/>
      <c r="T39" s="8"/>
      <c r="U39" s="3"/>
      <c r="V39" s="7">
        <f t="shared" si="5"/>
        <v>0</v>
      </c>
      <c r="W39" s="3"/>
      <c r="X39" s="8">
        <f t="shared" si="6"/>
        <v>4217.71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6"/>
      <c r="B40" s="14" t="str">
        <f>CONCATENATE("     ","Supplies                                          ")</f>
        <v xml:space="preserve">     Supplies                                          </v>
      </c>
      <c r="C40" s="14"/>
      <c r="D40" s="2">
        <f>SUM(OSRRefD22_7x_0)</f>
        <v>0</v>
      </c>
      <c r="E40" s="2"/>
      <c r="F40" s="6">
        <f t="shared" si="0"/>
        <v>0</v>
      </c>
      <c r="G40" s="2"/>
      <c r="H40" s="2">
        <f>SUM(OSRRefH22_7x_0)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SUM(OSRRefP22_7x_0)</f>
        <v>116.26</v>
      </c>
      <c r="Q40" s="2"/>
      <c r="R40" s="6">
        <f t="shared" si="4"/>
        <v>6.8913477605490794E-3</v>
      </c>
      <c r="S40" s="2"/>
      <c r="T40" s="2">
        <f>SUM(OSRRefT22_7x_0)</f>
        <v>0</v>
      </c>
      <c r="U40" s="2"/>
      <c r="V40" s="6">
        <f t="shared" si="5"/>
        <v>0</v>
      </c>
      <c r="W40" s="2"/>
      <c r="X40" s="2">
        <f t="shared" si="6"/>
        <v>116.26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5"/>
      <c r="B41" s="12" t="str">
        <f>CONCATENATE("          ","6243"," - ","PAPER SUPPLIES")</f>
        <v xml:space="preserve">          6243 - PAPER SUPPLIES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116.26</v>
      </c>
      <c r="Q41" s="3"/>
      <c r="R41" s="7">
        <f t="shared" si="4"/>
        <v>6.8913477605490794E-3</v>
      </c>
      <c r="S41" s="3"/>
      <c r="T41" s="8"/>
      <c r="U41" s="3"/>
      <c r="V41" s="7">
        <f t="shared" si="5"/>
        <v>0</v>
      </c>
      <c r="W41" s="3"/>
      <c r="X41" s="8">
        <f t="shared" si="6"/>
        <v>116.26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6"/>
      <c r="B42" s="14" t="str">
        <f>CONCATENATE("     ","Telephone/Data Lines                              ")</f>
        <v xml:space="preserve">     Telephone/Data Lines                              </v>
      </c>
      <c r="C42" s="14"/>
      <c r="D42" s="2">
        <f>SUM(OSRRefD22_8x_0)</f>
        <v>0</v>
      </c>
      <c r="E42" s="2"/>
      <c r="F42" s="6">
        <f t="shared" si="0"/>
        <v>0</v>
      </c>
      <c r="G42" s="2"/>
      <c r="H42" s="2">
        <f>SUM(OSRRefH22_8x_0)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SUM(OSRRefP22_8x_0)</f>
        <v>0</v>
      </c>
      <c r="Q42" s="2"/>
      <c r="R42" s="6">
        <f t="shared" si="4"/>
        <v>0</v>
      </c>
      <c r="S42" s="2"/>
      <c r="T42" s="2">
        <f>SUM(OSRRefT22_8x_0)</f>
        <v>132.54</v>
      </c>
      <c r="U42" s="2"/>
      <c r="V42" s="6">
        <f t="shared" si="5"/>
        <v>0</v>
      </c>
      <c r="W42" s="2"/>
      <c r="X42" s="2">
        <f t="shared" si="6"/>
        <v>-132.54</v>
      </c>
      <c r="Y42" s="2"/>
      <c r="Z42" s="6">
        <f t="shared" si="7"/>
        <v>-1</v>
      </c>
    </row>
    <row r="43" spans="1:26" s="69" customFormat="1" ht="15" hidden="1" customHeight="1" outlineLevel="2" x14ac:dyDescent="0.3">
      <c r="A43" s="25"/>
      <c r="B43" s="12" t="str">
        <f>CONCATENATE("          ","6309"," - ","TELEPHONE")</f>
        <v xml:space="preserve">          6309 - TELEPHONE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132.54</v>
      </c>
      <c r="U43" s="3"/>
      <c r="V43" s="7">
        <f t="shared" si="5"/>
        <v>0</v>
      </c>
      <c r="W43" s="3"/>
      <c r="X43" s="8">
        <f t="shared" si="6"/>
        <v>-132.54</v>
      </c>
      <c r="Y43" s="3"/>
      <c r="Z43" s="7">
        <f t="shared" si="7"/>
        <v>-1</v>
      </c>
    </row>
    <row r="44" spans="1:26" s="64" customFormat="1" ht="15" customHeight="1" x14ac:dyDescent="0.3">
      <c r="A44" s="36"/>
      <c r="B44" s="36"/>
      <c r="C44" s="36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36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62" customFormat="1" ht="15" customHeight="1" x14ac:dyDescent="0.3">
      <c r="A45" s="11"/>
      <c r="B45" s="28" t="s">
        <v>290</v>
      </c>
      <c r="C45" s="11"/>
      <c r="D45" s="5">
        <f>SUM(0)</f>
        <v>0</v>
      </c>
      <c r="E45" s="5"/>
      <c r="F45" s="13">
        <f>IF(D$12=0,0,D45/D$12)</f>
        <v>0</v>
      </c>
      <c r="G45" s="5"/>
      <c r="H45" s="5">
        <f>SUM(0)</f>
        <v>0</v>
      </c>
      <c r="I45" s="5"/>
      <c r="J45" s="13">
        <f>IF(H$12=0,0,H45/H$12)</f>
        <v>0</v>
      </c>
      <c r="K45" s="5"/>
      <c r="L45" s="5">
        <f>+D45-H45</f>
        <v>0</v>
      </c>
      <c r="M45" s="5"/>
      <c r="N45" s="13">
        <f>IF(H45=0,0,L45/H45)</f>
        <v>0</v>
      </c>
      <c r="O45" s="11"/>
      <c r="P45" s="5">
        <f>SUM(0)</f>
        <v>0</v>
      </c>
      <c r="Q45" s="5"/>
      <c r="R45" s="13">
        <f>IF(P$12=0,0,P45/P$12)</f>
        <v>0</v>
      </c>
      <c r="S45" s="5"/>
      <c r="T45" s="5">
        <f>SUM(0)</f>
        <v>0</v>
      </c>
      <c r="U45" s="5"/>
      <c r="V45" s="13">
        <f>IF(T$12=0,0,T45/T$12)</f>
        <v>0</v>
      </c>
      <c r="W45" s="5"/>
      <c r="X45" s="5">
        <f>+P45-T45</f>
        <v>0</v>
      </c>
      <c r="Y45" s="5"/>
      <c r="Z45" s="13">
        <f>IF(T45=0,0,X45/T45)</f>
        <v>0</v>
      </c>
    </row>
    <row r="46" spans="1:26" ht="15" customHeight="1" x14ac:dyDescent="0.3">
      <c r="A46" s="10"/>
      <c r="B46" s="11"/>
      <c r="C46" s="11"/>
      <c r="D46" s="4"/>
      <c r="E46" s="4"/>
      <c r="F46" s="9"/>
      <c r="G46" s="4"/>
      <c r="H46" s="4"/>
      <c r="I46" s="4"/>
      <c r="J46" s="9"/>
      <c r="K46" s="4"/>
      <c r="L46" s="4"/>
      <c r="M46" s="4"/>
      <c r="N46" s="9"/>
      <c r="O46" s="11"/>
      <c r="P46" s="4"/>
      <c r="Q46" s="4"/>
      <c r="R46" s="9"/>
      <c r="S46" s="4"/>
      <c r="T46" s="4"/>
      <c r="U46" s="4"/>
      <c r="V46" s="9"/>
      <c r="W46" s="4"/>
      <c r="X46" s="4"/>
      <c r="Y46" s="4"/>
      <c r="Z46" s="9"/>
    </row>
    <row r="47" spans="1:26" s="62" customFormat="1" ht="15" customHeight="1" x14ac:dyDescent="0.3">
      <c r="A47" s="11"/>
      <c r="B47" s="27" t="s">
        <v>291</v>
      </c>
      <c r="C47" s="27"/>
      <c r="D47" s="22">
        <f>+D18-D20+D45</f>
        <v>-86.089999999999691</v>
      </c>
      <c r="E47" s="15"/>
      <c r="F47" s="21">
        <f>IF(D$12=0,0,D47/D$12)</f>
        <v>-3.6874274528952318E-2</v>
      </c>
      <c r="G47" s="15"/>
      <c r="H47" s="22">
        <f>+H18-H20+H45</f>
        <v>5592.49</v>
      </c>
      <c r="I47" s="15"/>
      <c r="J47" s="21">
        <f>IF(H$12=0,0,H47/H$12)</f>
        <v>0</v>
      </c>
      <c r="K47" s="17"/>
      <c r="L47" s="22">
        <f>+D47-H47</f>
        <v>-5678.58</v>
      </c>
      <c r="M47" s="17"/>
      <c r="N47" s="21">
        <f>IF(H47=0,0,L47/H47)</f>
        <v>-1.0153938585495907</v>
      </c>
      <c r="O47" s="28"/>
      <c r="P47" s="22">
        <f>+P18-P20+P45</f>
        <v>-9308.0599999999977</v>
      </c>
      <c r="Q47" s="15"/>
      <c r="R47" s="21">
        <f>IF(P$12=0,0,P47/P$12)</f>
        <v>-0.55173815960826122</v>
      </c>
      <c r="S47" s="15"/>
      <c r="T47" s="22">
        <f>+T18-T20+T45</f>
        <v>-6043.4699999999993</v>
      </c>
      <c r="U47" s="15"/>
      <c r="V47" s="21">
        <f>IF(T$12=0,0,T47/T$12)</f>
        <v>0</v>
      </c>
      <c r="W47" s="17"/>
      <c r="X47" s="22">
        <f>+P47-T47</f>
        <v>-3264.5899999999983</v>
      </c>
      <c r="Y47" s="17"/>
      <c r="Z47" s="21">
        <f>IF(T47=0,0,X47/T47)</f>
        <v>0.5401846952164896</v>
      </c>
    </row>
    <row r="48" spans="1:26" ht="15" customHeight="1" x14ac:dyDescent="0.3">
      <c r="A48" s="10"/>
      <c r="B48" s="11"/>
      <c r="C48" s="10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3">
      <c r="A49" s="48"/>
      <c r="B49" s="11" t="s">
        <v>292</v>
      </c>
      <c r="C49" s="11"/>
      <c r="D49" s="5">
        <v>199.05</v>
      </c>
      <c r="E49" s="5"/>
      <c r="F49" s="13">
        <f>IF(D$12=0,0,D49/D$12)</f>
        <v>8.5257571669043852E-2</v>
      </c>
      <c r="G49" s="5"/>
      <c r="H49" s="5"/>
      <c r="I49" s="5"/>
      <c r="J49" s="13">
        <f>IF(H$12=0,0,H49/H$12)</f>
        <v>0</v>
      </c>
      <c r="K49" s="5"/>
      <c r="L49" s="5">
        <f>+D49-H49</f>
        <v>199.05</v>
      </c>
      <c r="M49" s="5"/>
      <c r="N49" s="13">
        <f>IF(H49=0,0,L49/H49)</f>
        <v>0</v>
      </c>
      <c r="O49" s="11"/>
      <c r="P49" s="5">
        <v>2013.44</v>
      </c>
      <c r="Q49" s="5"/>
      <c r="R49" s="13">
        <f>IF(P$12=0,0,P49/P$12)</f>
        <v>0.11934728397557146</v>
      </c>
      <c r="S49" s="5"/>
      <c r="T49" s="5"/>
      <c r="U49" s="5"/>
      <c r="V49" s="13">
        <f>IF(T$12=0,0,T49/T$12)</f>
        <v>0</v>
      </c>
      <c r="W49" s="5"/>
      <c r="X49" s="5">
        <f>+P49-T49</f>
        <v>2013.44</v>
      </c>
      <c r="Y49" s="5"/>
      <c r="Z49" s="13">
        <f>IF(T49=0,0,X49/T49)</f>
        <v>0</v>
      </c>
    </row>
    <row r="50" spans="1:26" ht="15" customHeight="1" x14ac:dyDescent="0.3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7" t="s">
        <v>293</v>
      </c>
      <c r="C51" s="27"/>
      <c r="D51" s="34">
        <f>+D47-D49</f>
        <v>-285.1399999999997</v>
      </c>
      <c r="E51" s="15"/>
      <c r="F51" s="33">
        <f>IF(D$12=0,0,D51/D$12)</f>
        <v>-0.12213184619799618</v>
      </c>
      <c r="G51" s="15"/>
      <c r="H51" s="34">
        <f>+H47-H49</f>
        <v>5592.49</v>
      </c>
      <c r="I51" s="15"/>
      <c r="J51" s="33">
        <f>IF(H$12=0,0,H51/H$12)</f>
        <v>0</v>
      </c>
      <c r="K51" s="17"/>
      <c r="L51" s="34">
        <f>D51-H51</f>
        <v>-5877.6299999999992</v>
      </c>
      <c r="M51" s="17"/>
      <c r="N51" s="33">
        <f>IF(H51=0,0,L51/H51)</f>
        <v>-1.0509862333236177</v>
      </c>
      <c r="O51" s="28"/>
      <c r="P51" s="34">
        <f>+P47-P49</f>
        <v>-11321.499999999998</v>
      </c>
      <c r="Q51" s="15"/>
      <c r="R51" s="33">
        <f>IF(P$12=0,0,P51/P$12)</f>
        <v>-0.67108544358383271</v>
      </c>
      <c r="S51" s="15"/>
      <c r="T51" s="34">
        <f>+T47-T49</f>
        <v>-6043.4699999999993</v>
      </c>
      <c r="U51" s="15"/>
      <c r="V51" s="33">
        <f>IF(T$12=0,0,T51/T$12)</f>
        <v>0</v>
      </c>
      <c r="W51" s="17"/>
      <c r="X51" s="34">
        <f>P51-T51</f>
        <v>-5278.0299999999988</v>
      </c>
      <c r="Y51" s="17"/>
      <c r="Z51" s="33">
        <f>IF(T51=0,0,X51/T51)</f>
        <v>0.8733442873051408</v>
      </c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ht="15" customHeight="1" x14ac:dyDescent="0.3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3">
      <c r="A54" s="11"/>
      <c r="B54" s="27" t="s">
        <v>296</v>
      </c>
      <c r="C54" s="27"/>
      <c r="D54" s="31">
        <f>SUM(D51:D53)</f>
        <v>-285.1399999999997</v>
      </c>
      <c r="E54" s="15"/>
      <c r="F54" s="32">
        <f>IF(D$12=0,0,D54/D$12)</f>
        <v>-0.12213184619799618</v>
      </c>
      <c r="G54" s="15"/>
      <c r="H54" s="31">
        <f>SUM(H51:H53)</f>
        <v>5592.49</v>
      </c>
      <c r="I54" s="15"/>
      <c r="J54" s="32">
        <f>IF(H$12=0,0,H54/H$12)</f>
        <v>0</v>
      </c>
      <c r="K54" s="17"/>
      <c r="L54" s="31">
        <f>+D54-H54</f>
        <v>-5877.6299999999992</v>
      </c>
      <c r="M54" s="17"/>
      <c r="N54" s="32">
        <f>IF(H54=0,0,L54/H54)</f>
        <v>-1.0509862333236177</v>
      </c>
      <c r="O54" s="28"/>
      <c r="P54" s="31">
        <f>SUM(P51:P53)</f>
        <v>-11321.499999999998</v>
      </c>
      <c r="Q54" s="15"/>
      <c r="R54" s="32">
        <f>IF(P$12=0,0,P54/P$12)</f>
        <v>-0.67108544358383271</v>
      </c>
      <c r="S54" s="15"/>
      <c r="T54" s="31">
        <f>SUM(T51:T53)</f>
        <v>-6043.4699999999993</v>
      </c>
      <c r="U54" s="15"/>
      <c r="V54" s="32">
        <f>IF(T$12=0,0,T54/T$12)</f>
        <v>0</v>
      </c>
      <c r="W54" s="17"/>
      <c r="X54" s="31">
        <f>+P54-T54</f>
        <v>-5278.0299999999988</v>
      </c>
      <c r="Y54" s="17"/>
      <c r="Z54" s="32">
        <f>IF(T54=0,0,X54/T54)</f>
        <v>0.8733442873051408</v>
      </c>
    </row>
    <row r="55" spans="1:26" ht="15" customHeight="1" x14ac:dyDescent="0.3">
      <c r="A55" s="10"/>
      <c r="C55" s="10"/>
      <c r="D55" s="19"/>
      <c r="E55" s="19"/>
      <c r="G55" s="19"/>
      <c r="H55" s="19"/>
      <c r="I55" s="19"/>
      <c r="J55" s="40"/>
      <c r="K55" s="19"/>
      <c r="L55" s="19"/>
      <c r="M55" s="19"/>
      <c r="P55" s="19"/>
      <c r="Q55" s="19"/>
      <c r="R55" s="40"/>
      <c r="S55" s="19"/>
      <c r="T55" s="19"/>
      <c r="U55" s="19"/>
      <c r="V55" s="40"/>
      <c r="W55" s="19"/>
      <c r="X55" s="19"/>
    </row>
    <row r="56" spans="1:26" ht="15" customHeight="1" x14ac:dyDescent="0.3">
      <c r="A56" s="10"/>
      <c r="B56" s="56">
        <v>44663.03859679398</v>
      </c>
      <c r="D56" s="19"/>
      <c r="E56" s="19"/>
      <c r="G56" s="19"/>
      <c r="H56" s="19"/>
      <c r="I56" s="19"/>
      <c r="J56" s="40"/>
      <c r="K56" s="19"/>
      <c r="L56" s="19"/>
      <c r="M56" s="19"/>
      <c r="P56" s="19"/>
      <c r="Q56" s="19"/>
      <c r="R56" s="40"/>
      <c r="S56" s="19"/>
      <c r="T56" s="19"/>
      <c r="U56" s="19"/>
      <c r="V56" s="40"/>
      <c r="W56" s="19"/>
      <c r="X56" s="19"/>
    </row>
    <row r="57" spans="1:26" ht="15" customHeight="1" x14ac:dyDescent="0.3">
      <c r="A57" s="10"/>
      <c r="B57" s="57" t="s">
        <v>297</v>
      </c>
      <c r="D57" s="19"/>
      <c r="E57" s="19"/>
      <c r="G57" s="19"/>
      <c r="H57" s="19"/>
      <c r="I57" s="19"/>
      <c r="J57" s="40"/>
      <c r="K57" s="19"/>
      <c r="L57" s="19"/>
      <c r="M57" s="19"/>
      <c r="P57" s="19"/>
      <c r="Q57" s="19"/>
      <c r="R57" s="40"/>
      <c r="S57" s="19"/>
      <c r="T57" s="19"/>
      <c r="U57" s="19"/>
      <c r="V57" s="40"/>
      <c r="W57" s="19"/>
      <c r="X57" s="19"/>
    </row>
    <row r="58" spans="1:26" ht="15" customHeight="1" x14ac:dyDescent="0.3">
      <c r="A58" s="10"/>
      <c r="B58" s="58"/>
      <c r="D58" s="19"/>
      <c r="E58" s="19"/>
      <c r="G58" s="19"/>
      <c r="H58" s="19"/>
      <c r="I58" s="19"/>
      <c r="J58" s="40"/>
      <c r="K58" s="19"/>
      <c r="L58" s="19"/>
      <c r="M58" s="19"/>
      <c r="P58" s="19"/>
      <c r="Q58" s="19"/>
      <c r="R58" s="40"/>
      <c r="S58" s="19"/>
      <c r="T58" s="19"/>
      <c r="U58" s="19"/>
      <c r="V58" s="40"/>
      <c r="W58" s="19"/>
      <c r="X58" s="19"/>
    </row>
    <row r="59" spans="1:26" ht="15" customHeight="1" x14ac:dyDescent="0.3">
      <c r="D59" s="19"/>
      <c r="E59" s="19"/>
      <c r="G59" s="19"/>
      <c r="H59" s="19"/>
      <c r="I59" s="19"/>
      <c r="J59" s="40"/>
      <c r="K59" s="19"/>
      <c r="L59" s="19"/>
      <c r="M59" s="19"/>
      <c r="P59" s="19"/>
      <c r="Q59" s="19"/>
      <c r="R59" s="40"/>
      <c r="S59" s="19"/>
      <c r="T59" s="19"/>
      <c r="U59" s="19"/>
      <c r="V59" s="40"/>
      <c r="W59" s="19"/>
      <c r="X5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CAC2E-FD77-EF01-66DC-CA6A3DAF7603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","455"," - ","Vending (old)")</f>
        <v>Department 455 - Vending (old)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>
        <f>SUM(0)</f>
        <v>0</v>
      </c>
      <c r="E18" s="23"/>
      <c r="F18" s="35">
        <f>IF(D$12=0,0,D18/D$12)</f>
        <v>0</v>
      </c>
      <c r="G18" s="23"/>
      <c r="H18" s="23">
        <f>SUM(0)</f>
        <v>0</v>
      </c>
      <c r="I18" s="23"/>
      <c r="J18" s="35">
        <f>IF(H$12=0,0,H18/H$12)</f>
        <v>0</v>
      </c>
      <c r="K18" s="5"/>
      <c r="L18" s="23">
        <f>+D18-H18</f>
        <v>0</v>
      </c>
      <c r="M18" s="5"/>
      <c r="N18" s="35">
        <f>IF(H18=0,0,L18/H18)</f>
        <v>0</v>
      </c>
      <c r="O18" s="11"/>
      <c r="P18" s="23">
        <f>SUM(0)</f>
        <v>0</v>
      </c>
      <c r="Q18" s="23"/>
      <c r="R18" s="35">
        <f>IF(P$12=0,0,P18/P$12)</f>
        <v>0</v>
      </c>
      <c r="S18" s="23"/>
      <c r="T18" s="23">
        <f>SUM(0)</f>
        <v>0</v>
      </c>
      <c r="U18" s="23"/>
      <c r="V18" s="35">
        <f>IF(T$12=0,0,T18/T$12)</f>
        <v>0</v>
      </c>
      <c r="W18" s="5"/>
      <c r="X18" s="23">
        <f>+P18-T18</f>
        <v>0</v>
      </c>
      <c r="Y18" s="5"/>
      <c r="Z18" s="35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collapsed="1" x14ac:dyDescent="0.3">
      <c r="A20" s="11"/>
      <c r="B20" s="28" t="s">
        <v>290</v>
      </c>
      <c r="C20" s="11"/>
      <c r="D20" s="5">
        <f>SUM(OSRRefD25x_0)</f>
        <v>0</v>
      </c>
      <c r="E20" s="5"/>
      <c r="F20" s="13">
        <f>IF(D$12=0,0,D20/D$12)</f>
        <v>0</v>
      </c>
      <c r="G20" s="5"/>
      <c r="H20" s="5">
        <f>SUM(OSRRefH25x_0)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SUM(OSRRefP25x_0)</f>
        <v>0</v>
      </c>
      <c r="Q20" s="5"/>
      <c r="R20" s="13">
        <f>IF(P$12=0,0,P20/P$12)</f>
        <v>0</v>
      </c>
      <c r="S20" s="5"/>
      <c r="T20" s="5">
        <f>SUM(OSRRefT25x_0)</f>
        <v>15204.82</v>
      </c>
      <c r="U20" s="5"/>
      <c r="V20" s="13">
        <f>IF(T$12=0,0,T20/T$12)</f>
        <v>0</v>
      </c>
      <c r="W20" s="5"/>
      <c r="X20" s="5">
        <f>+P20-T20</f>
        <v>-15204.82</v>
      </c>
      <c r="Y20" s="5"/>
      <c r="Z20" s="13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","9160"," - ","MISC. INCOME")</f>
        <v xml:space="preserve">          9160 - MISC. INCOME</v>
      </c>
      <c r="C21" s="12"/>
      <c r="D21" s="3">
        <f>0</f>
        <v>0</v>
      </c>
      <c r="E21" s="3"/>
      <c r="F21" s="20">
        <f>IF(D$12=0,0,D21/D$12)</f>
        <v>0</v>
      </c>
      <c r="G21" s="3"/>
      <c r="H21" s="3">
        <f>0</f>
        <v>0</v>
      </c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f>0</f>
        <v>0</v>
      </c>
      <c r="Q21" s="3"/>
      <c r="R21" s="20">
        <f>IF(P$12=0,0,P21/P$12)</f>
        <v>0</v>
      </c>
      <c r="S21" s="3"/>
      <c r="T21" s="3">
        <f>--12066.61</f>
        <v>12066.61</v>
      </c>
      <c r="U21" s="3"/>
      <c r="V21" s="20">
        <f>IF(T$12=0,0,T21/T$12)</f>
        <v>0</v>
      </c>
      <c r="W21" s="3"/>
      <c r="X21" s="3">
        <f>+P21-T21</f>
        <v>-12066.61</v>
      </c>
      <c r="Y21" s="3"/>
      <c r="Z21" s="20">
        <f>IF(T21=0,0,X21/T21)</f>
        <v>-1</v>
      </c>
    </row>
    <row r="22" spans="1:26" s="69" customFormat="1" ht="15" hidden="1" customHeight="1" outlineLevel="1" x14ac:dyDescent="0.3">
      <c r="A22" s="42"/>
      <c r="B22" s="12" t="str">
        <f>CONCATENATE("          ","9165"," - ","OTHER INCOME")</f>
        <v xml:space="preserve">          9165 - OTHER INCOME</v>
      </c>
      <c r="C22" s="12"/>
      <c r="D22" s="3">
        <f>0</f>
        <v>0</v>
      </c>
      <c r="E22" s="3"/>
      <c r="F22" s="20">
        <f>IF(D$12=0,0,D22/D$12)</f>
        <v>0</v>
      </c>
      <c r="G22" s="3"/>
      <c r="H22" s="3">
        <f>0</f>
        <v>0</v>
      </c>
      <c r="I22" s="3"/>
      <c r="J22" s="20">
        <f>IF(H$12=0,0,H22/H$12)</f>
        <v>0</v>
      </c>
      <c r="K22" s="3"/>
      <c r="L22" s="3">
        <f>+D22-H22</f>
        <v>0</v>
      </c>
      <c r="M22" s="3"/>
      <c r="N22" s="20">
        <f>IF(H22=0,0,L22/H22)</f>
        <v>0</v>
      </c>
      <c r="O22" s="12"/>
      <c r="P22" s="3">
        <f>0</f>
        <v>0</v>
      </c>
      <c r="Q22" s="3"/>
      <c r="R22" s="20">
        <f>IF(P$12=0,0,P22/P$12)</f>
        <v>0</v>
      </c>
      <c r="S22" s="3"/>
      <c r="T22" s="3">
        <f>--3138.21</f>
        <v>3138.21</v>
      </c>
      <c r="U22" s="3"/>
      <c r="V22" s="20">
        <f>IF(T$12=0,0,T22/T$12)</f>
        <v>0</v>
      </c>
      <c r="W22" s="3"/>
      <c r="X22" s="3">
        <f>+P22-T22</f>
        <v>-3138.21</v>
      </c>
      <c r="Y22" s="3"/>
      <c r="Z22" s="20">
        <f>IF(T22=0,0,X22/T22)</f>
        <v>-1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11"/>
      <c r="B24" s="27" t="s">
        <v>291</v>
      </c>
      <c r="C24" s="27"/>
      <c r="D24" s="22">
        <f>+D16-D18+D20</f>
        <v>0</v>
      </c>
      <c r="E24" s="15"/>
      <c r="F24" s="21">
        <f>IF(D$12=0,0,D24/D$12)</f>
        <v>0</v>
      </c>
      <c r="G24" s="15"/>
      <c r="H24" s="22">
        <f>+H16-H18+H20</f>
        <v>0</v>
      </c>
      <c r="I24" s="15"/>
      <c r="J24" s="21">
        <f>IF(H$12=0,0,H24/H$12)</f>
        <v>0</v>
      </c>
      <c r="K24" s="17"/>
      <c r="L24" s="22">
        <f>+D24-H24</f>
        <v>0</v>
      </c>
      <c r="M24" s="17"/>
      <c r="N24" s="21">
        <f>IF(H24=0,0,L24/H24)</f>
        <v>0</v>
      </c>
      <c r="O24" s="28"/>
      <c r="P24" s="22">
        <f>+P16-P18+P20</f>
        <v>0</v>
      </c>
      <c r="Q24" s="15"/>
      <c r="R24" s="21">
        <f>IF(P$12=0,0,P24/P$12)</f>
        <v>0</v>
      </c>
      <c r="S24" s="15"/>
      <c r="T24" s="22">
        <f>+T16-T18+T20</f>
        <v>15204.82</v>
      </c>
      <c r="U24" s="15"/>
      <c r="V24" s="21">
        <f>IF(T$12=0,0,T24/T$12)</f>
        <v>0</v>
      </c>
      <c r="W24" s="17"/>
      <c r="X24" s="22">
        <f>+P24-T24</f>
        <v>-15204.82</v>
      </c>
      <c r="Y24" s="17"/>
      <c r="Z24" s="21">
        <f>IF(T24=0,0,X24/T24)</f>
        <v>-1</v>
      </c>
    </row>
    <row r="25" spans="1:26" ht="15" customHeight="1" x14ac:dyDescent="0.3">
      <c r="A25" s="10"/>
      <c r="B25" s="11"/>
      <c r="C25" s="10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48"/>
      <c r="B26" s="11" t="s">
        <v>292</v>
      </c>
      <c r="C26" s="11"/>
      <c r="D26" s="5"/>
      <c r="E26" s="5"/>
      <c r="F26" s="13">
        <f>IF(D$12=0,0,D26/D$12)</f>
        <v>0</v>
      </c>
      <c r="G26" s="5"/>
      <c r="H26" s="5"/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/>
      <c r="Q26" s="5"/>
      <c r="R26" s="13">
        <f>IF(P$12=0,0,P26/P$12)</f>
        <v>0</v>
      </c>
      <c r="S26" s="5"/>
      <c r="T26" s="5"/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11"/>
      <c r="B28" s="27" t="s">
        <v>293</v>
      </c>
      <c r="C28" s="27"/>
      <c r="D28" s="34">
        <f>+D24-D26</f>
        <v>0</v>
      </c>
      <c r="E28" s="15"/>
      <c r="F28" s="33">
        <f>IF(D$12=0,0,D28/D$12)</f>
        <v>0</v>
      </c>
      <c r="G28" s="15"/>
      <c r="H28" s="34">
        <f>+H24-H26</f>
        <v>0</v>
      </c>
      <c r="I28" s="15"/>
      <c r="J28" s="33">
        <f>IF(H$12=0,0,H28/H$12)</f>
        <v>0</v>
      </c>
      <c r="K28" s="17"/>
      <c r="L28" s="34">
        <f>D28-H28</f>
        <v>0</v>
      </c>
      <c r="M28" s="17"/>
      <c r="N28" s="33">
        <f>IF(H28=0,0,L28/H28)</f>
        <v>0</v>
      </c>
      <c r="O28" s="28"/>
      <c r="P28" s="34">
        <f>+P24-P26</f>
        <v>0</v>
      </c>
      <c r="Q28" s="15"/>
      <c r="R28" s="33">
        <f>IF(P$12=0,0,P28/P$12)</f>
        <v>0</v>
      </c>
      <c r="S28" s="15"/>
      <c r="T28" s="34">
        <f>+T24-T26</f>
        <v>15204.82</v>
      </c>
      <c r="U28" s="15"/>
      <c r="V28" s="33">
        <f>IF(T$12=0,0,T28/T$12)</f>
        <v>0</v>
      </c>
      <c r="W28" s="17"/>
      <c r="X28" s="34">
        <f>P28-T28</f>
        <v>-15204.82</v>
      </c>
      <c r="Y28" s="17"/>
      <c r="Z28" s="33">
        <f>IF(T28=0,0,X28/T28)</f>
        <v>-1</v>
      </c>
    </row>
    <row r="29" spans="1:26" ht="15" customHeight="1" x14ac:dyDescent="0.3">
      <c r="A29" s="10"/>
      <c r="B29" s="10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296</v>
      </c>
      <c r="C31" s="27"/>
      <c r="D31" s="31">
        <f>SUM(D28:D30)</f>
        <v>0</v>
      </c>
      <c r="E31" s="15"/>
      <c r="F31" s="32">
        <f>IF(D$12=0,0,D31/D$12)</f>
        <v>0</v>
      </c>
      <c r="G31" s="15"/>
      <c r="H31" s="31">
        <f>SUM(H28:H30)</f>
        <v>0</v>
      </c>
      <c r="I31" s="15"/>
      <c r="J31" s="32">
        <f>IF(H$12=0,0,H31/H$12)</f>
        <v>0</v>
      </c>
      <c r="K31" s="17"/>
      <c r="L31" s="31">
        <f>+D31-H31</f>
        <v>0</v>
      </c>
      <c r="M31" s="17"/>
      <c r="N31" s="32">
        <f>IF(H31=0,0,L31/H31)</f>
        <v>0</v>
      </c>
      <c r="O31" s="28"/>
      <c r="P31" s="31">
        <f>SUM(P28:P30)</f>
        <v>0</v>
      </c>
      <c r="Q31" s="15"/>
      <c r="R31" s="32">
        <f>IF(P$12=0,0,P31/P$12)</f>
        <v>0</v>
      </c>
      <c r="S31" s="15"/>
      <c r="T31" s="31">
        <f>SUM(T28:T30)</f>
        <v>15204.82</v>
      </c>
      <c r="U31" s="15"/>
      <c r="V31" s="32">
        <f>IF(T$12=0,0,T31/T$12)</f>
        <v>0</v>
      </c>
      <c r="W31" s="17"/>
      <c r="X31" s="31">
        <f>+P31-T31</f>
        <v>-15204.82</v>
      </c>
      <c r="Y31" s="17"/>
      <c r="Z31" s="32">
        <f>IF(T31=0,0,X31/T31)</f>
        <v>-1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6">
        <v>44663.03859679398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7" t="s">
        <v>297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8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1CE5C-03B1-39CE-D42F-71BDE038FFAA}">
  <sheetPr>
    <tabColor rgb="FFFFFF00"/>
    <outlinePr summaryBelow="0" summaryRight="0"/>
  </sheetPr>
  <dimension ref="A2:Z10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312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1386070.0299999998</v>
      </c>
      <c r="E12" s="5"/>
      <c r="F12" s="13"/>
      <c r="G12" s="5"/>
      <c r="H12" s="5">
        <f>SUM(OSRRefH13x_0)</f>
        <v>91796.739999999991</v>
      </c>
      <c r="I12" s="5"/>
      <c r="J12" s="13"/>
      <c r="K12" s="5"/>
      <c r="L12" s="5">
        <f t="shared" ref="L12:L17" si="0">+D12-H12</f>
        <v>1294273.2899999998</v>
      </c>
      <c r="M12" s="5"/>
      <c r="N12" s="13">
        <f t="shared" ref="N12:N17" si="1">IF(H12=0,0,L12/H12)</f>
        <v>14.099338277154503</v>
      </c>
      <c r="O12" s="11"/>
      <c r="P12" s="5">
        <f>SUM(OSRRefP13x_0)</f>
        <v>9203219.8900000025</v>
      </c>
      <c r="Q12" s="5"/>
      <c r="R12" s="13"/>
      <c r="S12" s="5"/>
      <c r="T12" s="5">
        <f>SUM(OSRRefT13x_0)</f>
        <v>851190.11</v>
      </c>
      <c r="U12" s="5"/>
      <c r="V12" s="13"/>
      <c r="W12" s="5"/>
      <c r="X12" s="5">
        <f t="shared" ref="X12:X17" si="2">+P12-T12</f>
        <v>8352029.7800000021</v>
      </c>
      <c r="Y12" s="5"/>
      <c r="Z12" s="13">
        <f t="shared" ref="Z12:Z17" si="3">IF(T12=0,0,X12/T12)</f>
        <v>9.8121790677290672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--506.22</f>
        <v>506.22</v>
      </c>
      <c r="E13" s="3"/>
      <c r="F13" s="20"/>
      <c r="G13" s="3"/>
      <c r="H13" s="3">
        <f>--163.51</f>
        <v>163.51</v>
      </c>
      <c r="I13" s="3"/>
      <c r="J13" s="20"/>
      <c r="K13" s="3"/>
      <c r="L13" s="3">
        <f t="shared" si="0"/>
        <v>342.71000000000004</v>
      </c>
      <c r="M13" s="3"/>
      <c r="N13" s="20">
        <f t="shared" si="1"/>
        <v>2.0959574337960984</v>
      </c>
      <c r="O13" s="12"/>
      <c r="P13" s="3">
        <f>--3618.46</f>
        <v>3618.46</v>
      </c>
      <c r="Q13" s="3"/>
      <c r="R13" s="20"/>
      <c r="S13" s="3"/>
      <c r="T13" s="3">
        <f>--923.72</f>
        <v>923.72</v>
      </c>
      <c r="U13" s="3"/>
      <c r="V13" s="20"/>
      <c r="W13" s="3"/>
      <c r="X13" s="3">
        <f t="shared" si="2"/>
        <v>2694.74</v>
      </c>
      <c r="Y13" s="3"/>
      <c r="Z13" s="20">
        <f t="shared" si="3"/>
        <v>2.9172693023860039</v>
      </c>
    </row>
    <row r="14" spans="1:26" s="69" customFormat="1" ht="15" hidden="1" customHeight="1" outlineLevel="1" x14ac:dyDescent="0.3">
      <c r="A14" s="42"/>
      <c r="B14" s="12" t="str">
        <f>CONCATENATE("          ","4055"," - ","TAXABLE SALES-FOOD")</f>
        <v xml:space="preserve">          4055 - TAXABLE SALES-FOOD</v>
      </c>
      <c r="C14" s="12"/>
      <c r="D14" s="3">
        <f>--541.27</f>
        <v>541.27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541.27</v>
      </c>
      <c r="M14" s="3"/>
      <c r="N14" s="20">
        <f t="shared" si="1"/>
        <v>0</v>
      </c>
      <c r="O14" s="12"/>
      <c r="P14" s="3">
        <f>--541.27</f>
        <v>541.27</v>
      </c>
      <c r="Q14" s="3"/>
      <c r="R14" s="20"/>
      <c r="S14" s="3"/>
      <c r="T14" s="3">
        <f>0</f>
        <v>0</v>
      </c>
      <c r="U14" s="3"/>
      <c r="V14" s="20"/>
      <c r="W14" s="3"/>
      <c r="X14" s="3">
        <f t="shared" si="2"/>
        <v>541.27</v>
      </c>
      <c r="Y14" s="3"/>
      <c r="Z14" s="20">
        <f t="shared" si="3"/>
        <v>0</v>
      </c>
    </row>
    <row r="15" spans="1:26" s="69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--1367564.89</f>
        <v>1367564.89</v>
      </c>
      <c r="E15" s="3"/>
      <c r="F15" s="20"/>
      <c r="G15" s="3"/>
      <c r="H15" s="3">
        <f>--86462.44</f>
        <v>86462.44</v>
      </c>
      <c r="I15" s="3"/>
      <c r="J15" s="20"/>
      <c r="K15" s="3"/>
      <c r="L15" s="3">
        <f t="shared" si="0"/>
        <v>1281102.45</v>
      </c>
      <c r="M15" s="3"/>
      <c r="N15" s="20">
        <f t="shared" si="1"/>
        <v>14.816866722706413</v>
      </c>
      <c r="O15" s="12"/>
      <c r="P15" s="3">
        <f>--9100815.23</f>
        <v>9100815.2300000004</v>
      </c>
      <c r="Q15" s="3"/>
      <c r="R15" s="20"/>
      <c r="S15" s="3"/>
      <c r="T15" s="3">
        <f>--807261.03</f>
        <v>807261.03</v>
      </c>
      <c r="U15" s="3"/>
      <c r="V15" s="20"/>
      <c r="W15" s="3"/>
      <c r="X15" s="3">
        <f t="shared" si="2"/>
        <v>8293554.2000000002</v>
      </c>
      <c r="Y15" s="3"/>
      <c r="Z15" s="20">
        <f t="shared" si="3"/>
        <v>10.273695733832215</v>
      </c>
    </row>
    <row r="16" spans="1:26" s="69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--15712.94</f>
        <v>15712.94</v>
      </c>
      <c r="E16" s="3"/>
      <c r="F16" s="20"/>
      <c r="G16" s="3"/>
      <c r="H16" s="3">
        <f>--5170.79</f>
        <v>5170.79</v>
      </c>
      <c r="I16" s="3"/>
      <c r="J16" s="20"/>
      <c r="K16" s="3"/>
      <c r="L16" s="3">
        <f t="shared" si="0"/>
        <v>10542.150000000001</v>
      </c>
      <c r="M16" s="3"/>
      <c r="N16" s="20">
        <f t="shared" si="1"/>
        <v>2.0387890438404965</v>
      </c>
      <c r="O16" s="12"/>
      <c r="P16" s="3">
        <f>--96500.22</f>
        <v>96500.22</v>
      </c>
      <c r="Q16" s="3"/>
      <c r="R16" s="20"/>
      <c r="S16" s="3"/>
      <c r="T16" s="3">
        <f>--43005.36</f>
        <v>43005.36</v>
      </c>
      <c r="U16" s="3"/>
      <c r="V16" s="20"/>
      <c r="W16" s="3"/>
      <c r="X16" s="3">
        <f t="shared" si="2"/>
        <v>53494.86</v>
      </c>
      <c r="Y16" s="3"/>
      <c r="Z16" s="20">
        <f t="shared" si="3"/>
        <v>1.2439114566184308</v>
      </c>
    </row>
    <row r="17" spans="1:26" s="69" customFormat="1" ht="15" hidden="1" customHeight="1" outlineLevel="1" x14ac:dyDescent="0.3">
      <c r="A17" s="42"/>
      <c r="B17" s="12" t="str">
        <f>CONCATENATE("          ","4155"," - ","NON-TAXABLE SALES-FOOD")</f>
        <v xml:space="preserve">          4155 - NON-TAXABLE SALES-FOOD</v>
      </c>
      <c r="C17" s="12"/>
      <c r="D17" s="3">
        <f>--1744.71</f>
        <v>1744.71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1744.71</v>
      </c>
      <c r="M17" s="3"/>
      <c r="N17" s="20">
        <f t="shared" si="1"/>
        <v>0</v>
      </c>
      <c r="O17" s="12"/>
      <c r="P17" s="3">
        <f>--1744.71</f>
        <v>1744.71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1744.71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collapsed="1" x14ac:dyDescent="0.3">
      <c r="A19" s="11"/>
      <c r="B19" s="28" t="s">
        <v>287</v>
      </c>
      <c r="C19" s="11"/>
      <c r="D19" s="5">
        <f>SUM(OSRRefD16x_0)</f>
        <v>327097.55</v>
      </c>
      <c r="E19" s="5"/>
      <c r="F19" s="13">
        <f>IF(D$12=0,0,D19/D$12)</f>
        <v>0.23598919457193662</v>
      </c>
      <c r="G19" s="5"/>
      <c r="H19" s="5">
        <f>SUM(OSRRefH16x_0)</f>
        <v>43894.04</v>
      </c>
      <c r="I19" s="5"/>
      <c r="J19" s="13">
        <f>IF(H$12=0,0,H19/H$12)</f>
        <v>0.47816556448518766</v>
      </c>
      <c r="K19" s="5"/>
      <c r="L19" s="5">
        <f>+D19-H19</f>
        <v>283203.51</v>
      </c>
      <c r="M19" s="5"/>
      <c r="N19" s="13">
        <f>IF(H19=0,0,L19/H19)</f>
        <v>6.451980952311521</v>
      </c>
      <c r="O19" s="11"/>
      <c r="P19" s="5">
        <f>SUM(OSRRefP16x_0)</f>
        <v>2238390.9300000002</v>
      </c>
      <c r="Q19" s="5"/>
      <c r="R19" s="13">
        <f>IF(P$12=0,0,P19/P$12)</f>
        <v>0.24321823848109747</v>
      </c>
      <c r="S19" s="5"/>
      <c r="T19" s="5">
        <f>SUM(OSRRefT16x_0)</f>
        <v>368983.37</v>
      </c>
      <c r="U19" s="5"/>
      <c r="V19" s="13">
        <f>IF(T$12=0,0,T19/T$12)</f>
        <v>0.43349113865996397</v>
      </c>
      <c r="W19" s="5"/>
      <c r="X19" s="5">
        <f>+P19-T19</f>
        <v>1869407.56</v>
      </c>
      <c r="Y19" s="5"/>
      <c r="Z19" s="13">
        <f>IF(T19=0,0,X19/T19)</f>
        <v>5.0663734791082859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315121.55</v>
      </c>
      <c r="E20" s="3"/>
      <c r="F20" s="20">
        <f>IF(D$12=0,0,D20/D$12)</f>
        <v>0.22734893849483206</v>
      </c>
      <c r="G20" s="3"/>
      <c r="H20" s="3">
        <v>38259.040000000001</v>
      </c>
      <c r="I20" s="3"/>
      <c r="J20" s="20">
        <f>IF(H$12=0,0,H20/H$12)</f>
        <v>0.41677994229424709</v>
      </c>
      <c r="K20" s="3"/>
      <c r="L20" s="3">
        <f>+D20-H20</f>
        <v>276862.51</v>
      </c>
      <c r="M20" s="3"/>
      <c r="N20" s="20">
        <f>IF(H20=0,0,L20/H20)</f>
        <v>7.2365252761177485</v>
      </c>
      <c r="O20" s="12"/>
      <c r="P20" s="3">
        <v>2280148.9900000002</v>
      </c>
      <c r="Q20" s="3"/>
      <c r="R20" s="20">
        <f>IF(P$12=0,0,P20/P$12)</f>
        <v>0.24775557003452187</v>
      </c>
      <c r="S20" s="3"/>
      <c r="T20" s="3">
        <v>373258.07</v>
      </c>
      <c r="U20" s="3"/>
      <c r="V20" s="20">
        <f>IF(T$12=0,0,T20/T$12)</f>
        <v>0.43851316599531448</v>
      </c>
      <c r="W20" s="3"/>
      <c r="X20" s="3">
        <f>+P20-T20</f>
        <v>1906890.9200000002</v>
      </c>
      <c r="Y20" s="3"/>
      <c r="Z20" s="20">
        <f>IF(T20=0,0,X20/T20)</f>
        <v>5.108773455320069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11976</v>
      </c>
      <c r="E21" s="3"/>
      <c r="F21" s="20">
        <f>IF(D$12=0,0,D21/D$12)</f>
        <v>8.6402560771045613E-3</v>
      </c>
      <c r="G21" s="3"/>
      <c r="H21" s="3">
        <v>5635</v>
      </c>
      <c r="I21" s="3"/>
      <c r="J21" s="20">
        <f>IF(H$12=0,0,H21/H$12)</f>
        <v>6.1385622190940556E-2</v>
      </c>
      <c r="K21" s="3"/>
      <c r="L21" s="3">
        <f>+D21-H21</f>
        <v>6341</v>
      </c>
      <c r="M21" s="3"/>
      <c r="N21" s="20">
        <f>IF(H21=0,0,L21/H21)</f>
        <v>1.1252883762200532</v>
      </c>
      <c r="O21" s="12"/>
      <c r="P21" s="3">
        <v>-41758.06</v>
      </c>
      <c r="Q21" s="3"/>
      <c r="R21" s="20">
        <f>IF(P$12=0,0,P21/P$12)</f>
        <v>-4.5373315534243943E-3</v>
      </c>
      <c r="S21" s="3"/>
      <c r="T21" s="3">
        <v>-4274.7</v>
      </c>
      <c r="U21" s="3"/>
      <c r="V21" s="20">
        <f>IF(T$12=0,0,T21/T$12)</f>
        <v>-5.0220273353505009E-3</v>
      </c>
      <c r="W21" s="3"/>
      <c r="X21" s="3">
        <f>+P21-T21</f>
        <v>-37483.360000000001</v>
      </c>
      <c r="Y21" s="3"/>
      <c r="Z21" s="20">
        <f>IF(T21=0,0,X21/T21)</f>
        <v>8.768652770954688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7" t="s">
        <v>288</v>
      </c>
      <c r="C23" s="27"/>
      <c r="D23" s="22">
        <f>D12-D19</f>
        <v>1058972.4799999997</v>
      </c>
      <c r="E23" s="15"/>
      <c r="F23" s="21">
        <f>IF(D$12=0,0,D23/D$12)</f>
        <v>0.76401080542806332</v>
      </c>
      <c r="G23" s="15"/>
      <c r="H23" s="22">
        <f>H12-H19</f>
        <v>47902.69999999999</v>
      </c>
      <c r="I23" s="15"/>
      <c r="J23" s="21">
        <f>IF(H$12=0,0,H23/H$12)</f>
        <v>0.52183443551481234</v>
      </c>
      <c r="K23" s="17"/>
      <c r="L23" s="22">
        <f>+D23-H23</f>
        <v>1011069.7799999998</v>
      </c>
      <c r="M23" s="17"/>
      <c r="N23" s="21">
        <f>IF(H23=0,0,L23/H23)</f>
        <v>21.10673886858152</v>
      </c>
      <c r="O23" s="28"/>
      <c r="P23" s="22">
        <f>P12-P19</f>
        <v>6964828.9600000028</v>
      </c>
      <c r="Q23" s="15"/>
      <c r="R23" s="21">
        <f>IF(P$12=0,0,P23/P$12)</f>
        <v>0.75678176151890264</v>
      </c>
      <c r="S23" s="15"/>
      <c r="T23" s="22">
        <f>T12-T19</f>
        <v>482206.74</v>
      </c>
      <c r="U23" s="15"/>
      <c r="V23" s="21">
        <f>IF(T$12=0,0,T23/T$12)</f>
        <v>0.56650886134003597</v>
      </c>
      <c r="W23" s="17"/>
      <c r="X23" s="22">
        <f>+P23-T23</f>
        <v>6482622.2200000025</v>
      </c>
      <c r="Y23" s="17"/>
      <c r="Z23" s="21">
        <f>IF(T23=0,0,X23/T23)</f>
        <v>13.443657423784666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8" t="s">
        <v>289</v>
      </c>
      <c r="C25" s="11"/>
      <c r="D25" s="23" cm="1">
        <f t="array" ref="D25">SUM(OSRRefD22x_0)</f>
        <v>553462.25000000012</v>
      </c>
      <c r="E25" s="23"/>
      <c r="F25" s="35">
        <f t="shared" ref="F25:F56" si="4">IF(D$12=0,0,D25/D$12)</f>
        <v>0.39930323722532274</v>
      </c>
      <c r="G25" s="23"/>
      <c r="H25" s="23" cm="1">
        <f t="array" ref="H25">SUM(OSRRefH22x_0)</f>
        <v>223862.61999999994</v>
      </c>
      <c r="I25" s="23"/>
      <c r="J25" s="35">
        <f t="shared" ref="J25:J56" si="5">IF(H$12=0,0,H25/H$12)</f>
        <v>2.4386772340717107</v>
      </c>
      <c r="K25" s="5"/>
      <c r="L25" s="23">
        <f t="shared" ref="L25:L56" si="6">+D25-H25</f>
        <v>329599.63000000018</v>
      </c>
      <c r="M25" s="5"/>
      <c r="N25" s="35">
        <f t="shared" ref="N25:N56" si="7">IF(H25=0,0,L25/H25)</f>
        <v>1.4723299048318128</v>
      </c>
      <c r="O25" s="11"/>
      <c r="P25" s="23" cm="1">
        <f t="array" ref="P25">SUM(OSRRefP22x_0)</f>
        <v>4141429.97</v>
      </c>
      <c r="Q25" s="23"/>
      <c r="R25" s="35">
        <f t="shared" ref="R25:R56" si="8">IF(P$12=0,0,P25/P$12)</f>
        <v>0.44999793762398077</v>
      </c>
      <c r="S25" s="23"/>
      <c r="T25" s="23" cm="1">
        <f t="array" ref="T25">SUM(OSRRefT22x_0)</f>
        <v>2021365.7000000004</v>
      </c>
      <c r="U25" s="23"/>
      <c r="V25" s="35">
        <f t="shared" ref="V25:V56" si="9">IF(T$12=0,0,T25/T$12)</f>
        <v>2.3747523335298157</v>
      </c>
      <c r="W25" s="5"/>
      <c r="X25" s="23">
        <f t="shared" ref="X25:X56" si="10">+P25-T25</f>
        <v>2120064.2699999996</v>
      </c>
      <c r="Y25" s="5"/>
      <c r="Z25" s="35">
        <f t="shared" ref="Z25:Z56" si="11">IF(T25=0,0,X25/T25)</f>
        <v>1.0488276663643787</v>
      </c>
    </row>
    <row r="26" spans="1:26" s="68" customFormat="1" ht="15" customHeight="1" outlineLevel="1" collapsed="1" x14ac:dyDescent="0.3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86469.290000000023</v>
      </c>
      <c r="E26" s="2"/>
      <c r="F26" s="6">
        <f t="shared" si="4"/>
        <v>6.2384503039864467E-2</v>
      </c>
      <c r="G26" s="2"/>
      <c r="H26" s="2">
        <f>SUM(OSRRefH22_0x_0)</f>
        <v>75122.750000000015</v>
      </c>
      <c r="I26" s="2"/>
      <c r="J26" s="6">
        <f t="shared" si="5"/>
        <v>0.81835967159618106</v>
      </c>
      <c r="K26" s="2"/>
      <c r="L26" s="2">
        <f t="shared" si="6"/>
        <v>11346.540000000008</v>
      </c>
      <c r="M26" s="2"/>
      <c r="N26" s="6">
        <f t="shared" si="7"/>
        <v>0.1510399978701526</v>
      </c>
      <c r="O26" s="14"/>
      <c r="P26" s="2">
        <f>SUM(OSRRefP22_0x_0)</f>
        <v>773762.85</v>
      </c>
      <c r="Q26" s="2"/>
      <c r="R26" s="6">
        <f t="shared" si="8"/>
        <v>8.4075232282644047E-2</v>
      </c>
      <c r="S26" s="2"/>
      <c r="T26" s="2">
        <f>SUM(OSRRefT22_0x_0)</f>
        <v>690400.58000000007</v>
      </c>
      <c r="U26" s="2"/>
      <c r="V26" s="6">
        <f t="shared" si="9"/>
        <v>0.81110033104120549</v>
      </c>
      <c r="W26" s="2"/>
      <c r="X26" s="2">
        <f t="shared" si="10"/>
        <v>83362.269999999902</v>
      </c>
      <c r="Y26" s="2"/>
      <c r="Z26" s="6">
        <f t="shared" si="11"/>
        <v>0.12074478558520314</v>
      </c>
    </row>
    <row r="27" spans="1:26" s="69" customFormat="1" ht="15" hidden="1" customHeight="1" outlineLevel="2" x14ac:dyDescent="0.3">
      <c r="A27" s="25"/>
      <c r="B27" s="12" t="str">
        <f>CONCATENATE("          ","6111"," - ","F.I.C.A.")</f>
        <v xml:space="preserve">          6111 - F.I.C.A.</v>
      </c>
      <c r="C27" s="12"/>
      <c r="D27" s="8">
        <v>12667.94</v>
      </c>
      <c r="E27" s="3"/>
      <c r="F27" s="7">
        <f t="shared" si="4"/>
        <v>9.1394660629088142E-3</v>
      </c>
      <c r="G27" s="3"/>
      <c r="H27" s="8">
        <v>7440.67</v>
      </c>
      <c r="I27" s="3"/>
      <c r="J27" s="7">
        <f t="shared" si="5"/>
        <v>8.1055928565654953E-2</v>
      </c>
      <c r="K27" s="3"/>
      <c r="L27" s="8">
        <f t="shared" si="6"/>
        <v>5227.2700000000004</v>
      </c>
      <c r="M27" s="3"/>
      <c r="N27" s="7">
        <f t="shared" si="7"/>
        <v>0.70252678858221107</v>
      </c>
      <c r="O27" s="12"/>
      <c r="P27" s="8">
        <v>106837.79</v>
      </c>
      <c r="Q27" s="3"/>
      <c r="R27" s="7">
        <f t="shared" si="8"/>
        <v>1.1608740340550525E-2</v>
      </c>
      <c r="S27" s="3"/>
      <c r="T27" s="8">
        <v>71161.66</v>
      </c>
      <c r="U27" s="3"/>
      <c r="V27" s="7">
        <f t="shared" si="9"/>
        <v>8.360254561698327E-2</v>
      </c>
      <c r="W27" s="3"/>
      <c r="X27" s="8">
        <f t="shared" si="10"/>
        <v>35676.12999999999</v>
      </c>
      <c r="Y27" s="3"/>
      <c r="Z27" s="7">
        <f t="shared" si="11"/>
        <v>0.50133920428500389</v>
      </c>
    </row>
    <row r="28" spans="1:26" s="69" customFormat="1" ht="15" hidden="1" customHeight="1" outlineLevel="2" x14ac:dyDescent="0.3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10430.66</v>
      </c>
      <c r="E28" s="3"/>
      <c r="F28" s="7">
        <f t="shared" si="4"/>
        <v>7.5253484847370962E-3</v>
      </c>
      <c r="G28" s="3"/>
      <c r="H28" s="8">
        <v>4651.68</v>
      </c>
      <c r="I28" s="3"/>
      <c r="J28" s="7">
        <f t="shared" si="5"/>
        <v>5.0673694948208406E-2</v>
      </c>
      <c r="K28" s="3"/>
      <c r="L28" s="8">
        <f t="shared" si="6"/>
        <v>5778.98</v>
      </c>
      <c r="M28" s="3"/>
      <c r="N28" s="7">
        <f t="shared" si="7"/>
        <v>1.2423425515082722</v>
      </c>
      <c r="O28" s="12"/>
      <c r="P28" s="8">
        <v>69157.210000000006</v>
      </c>
      <c r="Q28" s="3"/>
      <c r="R28" s="7">
        <f t="shared" si="8"/>
        <v>7.5144580729994909E-3</v>
      </c>
      <c r="S28" s="3"/>
      <c r="T28" s="8">
        <v>44346.559999999998</v>
      </c>
      <c r="U28" s="3"/>
      <c r="V28" s="7">
        <f t="shared" si="9"/>
        <v>5.2099477518600397E-2</v>
      </c>
      <c r="W28" s="3"/>
      <c r="X28" s="8">
        <f t="shared" si="10"/>
        <v>24810.650000000009</v>
      </c>
      <c r="Y28" s="3"/>
      <c r="Z28" s="7">
        <f t="shared" si="11"/>
        <v>0.55947180570488464</v>
      </c>
    </row>
    <row r="29" spans="1:26" s="69" customFormat="1" ht="15" hidden="1" customHeight="1" outlineLevel="2" x14ac:dyDescent="0.3">
      <c r="A29" s="25"/>
      <c r="B29" s="12" t="str">
        <f>CONCATENATE("          ","6113"," - ","GROUP INSURANCE")</f>
        <v xml:space="preserve">          6113 - GROUP INSURANCE</v>
      </c>
      <c r="C29" s="12"/>
      <c r="D29" s="8">
        <v>40860.07</v>
      </c>
      <c r="E29" s="3"/>
      <c r="F29" s="7">
        <f t="shared" si="4"/>
        <v>2.9479080505044903E-2</v>
      </c>
      <c r="G29" s="3"/>
      <c r="H29" s="8">
        <v>45413.66</v>
      </c>
      <c r="I29" s="3"/>
      <c r="J29" s="7">
        <f t="shared" si="5"/>
        <v>0.49471974712827499</v>
      </c>
      <c r="K29" s="3"/>
      <c r="L29" s="8">
        <f t="shared" si="6"/>
        <v>-4553.5900000000038</v>
      </c>
      <c r="M29" s="3"/>
      <c r="N29" s="7">
        <f t="shared" si="7"/>
        <v>-0.10026917011313344</v>
      </c>
      <c r="O29" s="12"/>
      <c r="P29" s="8">
        <v>384986.01</v>
      </c>
      <c r="Q29" s="3"/>
      <c r="R29" s="7">
        <f t="shared" si="8"/>
        <v>4.1831664852245522E-2</v>
      </c>
      <c r="S29" s="3"/>
      <c r="T29" s="8">
        <v>403832.89</v>
      </c>
      <c r="U29" s="3"/>
      <c r="V29" s="7">
        <f t="shared" si="9"/>
        <v>0.47443324970023443</v>
      </c>
      <c r="W29" s="3"/>
      <c r="X29" s="8">
        <f t="shared" si="10"/>
        <v>-18846.880000000005</v>
      </c>
      <c r="Y29" s="3"/>
      <c r="Z29" s="7">
        <f t="shared" si="11"/>
        <v>-4.6669997582415843E-2</v>
      </c>
    </row>
    <row r="30" spans="1:26" s="69" customFormat="1" ht="15" hidden="1" customHeight="1" outlineLevel="2" x14ac:dyDescent="0.3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753.3</v>
      </c>
      <c r="E30" s="3"/>
      <c r="F30" s="7">
        <f t="shared" si="4"/>
        <v>5.4347903330685253E-4</v>
      </c>
      <c r="G30" s="3"/>
      <c r="H30" s="8">
        <v>285.97000000000003</v>
      </c>
      <c r="I30" s="3"/>
      <c r="J30" s="7">
        <f t="shared" si="5"/>
        <v>3.1152522409837219E-3</v>
      </c>
      <c r="K30" s="3"/>
      <c r="L30" s="8">
        <f t="shared" si="6"/>
        <v>467.32999999999993</v>
      </c>
      <c r="M30" s="3"/>
      <c r="N30" s="7">
        <f t="shared" si="7"/>
        <v>1.634192397803965</v>
      </c>
      <c r="O30" s="12"/>
      <c r="P30" s="8">
        <v>4994.68</v>
      </c>
      <c r="Q30" s="3"/>
      <c r="R30" s="7">
        <f t="shared" si="8"/>
        <v>5.4271005796863549E-4</v>
      </c>
      <c r="S30" s="3"/>
      <c r="T30" s="8">
        <v>2775.57</v>
      </c>
      <c r="U30" s="3"/>
      <c r="V30" s="7">
        <f t="shared" si="9"/>
        <v>3.2608109133222896E-3</v>
      </c>
      <c r="W30" s="3"/>
      <c r="X30" s="8">
        <f t="shared" si="10"/>
        <v>2219.11</v>
      </c>
      <c r="Y30" s="3"/>
      <c r="Z30" s="7">
        <f t="shared" si="11"/>
        <v>0.79951505456536853</v>
      </c>
    </row>
    <row r="31" spans="1:26" s="69" customFormat="1" ht="15" hidden="1" customHeight="1" outlineLevel="2" x14ac:dyDescent="0.3">
      <c r="A31" s="25"/>
      <c r="B31" s="12" t="str">
        <f>CONCATENATE("          ","6115"," - ","P.E.R.S.")</f>
        <v xml:space="preserve">          6115 - P.E.R.S.</v>
      </c>
      <c r="C31" s="12"/>
      <c r="D31" s="8">
        <v>4069.55</v>
      </c>
      <c r="E31" s="3"/>
      <c r="F31" s="7">
        <f t="shared" si="4"/>
        <v>2.936034913041155E-3</v>
      </c>
      <c r="G31" s="3"/>
      <c r="H31" s="8">
        <v>3594.3</v>
      </c>
      <c r="I31" s="3"/>
      <c r="J31" s="7">
        <f t="shared" si="5"/>
        <v>3.9154985242395322E-2</v>
      </c>
      <c r="K31" s="3"/>
      <c r="L31" s="8">
        <f t="shared" si="6"/>
        <v>475.25</v>
      </c>
      <c r="M31" s="3"/>
      <c r="N31" s="7">
        <f t="shared" si="7"/>
        <v>0.13222324235595248</v>
      </c>
      <c r="O31" s="12"/>
      <c r="P31" s="8">
        <v>37492.879999999997</v>
      </c>
      <c r="Q31" s="3"/>
      <c r="R31" s="7">
        <f t="shared" si="8"/>
        <v>4.0738872316567008E-3</v>
      </c>
      <c r="S31" s="3"/>
      <c r="T31" s="8">
        <v>36144.379999999997</v>
      </c>
      <c r="U31" s="3"/>
      <c r="V31" s="7">
        <f t="shared" si="9"/>
        <v>4.2463345820594647E-2</v>
      </c>
      <c r="W31" s="3"/>
      <c r="X31" s="8">
        <f t="shared" si="10"/>
        <v>1348.5</v>
      </c>
      <c r="Y31" s="3"/>
      <c r="Z31" s="7">
        <f t="shared" si="11"/>
        <v>3.7308704700426458E-2</v>
      </c>
    </row>
    <row r="32" spans="1:26" s="69" customFormat="1" ht="15" hidden="1" customHeight="1" outlineLevel="2" x14ac:dyDescent="0.3">
      <c r="A32" s="25"/>
      <c r="B32" s="12" t="str">
        <f>CONCATENATE("          ","6117"," - ","RETIREMENT STAFF HOURLY")</f>
        <v xml:space="preserve">          6117 - RETIREMENT STAFF HOURLY</v>
      </c>
      <c r="C32" s="12"/>
      <c r="D32" s="8">
        <v>1567.69</v>
      </c>
      <c r="E32" s="3"/>
      <c r="F32" s="7">
        <f t="shared" si="4"/>
        <v>1.1310323187638653E-3</v>
      </c>
      <c r="G32" s="3"/>
      <c r="H32" s="8">
        <v>2091.52</v>
      </c>
      <c r="I32" s="3"/>
      <c r="J32" s="7">
        <f t="shared" si="5"/>
        <v>2.2784251379733094E-2</v>
      </c>
      <c r="K32" s="3"/>
      <c r="L32" s="8">
        <f t="shared" si="6"/>
        <v>-523.82999999999993</v>
      </c>
      <c r="M32" s="3"/>
      <c r="N32" s="7">
        <f t="shared" si="7"/>
        <v>-0.25045421511627902</v>
      </c>
      <c r="O32" s="12"/>
      <c r="P32" s="8">
        <v>15423.19</v>
      </c>
      <c r="Q32" s="3"/>
      <c r="R32" s="7">
        <f t="shared" si="8"/>
        <v>1.6758471691802636E-3</v>
      </c>
      <c r="S32" s="3"/>
      <c r="T32" s="8">
        <v>13993.92</v>
      </c>
      <c r="U32" s="3"/>
      <c r="V32" s="7">
        <f t="shared" si="9"/>
        <v>1.6440416583317682E-2</v>
      </c>
      <c r="W32" s="3"/>
      <c r="X32" s="8">
        <f t="shared" si="10"/>
        <v>1429.2700000000004</v>
      </c>
      <c r="Y32" s="3"/>
      <c r="Z32" s="7">
        <f t="shared" si="11"/>
        <v>0.10213507008758092</v>
      </c>
    </row>
    <row r="33" spans="1:26" s="69" customFormat="1" ht="15" hidden="1" customHeight="1" outlineLevel="2" x14ac:dyDescent="0.3">
      <c r="A33" s="25"/>
      <c r="B33" s="12" t="str">
        <f>CONCATENATE("          ","6118"," - ","VACATION")</f>
        <v xml:space="preserve">          6118 - VACATION</v>
      </c>
      <c r="C33" s="12"/>
      <c r="D33" s="8">
        <v>6757.46</v>
      </c>
      <c r="E33" s="3"/>
      <c r="F33" s="7">
        <f t="shared" si="4"/>
        <v>4.8752659344347858E-3</v>
      </c>
      <c r="G33" s="3"/>
      <c r="H33" s="8">
        <v>5483.28</v>
      </c>
      <c r="I33" s="3"/>
      <c r="J33" s="7">
        <f t="shared" si="5"/>
        <v>5.9732840185827953E-2</v>
      </c>
      <c r="K33" s="3"/>
      <c r="L33" s="8">
        <f t="shared" si="6"/>
        <v>1274.1800000000003</v>
      </c>
      <c r="M33" s="3"/>
      <c r="N33" s="7">
        <f t="shared" si="7"/>
        <v>0.23237551246699062</v>
      </c>
      <c r="O33" s="12"/>
      <c r="P33" s="8">
        <v>70515.009999999995</v>
      </c>
      <c r="Q33" s="3"/>
      <c r="R33" s="7">
        <f t="shared" si="8"/>
        <v>7.6619933939229149E-3</v>
      </c>
      <c r="S33" s="3"/>
      <c r="T33" s="8">
        <v>57937.89</v>
      </c>
      <c r="U33" s="3"/>
      <c r="V33" s="7">
        <f t="shared" si="9"/>
        <v>6.806692103130757E-2</v>
      </c>
      <c r="W33" s="3"/>
      <c r="X33" s="8">
        <f t="shared" si="10"/>
        <v>12577.119999999995</v>
      </c>
      <c r="Y33" s="3"/>
      <c r="Z33" s="7">
        <f t="shared" si="11"/>
        <v>0.21707935860280717</v>
      </c>
    </row>
    <row r="34" spans="1:26" s="69" customFormat="1" ht="15" hidden="1" customHeight="1" outlineLevel="2" x14ac:dyDescent="0.3">
      <c r="A34" s="25"/>
      <c r="B34" s="12" t="str">
        <f>CONCATENATE("          ","6119"," - ","SICK LEAVE")</f>
        <v xml:space="preserve">          6119 - SICK LEAVE</v>
      </c>
      <c r="C34" s="12"/>
      <c r="D34" s="8">
        <v>5328.71</v>
      </c>
      <c r="E34" s="3"/>
      <c r="F34" s="7">
        <f t="shared" si="4"/>
        <v>3.8444738611078696E-3</v>
      </c>
      <c r="G34" s="3"/>
      <c r="H34" s="8">
        <v>4211.6000000000004</v>
      </c>
      <c r="I34" s="3"/>
      <c r="J34" s="7">
        <f t="shared" si="5"/>
        <v>4.587962491914202E-2</v>
      </c>
      <c r="K34" s="3"/>
      <c r="L34" s="8">
        <f t="shared" si="6"/>
        <v>1117.1099999999997</v>
      </c>
      <c r="M34" s="3"/>
      <c r="N34" s="7">
        <f t="shared" si="7"/>
        <v>0.26524598727324522</v>
      </c>
      <c r="O34" s="12"/>
      <c r="P34" s="8">
        <v>54510.62</v>
      </c>
      <c r="Q34" s="3"/>
      <c r="R34" s="7">
        <f t="shared" si="8"/>
        <v>5.9229944140778311E-3</v>
      </c>
      <c r="S34" s="3"/>
      <c r="T34" s="8">
        <v>39236.300000000003</v>
      </c>
      <c r="U34" s="3"/>
      <c r="V34" s="7">
        <f t="shared" si="9"/>
        <v>4.609581283786298E-2</v>
      </c>
      <c r="W34" s="3"/>
      <c r="X34" s="8">
        <f t="shared" si="10"/>
        <v>15274.32</v>
      </c>
      <c r="Y34" s="3"/>
      <c r="Z34" s="7">
        <f t="shared" si="11"/>
        <v>0.38929052943320341</v>
      </c>
    </row>
    <row r="35" spans="1:26" s="69" customFormat="1" ht="15" hidden="1" customHeight="1" outlineLevel="2" x14ac:dyDescent="0.3">
      <c r="A35" s="25"/>
      <c r="B35" s="12" t="str">
        <f>CONCATENATE("          ","6156"," - ","EMPLOYEE MEALS")</f>
        <v xml:space="preserve">          6156 - EMPLOYEE MEALS</v>
      </c>
      <c r="C35" s="12"/>
      <c r="D35" s="8">
        <v>4033.91</v>
      </c>
      <c r="E35" s="3"/>
      <c r="F35" s="7">
        <f t="shared" si="4"/>
        <v>2.9103219265191097E-3</v>
      </c>
      <c r="G35" s="3"/>
      <c r="H35" s="8">
        <v>1950.07</v>
      </c>
      <c r="I35" s="3"/>
      <c r="J35" s="7">
        <f t="shared" si="5"/>
        <v>2.1243346985960504E-2</v>
      </c>
      <c r="K35" s="3"/>
      <c r="L35" s="8">
        <f t="shared" si="6"/>
        <v>2083.84</v>
      </c>
      <c r="M35" s="3"/>
      <c r="N35" s="7">
        <f t="shared" si="7"/>
        <v>1.0685975375242942</v>
      </c>
      <c r="O35" s="12"/>
      <c r="P35" s="8">
        <v>29845.46</v>
      </c>
      <c r="Q35" s="3"/>
      <c r="R35" s="7">
        <f t="shared" si="8"/>
        <v>3.242936750042163E-3</v>
      </c>
      <c r="S35" s="3"/>
      <c r="T35" s="8">
        <v>20971.41</v>
      </c>
      <c r="U35" s="3"/>
      <c r="V35" s="7">
        <f t="shared" si="9"/>
        <v>2.4637751018982117E-2</v>
      </c>
      <c r="W35" s="3"/>
      <c r="X35" s="8">
        <f t="shared" si="10"/>
        <v>8874.0499999999993</v>
      </c>
      <c r="Y35" s="3"/>
      <c r="Z35" s="7">
        <f t="shared" si="11"/>
        <v>0.42314989788478691</v>
      </c>
    </row>
    <row r="36" spans="1:26" s="68" customFormat="1" ht="15" customHeight="1" outlineLevel="1" collapsed="1" x14ac:dyDescent="0.3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288996.98</v>
      </c>
      <c r="E36" s="2"/>
      <c r="F36" s="6">
        <f t="shared" si="4"/>
        <v>0.2085009947152526</v>
      </c>
      <c r="G36" s="2"/>
      <c r="H36" s="2">
        <f>SUM(OSRRefH22_1x_0)</f>
        <v>105984.6</v>
      </c>
      <c r="I36" s="2"/>
      <c r="J36" s="6">
        <f t="shared" si="5"/>
        <v>1.1545573404894336</v>
      </c>
      <c r="K36" s="2"/>
      <c r="L36" s="2">
        <f t="shared" si="6"/>
        <v>183012.37999999998</v>
      </c>
      <c r="M36" s="2"/>
      <c r="N36" s="6">
        <f t="shared" si="7"/>
        <v>1.7267827590046099</v>
      </c>
      <c r="O36" s="14"/>
      <c r="P36" s="2">
        <f>SUM(OSRRefP22_1x_0)</f>
        <v>2072541.6800000002</v>
      </c>
      <c r="Q36" s="2"/>
      <c r="R36" s="6">
        <f t="shared" si="8"/>
        <v>0.22519745314919337</v>
      </c>
      <c r="S36" s="2"/>
      <c r="T36" s="2">
        <f>SUM(OSRRefT22_1x_0)</f>
        <v>951301.84999999986</v>
      </c>
      <c r="U36" s="2"/>
      <c r="V36" s="6">
        <f t="shared" si="9"/>
        <v>1.1176138430461791</v>
      </c>
      <c r="W36" s="2"/>
      <c r="X36" s="2">
        <f t="shared" si="10"/>
        <v>1121239.8300000003</v>
      </c>
      <c r="Y36" s="2"/>
      <c r="Z36" s="6">
        <f t="shared" si="11"/>
        <v>1.1786372853159073</v>
      </c>
    </row>
    <row r="37" spans="1:26" s="69" customFormat="1" ht="15" hidden="1" customHeight="1" outlineLevel="2" x14ac:dyDescent="0.3">
      <c r="A37" s="25"/>
      <c r="B37" s="12" t="str">
        <f>CONCATENATE("          ","6001"," - ","ADMINISTRATIVE SALARIES")</f>
        <v xml:space="preserve">          6001 - ADMINISTRATIVE SALARIES</v>
      </c>
      <c r="C37" s="12"/>
      <c r="D37" s="8">
        <v>9317.92</v>
      </c>
      <c r="E37" s="3"/>
      <c r="F37" s="7">
        <f t="shared" si="4"/>
        <v>6.7225463348341797E-3</v>
      </c>
      <c r="G37" s="3"/>
      <c r="H37" s="8">
        <v>9034.5400000000009</v>
      </c>
      <c r="I37" s="3"/>
      <c r="J37" s="7">
        <f t="shared" si="5"/>
        <v>9.8418963462101175E-2</v>
      </c>
      <c r="K37" s="3"/>
      <c r="L37" s="8">
        <f t="shared" si="6"/>
        <v>283.3799999999992</v>
      </c>
      <c r="M37" s="3"/>
      <c r="N37" s="7">
        <f t="shared" si="7"/>
        <v>3.1366289816636951E-2</v>
      </c>
      <c r="O37" s="12"/>
      <c r="P37" s="8">
        <v>84165.37</v>
      </c>
      <c r="Q37" s="3"/>
      <c r="R37" s="7">
        <f t="shared" si="8"/>
        <v>9.1452090687795112E-3</v>
      </c>
      <c r="S37" s="3"/>
      <c r="T37" s="8">
        <v>82204.899999999994</v>
      </c>
      <c r="U37" s="3"/>
      <c r="V37" s="7">
        <f t="shared" si="9"/>
        <v>9.6576427562110656E-2</v>
      </c>
      <c r="W37" s="3"/>
      <c r="X37" s="8">
        <f t="shared" si="10"/>
        <v>1960.4700000000012</v>
      </c>
      <c r="Y37" s="3"/>
      <c r="Z37" s="7">
        <f t="shared" si="11"/>
        <v>2.3848578369415951E-2</v>
      </c>
    </row>
    <row r="38" spans="1:26" s="69" customFormat="1" ht="15" hidden="1" customHeight="1" outlineLevel="2" x14ac:dyDescent="0.3">
      <c r="A38" s="25"/>
      <c r="B38" s="12" t="str">
        <f>CONCATENATE("          ","6002"," - ","STAFF SALARIES")</f>
        <v xml:space="preserve">          6002 - STAFF SALARIES</v>
      </c>
      <c r="C38" s="12"/>
      <c r="D38" s="8">
        <v>40225.07</v>
      </c>
      <c r="E38" s="3"/>
      <c r="F38" s="7">
        <f t="shared" si="4"/>
        <v>2.9020950694677385E-2</v>
      </c>
      <c r="G38" s="3"/>
      <c r="H38" s="8">
        <v>28252.19</v>
      </c>
      <c r="I38" s="3"/>
      <c r="J38" s="7">
        <f t="shared" si="5"/>
        <v>0.30776899048920475</v>
      </c>
      <c r="K38" s="3"/>
      <c r="L38" s="8">
        <f t="shared" si="6"/>
        <v>11972.880000000001</v>
      </c>
      <c r="M38" s="3"/>
      <c r="N38" s="7">
        <f t="shared" si="7"/>
        <v>0.42378590827826096</v>
      </c>
      <c r="O38" s="12"/>
      <c r="P38" s="8">
        <v>337970.61</v>
      </c>
      <c r="Q38" s="3"/>
      <c r="R38" s="7">
        <f t="shared" si="8"/>
        <v>3.6723083229515216E-2</v>
      </c>
      <c r="S38" s="3"/>
      <c r="T38" s="8">
        <v>259268.87</v>
      </c>
      <c r="U38" s="3"/>
      <c r="V38" s="7">
        <f t="shared" si="9"/>
        <v>0.30459572656453915</v>
      </c>
      <c r="W38" s="3"/>
      <c r="X38" s="8">
        <f t="shared" si="10"/>
        <v>78701.739999999991</v>
      </c>
      <c r="Y38" s="3"/>
      <c r="Z38" s="7">
        <f t="shared" si="11"/>
        <v>0.3035526015907733</v>
      </c>
    </row>
    <row r="39" spans="1:26" s="69" customFormat="1" ht="15" hidden="1" customHeight="1" outlineLevel="2" x14ac:dyDescent="0.3">
      <c r="A39" s="25"/>
      <c r="B39" s="12" t="str">
        <f>CONCATENATE("          ","6004"," - ","STAFF HOURLY")</f>
        <v xml:space="preserve">          6004 - STAFF HOURLY</v>
      </c>
      <c r="C39" s="12"/>
      <c r="D39" s="8">
        <v>62157.46</v>
      </c>
      <c r="E39" s="3"/>
      <c r="F39" s="7">
        <f t="shared" si="4"/>
        <v>4.484438639799463E-2</v>
      </c>
      <c r="G39" s="3"/>
      <c r="H39" s="8">
        <v>44312.87</v>
      </c>
      <c r="I39" s="3"/>
      <c r="J39" s="7">
        <f t="shared" si="5"/>
        <v>0.48272814481211435</v>
      </c>
      <c r="K39" s="3"/>
      <c r="L39" s="8">
        <f t="shared" si="6"/>
        <v>17844.589999999997</v>
      </c>
      <c r="M39" s="3"/>
      <c r="N39" s="7">
        <f t="shared" si="7"/>
        <v>0.40269542460237839</v>
      </c>
      <c r="O39" s="12"/>
      <c r="P39" s="8">
        <v>674162.48</v>
      </c>
      <c r="Q39" s="3"/>
      <c r="R39" s="7">
        <f t="shared" si="8"/>
        <v>7.3252892798153044E-2</v>
      </c>
      <c r="S39" s="3"/>
      <c r="T39" s="8">
        <v>396371.96</v>
      </c>
      <c r="U39" s="3"/>
      <c r="V39" s="7">
        <f t="shared" si="9"/>
        <v>0.46566795753771156</v>
      </c>
      <c r="W39" s="3"/>
      <c r="X39" s="8">
        <f t="shared" si="10"/>
        <v>277790.51999999996</v>
      </c>
      <c r="Y39" s="3"/>
      <c r="Z39" s="7">
        <f t="shared" si="11"/>
        <v>0.70083292471041581</v>
      </c>
    </row>
    <row r="40" spans="1:26" s="69" customFormat="1" ht="15" hidden="1" customHeight="1" outlineLevel="2" x14ac:dyDescent="0.3">
      <c r="A40" s="25"/>
      <c r="B40" s="12" t="str">
        <f>CONCATENATE("          ","6005"," - ","TEMPORARY WAGES-HOURLY")</f>
        <v xml:space="preserve">          6005 - TEMPORARY WAGES-HOURLY</v>
      </c>
      <c r="C40" s="12"/>
      <c r="D40" s="8">
        <v>25954.73</v>
      </c>
      <c r="E40" s="3"/>
      <c r="F40" s="7">
        <f t="shared" si="4"/>
        <v>1.8725410288252177E-2</v>
      </c>
      <c r="G40" s="3"/>
      <c r="H40" s="8">
        <v>8953.15</v>
      </c>
      <c r="I40" s="3"/>
      <c r="J40" s="7">
        <f t="shared" si="5"/>
        <v>9.7532330668823317E-2</v>
      </c>
      <c r="K40" s="3"/>
      <c r="L40" s="8">
        <f t="shared" si="6"/>
        <v>17001.580000000002</v>
      </c>
      <c r="M40" s="3"/>
      <c r="N40" s="7">
        <f t="shared" si="7"/>
        <v>1.8989495317290566</v>
      </c>
      <c r="O40" s="12"/>
      <c r="P40" s="8">
        <v>331609.59999999998</v>
      </c>
      <c r="Q40" s="3"/>
      <c r="R40" s="7">
        <f t="shared" si="8"/>
        <v>3.6031911001096366E-2</v>
      </c>
      <c r="S40" s="3"/>
      <c r="T40" s="8">
        <v>89359.19</v>
      </c>
      <c r="U40" s="3"/>
      <c r="V40" s="7">
        <f t="shared" si="9"/>
        <v>0.10498147117804271</v>
      </c>
      <c r="W40" s="3"/>
      <c r="X40" s="8">
        <f t="shared" si="10"/>
        <v>242250.40999999997</v>
      </c>
      <c r="Y40" s="3"/>
      <c r="Z40" s="7">
        <f t="shared" si="11"/>
        <v>2.7109736558713209</v>
      </c>
    </row>
    <row r="41" spans="1:26" s="69" customFormat="1" ht="15" hidden="1" customHeight="1" outlineLevel="2" x14ac:dyDescent="0.3">
      <c r="A41" s="25"/>
      <c r="B41" s="12" t="str">
        <f>CONCATENATE("          ","6006"," - ","TEMPORARY PART TIME")</f>
        <v xml:space="preserve">          6006 - TEMPORARY PART TIME</v>
      </c>
      <c r="C41" s="12"/>
      <c r="D41" s="8">
        <v>2919.2</v>
      </c>
      <c r="E41" s="3"/>
      <c r="F41" s="7">
        <f t="shared" si="4"/>
        <v>2.1060984920076515E-3</v>
      </c>
      <c r="G41" s="3"/>
      <c r="H41" s="8">
        <v>717.96</v>
      </c>
      <c r="I41" s="3"/>
      <c r="J41" s="7">
        <f t="shared" si="5"/>
        <v>7.8211927787413815E-3</v>
      </c>
      <c r="K41" s="3"/>
      <c r="L41" s="8">
        <f t="shared" si="6"/>
        <v>2201.2399999999998</v>
      </c>
      <c r="M41" s="3"/>
      <c r="N41" s="7">
        <f t="shared" si="7"/>
        <v>3.0659646776979215</v>
      </c>
      <c r="O41" s="12"/>
      <c r="P41" s="8">
        <v>3563.8</v>
      </c>
      <c r="Q41" s="3"/>
      <c r="R41" s="7">
        <f t="shared" si="8"/>
        <v>3.8723403793408651E-4</v>
      </c>
      <c r="S41" s="3"/>
      <c r="T41" s="8">
        <v>1326.96</v>
      </c>
      <c r="U41" s="3"/>
      <c r="V41" s="7">
        <f t="shared" si="9"/>
        <v>1.5589466846601403E-3</v>
      </c>
      <c r="W41" s="3"/>
      <c r="X41" s="8">
        <f t="shared" si="10"/>
        <v>2236.84</v>
      </c>
      <c r="Y41" s="3"/>
      <c r="Z41" s="7">
        <f t="shared" si="11"/>
        <v>1.6856875866642551</v>
      </c>
    </row>
    <row r="42" spans="1:26" s="69" customFormat="1" ht="15" hidden="1" customHeight="1" outlineLevel="2" x14ac:dyDescent="0.3">
      <c r="A42" s="25"/>
      <c r="B42" s="12" t="str">
        <f>CONCATENATE("          ","6007"," - ","STUDENT HOURLY")</f>
        <v xml:space="preserve">          6007 - STUDENT HOURLY</v>
      </c>
      <c r="C42" s="12"/>
      <c r="D42" s="8">
        <v>115342.32</v>
      </c>
      <c r="E42" s="3"/>
      <c r="F42" s="7">
        <f t="shared" si="4"/>
        <v>8.3215362502282814E-2</v>
      </c>
      <c r="G42" s="3"/>
      <c r="H42" s="8">
        <v>14713.89</v>
      </c>
      <c r="I42" s="3"/>
      <c r="J42" s="7">
        <f t="shared" si="5"/>
        <v>0.16028771827844868</v>
      </c>
      <c r="K42" s="3"/>
      <c r="L42" s="8">
        <f t="shared" si="6"/>
        <v>100628.43000000001</v>
      </c>
      <c r="M42" s="3"/>
      <c r="N42" s="7">
        <f t="shared" si="7"/>
        <v>6.8390092626762886</v>
      </c>
      <c r="O42" s="12"/>
      <c r="P42" s="8">
        <v>473910.29</v>
      </c>
      <c r="Q42" s="3"/>
      <c r="R42" s="7">
        <f t="shared" si="8"/>
        <v>5.1493965771147066E-2</v>
      </c>
      <c r="S42" s="3"/>
      <c r="T42" s="8">
        <v>112139.09</v>
      </c>
      <c r="U42" s="3"/>
      <c r="V42" s="7">
        <f t="shared" si="9"/>
        <v>0.13174388269149415</v>
      </c>
      <c r="W42" s="3"/>
      <c r="X42" s="8">
        <f t="shared" si="10"/>
        <v>361771.19999999995</v>
      </c>
      <c r="Y42" s="3"/>
      <c r="Z42" s="7">
        <f t="shared" si="11"/>
        <v>3.2260935950166885</v>
      </c>
    </row>
    <row r="43" spans="1:26" s="69" customFormat="1" ht="15" hidden="1" customHeight="1" outlineLevel="2" x14ac:dyDescent="0.3">
      <c r="A43" s="25"/>
      <c r="B43" s="12" t="str">
        <f>CONCATENATE("          ","6008"," - ","STUDENT HOURLY-FICA EXEMPT")</f>
        <v xml:space="preserve">          6008 - STUDENT HOURLY-FICA EXEMPT</v>
      </c>
      <c r="C43" s="12"/>
      <c r="D43" s="8">
        <v>33080.28</v>
      </c>
      <c r="E43" s="3"/>
      <c r="F43" s="7">
        <f t="shared" si="4"/>
        <v>2.3866240005203779E-2</v>
      </c>
      <c r="G43" s="3"/>
      <c r="H43" s="8"/>
      <c r="I43" s="3"/>
      <c r="J43" s="7">
        <f t="shared" si="5"/>
        <v>0</v>
      </c>
      <c r="K43" s="3"/>
      <c r="L43" s="8">
        <f t="shared" si="6"/>
        <v>33080.28</v>
      </c>
      <c r="M43" s="3"/>
      <c r="N43" s="7">
        <f t="shared" si="7"/>
        <v>0</v>
      </c>
      <c r="O43" s="12"/>
      <c r="P43" s="8">
        <v>167159.53</v>
      </c>
      <c r="Q43" s="3"/>
      <c r="R43" s="7">
        <f t="shared" si="8"/>
        <v>1.8163157242568062E-2</v>
      </c>
      <c r="S43" s="3"/>
      <c r="T43" s="8">
        <v>10630.88</v>
      </c>
      <c r="U43" s="3"/>
      <c r="V43" s="7">
        <f t="shared" si="9"/>
        <v>1.248943082762087E-2</v>
      </c>
      <c r="W43" s="3"/>
      <c r="X43" s="8">
        <f t="shared" si="10"/>
        <v>156528.65</v>
      </c>
      <c r="Y43" s="3"/>
      <c r="Z43" s="7">
        <f t="shared" si="11"/>
        <v>14.723959822705176</v>
      </c>
    </row>
    <row r="44" spans="1:26" s="68" customFormat="1" ht="15" customHeight="1" outlineLevel="1" collapsed="1" x14ac:dyDescent="0.3">
      <c r="A44" s="26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205.32</v>
      </c>
      <c r="E44" s="2"/>
      <c r="F44" s="6">
        <f t="shared" si="4"/>
        <v>1.4813104356639184E-4</v>
      </c>
      <c r="G44" s="2"/>
      <c r="H44" s="2">
        <f>SUM(OSRRefH22_2x_0)</f>
        <v>0</v>
      </c>
      <c r="I44" s="2"/>
      <c r="J44" s="6">
        <f t="shared" si="5"/>
        <v>0</v>
      </c>
      <c r="K44" s="2"/>
      <c r="L44" s="2">
        <f t="shared" si="6"/>
        <v>205.32</v>
      </c>
      <c r="M44" s="2"/>
      <c r="N44" s="6">
        <f t="shared" si="7"/>
        <v>0</v>
      </c>
      <c r="O44" s="14"/>
      <c r="P44" s="2">
        <f>SUM(OSRRefP22_2x_0)</f>
        <v>3626.39</v>
      </c>
      <c r="Q44" s="2"/>
      <c r="R44" s="6">
        <f t="shared" si="8"/>
        <v>3.9403491857674161E-4</v>
      </c>
      <c r="S44" s="2"/>
      <c r="T44" s="2">
        <f>SUM(OSRRefT22_2x_0)</f>
        <v>1445.17</v>
      </c>
      <c r="U44" s="2"/>
      <c r="V44" s="6">
        <f t="shared" si="9"/>
        <v>1.6978228283221009E-3</v>
      </c>
      <c r="W44" s="2"/>
      <c r="X44" s="2">
        <f t="shared" si="10"/>
        <v>2181.2199999999998</v>
      </c>
      <c r="Y44" s="2"/>
      <c r="Z44" s="6">
        <f t="shared" si="11"/>
        <v>1.509317242954116</v>
      </c>
    </row>
    <row r="45" spans="1:26" s="69" customFormat="1" ht="15" hidden="1" customHeight="1" outlineLevel="2" x14ac:dyDescent="0.3">
      <c r="A45" s="25"/>
      <c r="B45" s="12" t="str">
        <f>CONCATENATE("          ","6362"," - ","ADVERTISING EXPENSE")</f>
        <v xml:space="preserve">          6362 - ADVERTISING EXPENSE</v>
      </c>
      <c r="C45" s="12"/>
      <c r="D45" s="8">
        <v>205.32</v>
      </c>
      <c r="E45" s="3"/>
      <c r="F45" s="7">
        <f t="shared" si="4"/>
        <v>1.4813104356639184E-4</v>
      </c>
      <c r="G45" s="3"/>
      <c r="H45" s="8"/>
      <c r="I45" s="3"/>
      <c r="J45" s="7">
        <f t="shared" si="5"/>
        <v>0</v>
      </c>
      <c r="K45" s="3"/>
      <c r="L45" s="8">
        <f t="shared" si="6"/>
        <v>205.32</v>
      </c>
      <c r="M45" s="3"/>
      <c r="N45" s="7">
        <f t="shared" si="7"/>
        <v>0</v>
      </c>
      <c r="O45" s="12"/>
      <c r="P45" s="8">
        <v>3626.39</v>
      </c>
      <c r="Q45" s="3"/>
      <c r="R45" s="7">
        <f t="shared" si="8"/>
        <v>3.9403491857674161E-4</v>
      </c>
      <c r="S45" s="3"/>
      <c r="T45" s="8">
        <v>1445.17</v>
      </c>
      <c r="U45" s="3"/>
      <c r="V45" s="7">
        <f t="shared" si="9"/>
        <v>1.6978228283221009E-3</v>
      </c>
      <c r="W45" s="3"/>
      <c r="X45" s="8">
        <f t="shared" si="10"/>
        <v>2181.2199999999998</v>
      </c>
      <c r="Y45" s="3"/>
      <c r="Z45" s="7">
        <f t="shared" si="11"/>
        <v>1.509317242954116</v>
      </c>
    </row>
    <row r="46" spans="1:26" s="68" customFormat="1" ht="15" customHeight="1" outlineLevel="1" collapsed="1" x14ac:dyDescent="0.3">
      <c r="A46" s="26"/>
      <c r="B46" s="14" t="str">
        <f>CONCATENATE("     ","Bad Debts/Over/Short                              ")</f>
        <v xml:space="preserve">     Bad Debts/Over/Short                              </v>
      </c>
      <c r="C46" s="14"/>
      <c r="D46" s="2">
        <f>SUM(OSRRefD22_3x_0)</f>
        <v>0</v>
      </c>
      <c r="E46" s="2"/>
      <c r="F46" s="6">
        <f t="shared" si="4"/>
        <v>0</v>
      </c>
      <c r="G46" s="2"/>
      <c r="H46" s="2">
        <f>SUM(OSRRefH22_3x_0)</f>
        <v>0</v>
      </c>
      <c r="I46" s="2"/>
      <c r="J46" s="6">
        <f t="shared" si="5"/>
        <v>0</v>
      </c>
      <c r="K46" s="2"/>
      <c r="L46" s="2">
        <f t="shared" si="6"/>
        <v>0</v>
      </c>
      <c r="M46" s="2"/>
      <c r="N46" s="6">
        <f t="shared" si="7"/>
        <v>0</v>
      </c>
      <c r="O46" s="14"/>
      <c r="P46" s="2">
        <f>SUM(OSRRefP22_3x_0)</f>
        <v>-15.9</v>
      </c>
      <c r="Q46" s="2"/>
      <c r="R46" s="6">
        <f t="shared" si="8"/>
        <v>-1.7276562105482842E-6</v>
      </c>
      <c r="S46" s="2"/>
      <c r="T46" s="2">
        <f>SUM(OSRRefT22_3x_0)</f>
        <v>53.54</v>
      </c>
      <c r="U46" s="2"/>
      <c r="V46" s="6">
        <f t="shared" si="9"/>
        <v>6.2900166920407479E-5</v>
      </c>
      <c r="W46" s="2"/>
      <c r="X46" s="2">
        <f t="shared" si="10"/>
        <v>-69.44</v>
      </c>
      <c r="Y46" s="2"/>
      <c r="Z46" s="6">
        <f t="shared" si="11"/>
        <v>-1.2969742248785954</v>
      </c>
    </row>
    <row r="47" spans="1:26" s="69" customFormat="1" ht="15" hidden="1" customHeight="1" outlineLevel="2" x14ac:dyDescent="0.3">
      <c r="A47" s="25"/>
      <c r="B47" s="12" t="str">
        <f>CONCATENATE("          ","6272"," - ","CASH (OVER/SHORT)")</f>
        <v xml:space="preserve">          6272 - CASH (OVER/SHORT)</v>
      </c>
      <c r="C47" s="12"/>
      <c r="D47" s="8">
        <v>0</v>
      </c>
      <c r="E47" s="3"/>
      <c r="F47" s="7">
        <f t="shared" si="4"/>
        <v>0</v>
      </c>
      <c r="G47" s="3"/>
      <c r="H47" s="8"/>
      <c r="I47" s="3"/>
      <c r="J47" s="7">
        <f t="shared" si="5"/>
        <v>0</v>
      </c>
      <c r="K47" s="3"/>
      <c r="L47" s="8">
        <f t="shared" si="6"/>
        <v>0</v>
      </c>
      <c r="M47" s="3"/>
      <c r="N47" s="7">
        <f t="shared" si="7"/>
        <v>0</v>
      </c>
      <c r="O47" s="12"/>
      <c r="P47" s="8">
        <v>-15.9</v>
      </c>
      <c r="Q47" s="3"/>
      <c r="R47" s="7">
        <f t="shared" si="8"/>
        <v>-1.7276562105482842E-6</v>
      </c>
      <c r="S47" s="3"/>
      <c r="T47" s="8">
        <v>53.54</v>
      </c>
      <c r="U47" s="3"/>
      <c r="V47" s="7">
        <f t="shared" si="9"/>
        <v>6.2900166920407479E-5</v>
      </c>
      <c r="W47" s="3"/>
      <c r="X47" s="8">
        <f t="shared" si="10"/>
        <v>-69.44</v>
      </c>
      <c r="Y47" s="3"/>
      <c r="Z47" s="7">
        <f t="shared" si="11"/>
        <v>-1.2969742248785954</v>
      </c>
    </row>
    <row r="48" spans="1:26" s="68" customFormat="1" ht="15" customHeight="1" outlineLevel="1" collapsed="1" x14ac:dyDescent="0.3">
      <c r="A48" s="26"/>
      <c r="B48" s="14" t="str">
        <f>CONCATENATE("     ","Bank/card Fees                                    ")</f>
        <v xml:space="preserve">     Bank/card Fees                                    </v>
      </c>
      <c r="C48" s="14"/>
      <c r="D48" s="2">
        <f>SUM(OSRRefD22_4x_0)</f>
        <v>273.58999999999997</v>
      </c>
      <c r="E48" s="2"/>
      <c r="F48" s="6">
        <f t="shared" si="4"/>
        <v>1.9738540916291222E-4</v>
      </c>
      <c r="G48" s="2"/>
      <c r="H48" s="2">
        <f>SUM(OSRRefH22_4x_0)</f>
        <v>78.08</v>
      </c>
      <c r="I48" s="2"/>
      <c r="J48" s="6">
        <f t="shared" si="5"/>
        <v>8.505748679092526E-4</v>
      </c>
      <c r="K48" s="2"/>
      <c r="L48" s="2">
        <f t="shared" si="6"/>
        <v>195.51</v>
      </c>
      <c r="M48" s="2"/>
      <c r="N48" s="6">
        <f t="shared" si="7"/>
        <v>2.503970286885246</v>
      </c>
      <c r="O48" s="14"/>
      <c r="P48" s="2">
        <f>SUM(OSRRefP22_4x_0)</f>
        <v>1394.78</v>
      </c>
      <c r="Q48" s="2"/>
      <c r="R48" s="6">
        <f t="shared" si="8"/>
        <v>1.5155347983324125E-4</v>
      </c>
      <c r="S48" s="2"/>
      <c r="T48" s="2">
        <f>SUM(OSRRefT22_4x_0)</f>
        <v>267</v>
      </c>
      <c r="U48" s="2"/>
      <c r="V48" s="6">
        <f t="shared" si="9"/>
        <v>3.1367845662586468E-4</v>
      </c>
      <c r="W48" s="2"/>
      <c r="X48" s="2">
        <f t="shared" si="10"/>
        <v>1127.78</v>
      </c>
      <c r="Y48" s="2"/>
      <c r="Z48" s="6">
        <f t="shared" si="11"/>
        <v>4.2238951310861426</v>
      </c>
    </row>
    <row r="49" spans="1:26" s="69" customFormat="1" ht="15" hidden="1" customHeight="1" outlineLevel="2" x14ac:dyDescent="0.3">
      <c r="A49" s="25"/>
      <c r="B49" s="12" t="str">
        <f>CONCATENATE("          ","6381"," - ","BANK/CREDIT CARD FEES")</f>
        <v xml:space="preserve">          6381 - BANK/CREDIT CARD FEES</v>
      </c>
      <c r="C49" s="12"/>
      <c r="D49" s="8">
        <v>273.58999999999997</v>
      </c>
      <c r="E49" s="3"/>
      <c r="F49" s="7">
        <f t="shared" si="4"/>
        <v>1.9738540916291222E-4</v>
      </c>
      <c r="G49" s="3"/>
      <c r="H49" s="8">
        <v>78.08</v>
      </c>
      <c r="I49" s="3"/>
      <c r="J49" s="7">
        <f t="shared" si="5"/>
        <v>8.505748679092526E-4</v>
      </c>
      <c r="K49" s="3"/>
      <c r="L49" s="8">
        <f t="shared" si="6"/>
        <v>195.51</v>
      </c>
      <c r="M49" s="3"/>
      <c r="N49" s="7">
        <f t="shared" si="7"/>
        <v>2.503970286885246</v>
      </c>
      <c r="O49" s="12"/>
      <c r="P49" s="8">
        <v>1394.78</v>
      </c>
      <c r="Q49" s="3"/>
      <c r="R49" s="7">
        <f t="shared" si="8"/>
        <v>1.5155347983324125E-4</v>
      </c>
      <c r="S49" s="3"/>
      <c r="T49" s="8">
        <v>267</v>
      </c>
      <c r="U49" s="3"/>
      <c r="V49" s="7">
        <f t="shared" si="9"/>
        <v>3.1367845662586468E-4</v>
      </c>
      <c r="W49" s="3"/>
      <c r="X49" s="8">
        <f t="shared" si="10"/>
        <v>1127.78</v>
      </c>
      <c r="Y49" s="3"/>
      <c r="Z49" s="7">
        <f t="shared" si="11"/>
        <v>4.2238951310861426</v>
      </c>
    </row>
    <row r="50" spans="1:26" s="68" customFormat="1" ht="15" customHeight="1" outlineLevel="1" collapsed="1" x14ac:dyDescent="0.3">
      <c r="A50" s="26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SUM(OSRRefD22_5x_0)</f>
        <v>760.04</v>
      </c>
      <c r="E50" s="2"/>
      <c r="F50" s="6">
        <f t="shared" si="4"/>
        <v>5.4834170247516282E-4</v>
      </c>
      <c r="G50" s="2"/>
      <c r="H50" s="2">
        <f>SUM(OSRRefH22_5x_0)</f>
        <v>758.5</v>
      </c>
      <c r="I50" s="2"/>
      <c r="J50" s="6">
        <f t="shared" si="5"/>
        <v>8.2628206622588126E-3</v>
      </c>
      <c r="K50" s="2"/>
      <c r="L50" s="2">
        <f t="shared" si="6"/>
        <v>1.5399999999999636</v>
      </c>
      <c r="M50" s="2"/>
      <c r="N50" s="6">
        <f t="shared" si="7"/>
        <v>2.0303230059327141E-3</v>
      </c>
      <c r="O50" s="14"/>
      <c r="P50" s="2">
        <f>SUM(OSRRefP22_5x_0)</f>
        <v>6840.36</v>
      </c>
      <c r="Q50" s="2"/>
      <c r="R50" s="6">
        <f t="shared" si="8"/>
        <v>7.4325726015006663E-4</v>
      </c>
      <c r="S50" s="2"/>
      <c r="T50" s="2">
        <f>SUM(OSRRefT22_5x_0)</f>
        <v>6298.06</v>
      </c>
      <c r="U50" s="2"/>
      <c r="V50" s="6">
        <f t="shared" si="9"/>
        <v>7.3991226237344332E-3</v>
      </c>
      <c r="W50" s="2"/>
      <c r="X50" s="2">
        <f t="shared" si="10"/>
        <v>542.29999999999927</v>
      </c>
      <c r="Y50" s="2"/>
      <c r="Z50" s="6">
        <f t="shared" si="11"/>
        <v>8.6105880223433767E-2</v>
      </c>
    </row>
    <row r="51" spans="1:26" s="69" customFormat="1" ht="15" hidden="1" customHeight="1" outlineLevel="2" x14ac:dyDescent="0.3">
      <c r="A51" s="25"/>
      <c r="B51" s="12" t="str">
        <f>CONCATENATE("          ","6322"," - ","EQUIPMENT DEPRECIATION EXPENSE")</f>
        <v xml:space="preserve">          6322 - EQUIPMENT DEPRECIATION EXPENSE</v>
      </c>
      <c r="C51" s="12"/>
      <c r="D51" s="8">
        <v>760.04</v>
      </c>
      <c r="E51" s="3"/>
      <c r="F51" s="7">
        <f t="shared" si="4"/>
        <v>5.4834170247516282E-4</v>
      </c>
      <c r="G51" s="3"/>
      <c r="H51" s="8">
        <v>758.5</v>
      </c>
      <c r="I51" s="3"/>
      <c r="J51" s="7">
        <f t="shared" si="5"/>
        <v>8.2628206622588126E-3</v>
      </c>
      <c r="K51" s="3"/>
      <c r="L51" s="8">
        <f t="shared" si="6"/>
        <v>1.5399999999999636</v>
      </c>
      <c r="M51" s="3"/>
      <c r="N51" s="7">
        <f t="shared" si="7"/>
        <v>2.0303230059327141E-3</v>
      </c>
      <c r="O51" s="12"/>
      <c r="P51" s="8">
        <v>6840.36</v>
      </c>
      <c r="Q51" s="3"/>
      <c r="R51" s="7">
        <f t="shared" si="8"/>
        <v>7.4325726015006663E-4</v>
      </c>
      <c r="S51" s="3"/>
      <c r="T51" s="8">
        <v>6298.06</v>
      </c>
      <c r="U51" s="3"/>
      <c r="V51" s="7">
        <f t="shared" si="9"/>
        <v>7.3991226237344332E-3</v>
      </c>
      <c r="W51" s="3"/>
      <c r="X51" s="8">
        <f t="shared" si="10"/>
        <v>542.29999999999927</v>
      </c>
      <c r="Y51" s="3"/>
      <c r="Z51" s="7">
        <f t="shared" si="11"/>
        <v>8.6105880223433767E-2</v>
      </c>
    </row>
    <row r="52" spans="1:26" s="68" customFormat="1" ht="15" customHeight="1" outlineLevel="1" collapsed="1" x14ac:dyDescent="0.3">
      <c r="A52" s="26"/>
      <c r="B52" s="14" t="str">
        <f>CONCATENATE("     ","Donations                                         ")</f>
        <v xml:space="preserve">     Donations                                         </v>
      </c>
      <c r="C52" s="14"/>
      <c r="D52" s="2">
        <f>SUM(OSRRefD22_6x_0)</f>
        <v>7724.92</v>
      </c>
      <c r="E52" s="2"/>
      <c r="F52" s="6">
        <f t="shared" si="4"/>
        <v>5.5732537554397605E-3</v>
      </c>
      <c r="G52" s="2"/>
      <c r="H52" s="2">
        <f>SUM(OSRRefH22_6x_0)</f>
        <v>7337.33</v>
      </c>
      <c r="I52" s="2"/>
      <c r="J52" s="6">
        <f t="shared" si="5"/>
        <v>7.9930180527108055E-2</v>
      </c>
      <c r="K52" s="2"/>
      <c r="L52" s="2">
        <f t="shared" si="6"/>
        <v>387.59000000000015</v>
      </c>
      <c r="M52" s="2"/>
      <c r="N52" s="6">
        <f t="shared" si="7"/>
        <v>5.2824392524256122E-2</v>
      </c>
      <c r="O52" s="14"/>
      <c r="P52" s="2">
        <f>SUM(OSRRefP22_6x_0)</f>
        <v>57035.13</v>
      </c>
      <c r="Q52" s="2"/>
      <c r="R52" s="6">
        <f t="shared" si="8"/>
        <v>6.197301670687343E-3</v>
      </c>
      <c r="S52" s="2"/>
      <c r="T52" s="2">
        <f>SUM(OSRRefT22_6x_0)</f>
        <v>50979.76</v>
      </c>
      <c r="U52" s="2"/>
      <c r="V52" s="6">
        <f t="shared" si="9"/>
        <v>5.9892331220812708E-2</v>
      </c>
      <c r="W52" s="2"/>
      <c r="X52" s="2">
        <f t="shared" si="10"/>
        <v>6055.3699999999953</v>
      </c>
      <c r="Y52" s="2"/>
      <c r="Z52" s="6">
        <f t="shared" si="11"/>
        <v>0.11877988440902812</v>
      </c>
    </row>
    <row r="53" spans="1:26" s="69" customFormat="1" ht="15" hidden="1" customHeight="1" outlineLevel="2" x14ac:dyDescent="0.3">
      <c r="A53" s="25"/>
      <c r="B53" s="12" t="str">
        <f>CONCATENATE("          ","6399"," - ","DONATION-ON CAMPUS")</f>
        <v xml:space="preserve">          6399 - DONATION-ON CAMPUS</v>
      </c>
      <c r="C53" s="12"/>
      <c r="D53" s="8">
        <v>7724.92</v>
      </c>
      <c r="E53" s="3"/>
      <c r="F53" s="7">
        <f t="shared" si="4"/>
        <v>5.5732537554397605E-3</v>
      </c>
      <c r="G53" s="3"/>
      <c r="H53" s="8">
        <v>7337.33</v>
      </c>
      <c r="I53" s="3"/>
      <c r="J53" s="7">
        <f t="shared" si="5"/>
        <v>7.9930180527108055E-2</v>
      </c>
      <c r="K53" s="3"/>
      <c r="L53" s="8">
        <f t="shared" si="6"/>
        <v>387.59000000000015</v>
      </c>
      <c r="M53" s="3"/>
      <c r="N53" s="7">
        <f t="shared" si="7"/>
        <v>5.2824392524256122E-2</v>
      </c>
      <c r="O53" s="12"/>
      <c r="P53" s="8">
        <v>57035.13</v>
      </c>
      <c r="Q53" s="3"/>
      <c r="R53" s="7">
        <f t="shared" si="8"/>
        <v>6.197301670687343E-3</v>
      </c>
      <c r="S53" s="3"/>
      <c r="T53" s="8">
        <v>50979.76</v>
      </c>
      <c r="U53" s="3"/>
      <c r="V53" s="7">
        <f t="shared" si="9"/>
        <v>5.9892331220812708E-2</v>
      </c>
      <c r="W53" s="3"/>
      <c r="X53" s="8">
        <f t="shared" si="10"/>
        <v>6055.3699999999953</v>
      </c>
      <c r="Y53" s="3"/>
      <c r="Z53" s="7">
        <f t="shared" si="11"/>
        <v>0.11877988440902812</v>
      </c>
    </row>
    <row r="54" spans="1:26" s="68" customFormat="1" ht="15" customHeight="1" outlineLevel="1" collapsed="1" x14ac:dyDescent="0.3">
      <c r="A54" s="26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SUM(OSRRefD22_7x_0)</f>
        <v>0</v>
      </c>
      <c r="E54" s="2"/>
      <c r="F54" s="6">
        <f t="shared" si="4"/>
        <v>0</v>
      </c>
      <c r="G54" s="2"/>
      <c r="H54" s="2">
        <f>SUM(OSRRefH22_7x_0)</f>
        <v>0</v>
      </c>
      <c r="I54" s="2"/>
      <c r="J54" s="6">
        <f t="shared" si="5"/>
        <v>0</v>
      </c>
      <c r="K54" s="2"/>
      <c r="L54" s="2">
        <f t="shared" si="6"/>
        <v>0</v>
      </c>
      <c r="M54" s="2"/>
      <c r="N54" s="6">
        <f t="shared" si="7"/>
        <v>0</v>
      </c>
      <c r="O54" s="14"/>
      <c r="P54" s="2">
        <f>SUM(OSRRefP22_7x_0)</f>
        <v>325.70999999999998</v>
      </c>
      <c r="Q54" s="2"/>
      <c r="R54" s="6">
        <f t="shared" si="8"/>
        <v>3.5390874486646641E-5</v>
      </c>
      <c r="S54" s="2"/>
      <c r="T54" s="2">
        <f>SUM(OSRRefT22_7x_0)</f>
        <v>0</v>
      </c>
      <c r="U54" s="2"/>
      <c r="V54" s="6">
        <f t="shared" si="9"/>
        <v>0</v>
      </c>
      <c r="W54" s="2"/>
      <c r="X54" s="2">
        <f t="shared" si="10"/>
        <v>325.70999999999998</v>
      </c>
      <c r="Y54" s="2"/>
      <c r="Z54" s="6">
        <f t="shared" si="11"/>
        <v>0</v>
      </c>
    </row>
    <row r="55" spans="1:26" s="69" customFormat="1" ht="15" hidden="1" customHeight="1" outlineLevel="2" x14ac:dyDescent="0.3">
      <c r="A55" s="25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si="4"/>
        <v>0</v>
      </c>
      <c r="G55" s="3"/>
      <c r="H55" s="8"/>
      <c r="I55" s="3"/>
      <c r="J55" s="7">
        <f t="shared" si="5"/>
        <v>0</v>
      </c>
      <c r="K55" s="3"/>
      <c r="L55" s="8">
        <f t="shared" si="6"/>
        <v>0</v>
      </c>
      <c r="M55" s="3"/>
      <c r="N55" s="7">
        <f t="shared" si="7"/>
        <v>0</v>
      </c>
      <c r="O55" s="12"/>
      <c r="P55" s="8">
        <v>325.70999999999998</v>
      </c>
      <c r="Q55" s="3"/>
      <c r="R55" s="7">
        <f t="shared" si="8"/>
        <v>3.5390874486646641E-5</v>
      </c>
      <c r="S55" s="3"/>
      <c r="T55" s="8"/>
      <c r="U55" s="3"/>
      <c r="V55" s="7">
        <f t="shared" si="9"/>
        <v>0</v>
      </c>
      <c r="W55" s="3"/>
      <c r="X55" s="8">
        <f t="shared" si="10"/>
        <v>325.70999999999998</v>
      </c>
      <c r="Y55" s="3"/>
      <c r="Z55" s="7">
        <f t="shared" si="11"/>
        <v>0</v>
      </c>
    </row>
    <row r="56" spans="1:26" s="68" customFormat="1" ht="15" customHeight="1" outlineLevel="1" collapsed="1" x14ac:dyDescent="0.3">
      <c r="A56" s="26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SUM(OSRRefD22_8x_0)</f>
        <v>490.12</v>
      </c>
      <c r="E56" s="2"/>
      <c r="F56" s="6">
        <f t="shared" si="4"/>
        <v>3.536040671768944E-4</v>
      </c>
      <c r="G56" s="2"/>
      <c r="H56" s="2">
        <f>SUM(OSRRefH22_8x_0)</f>
        <v>716.36</v>
      </c>
      <c r="I56" s="2"/>
      <c r="J56" s="6">
        <f t="shared" si="5"/>
        <v>7.803762965874388E-3</v>
      </c>
      <c r="K56" s="2"/>
      <c r="L56" s="2">
        <f t="shared" si="6"/>
        <v>-226.24</v>
      </c>
      <c r="M56" s="2"/>
      <c r="N56" s="6">
        <f t="shared" si="7"/>
        <v>-0.31581886202468035</v>
      </c>
      <c r="O56" s="14"/>
      <c r="P56" s="2">
        <f>SUM(OSRRefP22_8x_0)</f>
        <v>9619.3700000000008</v>
      </c>
      <c r="Q56" s="2"/>
      <c r="R56" s="6">
        <f t="shared" si="8"/>
        <v>1.0452178818906822E-3</v>
      </c>
      <c r="S56" s="2"/>
      <c r="T56" s="2">
        <f>SUM(OSRRefT22_8x_0)</f>
        <v>4553.92</v>
      </c>
      <c r="U56" s="2"/>
      <c r="V56" s="6">
        <f t="shared" si="9"/>
        <v>5.3500621617889807E-3</v>
      </c>
      <c r="W56" s="2"/>
      <c r="X56" s="2">
        <f t="shared" si="10"/>
        <v>5065.4500000000007</v>
      </c>
      <c r="Y56" s="2"/>
      <c r="Z56" s="6">
        <f t="shared" si="11"/>
        <v>1.1123274014475442</v>
      </c>
    </row>
    <row r="57" spans="1:26" s="69" customFormat="1" ht="15" hidden="1" customHeight="1" outlineLevel="2" x14ac:dyDescent="0.3">
      <c r="A57" s="25"/>
      <c r="B57" s="12" t="str">
        <f>CONCATENATE("          ","6351"," - ","EQUIPMENT RENTAL")</f>
        <v xml:space="preserve">          6351 - EQUIPMENT RENTAL</v>
      </c>
      <c r="C57" s="12"/>
      <c r="D57" s="8">
        <v>490.12</v>
      </c>
      <c r="E57" s="3"/>
      <c r="F57" s="7">
        <f t="shared" ref="F57:F90" si="12">IF(D$12=0,0,D57/D$12)</f>
        <v>3.536040671768944E-4</v>
      </c>
      <c r="G57" s="3"/>
      <c r="H57" s="8">
        <v>716.36</v>
      </c>
      <c r="I57" s="3"/>
      <c r="J57" s="7">
        <f t="shared" ref="J57:J90" si="13">IF(H$12=0,0,H57/H$12)</f>
        <v>7.803762965874388E-3</v>
      </c>
      <c r="K57" s="3"/>
      <c r="L57" s="8">
        <f t="shared" ref="L57:L90" si="14">+D57-H57</f>
        <v>-226.24</v>
      </c>
      <c r="M57" s="3"/>
      <c r="N57" s="7">
        <f t="shared" ref="N57:N90" si="15">IF(H57=0,0,L57/H57)</f>
        <v>-0.31581886202468035</v>
      </c>
      <c r="O57" s="12"/>
      <c r="P57" s="8">
        <v>9619.3700000000008</v>
      </c>
      <c r="Q57" s="3"/>
      <c r="R57" s="7">
        <f t="shared" ref="R57:R90" si="16">IF(P$12=0,0,P57/P$12)</f>
        <v>1.0452178818906822E-3</v>
      </c>
      <c r="S57" s="3"/>
      <c r="T57" s="8">
        <v>4553.92</v>
      </c>
      <c r="U57" s="3"/>
      <c r="V57" s="7">
        <f t="shared" ref="V57:V90" si="17">IF(T$12=0,0,T57/T$12)</f>
        <v>5.3500621617889807E-3</v>
      </c>
      <c r="W57" s="3"/>
      <c r="X57" s="8">
        <f t="shared" ref="X57:X90" si="18">+P57-T57</f>
        <v>5065.4500000000007</v>
      </c>
      <c r="Y57" s="3"/>
      <c r="Z57" s="7">
        <f t="shared" ref="Z57:Z90" si="19">IF(T57=0,0,X57/T57)</f>
        <v>1.1123274014475442</v>
      </c>
    </row>
    <row r="58" spans="1:26" s="68" customFormat="1" ht="15" customHeight="1" outlineLevel="1" collapsed="1" x14ac:dyDescent="0.3">
      <c r="A58" s="26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SUM(OSRRefD22_9x_0)</f>
        <v>2116.59</v>
      </c>
      <c r="E58" s="2"/>
      <c r="F58" s="6">
        <f t="shared" si="12"/>
        <v>1.5270440556311576E-3</v>
      </c>
      <c r="G58" s="2"/>
      <c r="H58" s="2">
        <f>SUM(OSRRefH22_9x_0)</f>
        <v>436.32</v>
      </c>
      <c r="I58" s="2"/>
      <c r="J58" s="6">
        <f t="shared" si="13"/>
        <v>4.7531099688289591E-3</v>
      </c>
      <c r="K58" s="2"/>
      <c r="L58" s="2">
        <f t="shared" si="14"/>
        <v>1680.2700000000002</v>
      </c>
      <c r="M58" s="2"/>
      <c r="N58" s="6">
        <f t="shared" si="15"/>
        <v>3.8510038503850392</v>
      </c>
      <c r="O58" s="14"/>
      <c r="P58" s="2">
        <f>SUM(OSRRefP22_9x_0)</f>
        <v>14482.43</v>
      </c>
      <c r="Q58" s="2"/>
      <c r="R58" s="6">
        <f t="shared" si="16"/>
        <v>1.5736264234799237E-3</v>
      </c>
      <c r="S58" s="2"/>
      <c r="T58" s="2">
        <f>SUM(OSRRefT22_9x_0)</f>
        <v>7594.75</v>
      </c>
      <c r="U58" s="2"/>
      <c r="V58" s="6">
        <f t="shared" si="17"/>
        <v>8.9225073350535054E-3</v>
      </c>
      <c r="W58" s="2"/>
      <c r="X58" s="2">
        <f t="shared" si="18"/>
        <v>6887.68</v>
      </c>
      <c r="Y58" s="2"/>
      <c r="Z58" s="6">
        <f t="shared" si="19"/>
        <v>0.90690016129563189</v>
      </c>
    </row>
    <row r="59" spans="1:26" s="69" customFormat="1" ht="15" hidden="1" customHeight="1" outlineLevel="2" x14ac:dyDescent="0.3">
      <c r="A59" s="25"/>
      <c r="B59" s="12" t="str">
        <f>CONCATENATE("          ","6279"," - ","GENERAL EXPENSE")</f>
        <v xml:space="preserve">          6279 - GENERAL EXPENSE</v>
      </c>
      <c r="C59" s="12"/>
      <c r="D59" s="8">
        <v>2116.59</v>
      </c>
      <c r="E59" s="3"/>
      <c r="F59" s="7">
        <f t="shared" si="12"/>
        <v>1.5270440556311576E-3</v>
      </c>
      <c r="G59" s="3"/>
      <c r="H59" s="8">
        <v>436.32</v>
      </c>
      <c r="I59" s="3"/>
      <c r="J59" s="7">
        <f t="shared" si="13"/>
        <v>4.7531099688289591E-3</v>
      </c>
      <c r="K59" s="3"/>
      <c r="L59" s="8">
        <f t="shared" si="14"/>
        <v>1680.2700000000002</v>
      </c>
      <c r="M59" s="3"/>
      <c r="N59" s="7">
        <f t="shared" si="15"/>
        <v>3.8510038503850392</v>
      </c>
      <c r="O59" s="12"/>
      <c r="P59" s="8">
        <v>14482.43</v>
      </c>
      <c r="Q59" s="3"/>
      <c r="R59" s="7">
        <f t="shared" si="16"/>
        <v>1.5736264234799237E-3</v>
      </c>
      <c r="S59" s="3"/>
      <c r="T59" s="8">
        <v>7594.75</v>
      </c>
      <c r="U59" s="3"/>
      <c r="V59" s="7">
        <f t="shared" si="17"/>
        <v>8.9225073350535054E-3</v>
      </c>
      <c r="W59" s="3"/>
      <c r="X59" s="8">
        <f t="shared" si="18"/>
        <v>6887.68</v>
      </c>
      <c r="Y59" s="3"/>
      <c r="Z59" s="7">
        <f t="shared" si="19"/>
        <v>0.90690016129563189</v>
      </c>
    </row>
    <row r="60" spans="1:26" s="68" customFormat="1" ht="15" customHeight="1" outlineLevel="1" collapsed="1" x14ac:dyDescent="0.3">
      <c r="A60" s="26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SUM(OSRRefD22_10x_0)</f>
        <v>5.21</v>
      </c>
      <c r="E60" s="2"/>
      <c r="F60" s="6">
        <f t="shared" si="12"/>
        <v>3.7588288378185343E-6</v>
      </c>
      <c r="G60" s="2"/>
      <c r="H60" s="2">
        <f>SUM(OSRRefH22_10x_0)</f>
        <v>5.9</v>
      </c>
      <c r="I60" s="2"/>
      <c r="J60" s="6">
        <f t="shared" si="13"/>
        <v>6.4272434947036257E-5</v>
      </c>
      <c r="K60" s="2"/>
      <c r="L60" s="2">
        <f t="shared" si="14"/>
        <v>-0.69000000000000039</v>
      </c>
      <c r="M60" s="2"/>
      <c r="N60" s="6">
        <f t="shared" si="15"/>
        <v>-0.11694915254237294</v>
      </c>
      <c r="O60" s="14"/>
      <c r="P60" s="2">
        <f>SUM(OSRRefP22_10x_0)</f>
        <v>46.9</v>
      </c>
      <c r="Q60" s="2"/>
      <c r="R60" s="6">
        <f t="shared" si="16"/>
        <v>5.0960425330009131E-6</v>
      </c>
      <c r="S60" s="2"/>
      <c r="T60" s="2">
        <f>SUM(OSRRefT22_10x_0)</f>
        <v>53.1</v>
      </c>
      <c r="U60" s="2"/>
      <c r="V60" s="6">
        <f t="shared" si="17"/>
        <v>6.2383243621098937E-5</v>
      </c>
      <c r="W60" s="2"/>
      <c r="X60" s="2">
        <f t="shared" si="18"/>
        <v>-6.2000000000000028</v>
      </c>
      <c r="Y60" s="2"/>
      <c r="Z60" s="6">
        <f t="shared" si="19"/>
        <v>-0.11676082862523546</v>
      </c>
    </row>
    <row r="61" spans="1:26" s="69" customFormat="1" ht="15" hidden="1" customHeight="1" outlineLevel="2" x14ac:dyDescent="0.3">
      <c r="A61" s="25"/>
      <c r="B61" s="12" t="str">
        <f>CONCATENATE("          ","6314"," - ","LIABILITY INSURANCE")</f>
        <v xml:space="preserve">          6314 - LIABILITY INSURANCE</v>
      </c>
      <c r="C61" s="12"/>
      <c r="D61" s="8">
        <v>5.21</v>
      </c>
      <c r="E61" s="3"/>
      <c r="F61" s="7">
        <f t="shared" si="12"/>
        <v>3.7588288378185343E-6</v>
      </c>
      <c r="G61" s="3"/>
      <c r="H61" s="8">
        <v>5.9</v>
      </c>
      <c r="I61" s="3"/>
      <c r="J61" s="7">
        <f t="shared" si="13"/>
        <v>6.4272434947036257E-5</v>
      </c>
      <c r="K61" s="3"/>
      <c r="L61" s="8">
        <f t="shared" si="14"/>
        <v>-0.69000000000000039</v>
      </c>
      <c r="M61" s="3"/>
      <c r="N61" s="7">
        <f t="shared" si="15"/>
        <v>-0.11694915254237294</v>
      </c>
      <c r="O61" s="12"/>
      <c r="P61" s="8">
        <v>46.9</v>
      </c>
      <c r="Q61" s="3"/>
      <c r="R61" s="7">
        <f t="shared" si="16"/>
        <v>5.0960425330009131E-6</v>
      </c>
      <c r="S61" s="3"/>
      <c r="T61" s="8">
        <v>53.1</v>
      </c>
      <c r="U61" s="3"/>
      <c r="V61" s="7">
        <f t="shared" si="17"/>
        <v>6.2383243621098937E-5</v>
      </c>
      <c r="W61" s="3"/>
      <c r="X61" s="8">
        <f t="shared" si="18"/>
        <v>-6.2000000000000028</v>
      </c>
      <c r="Y61" s="3"/>
      <c r="Z61" s="7">
        <f t="shared" si="19"/>
        <v>-0.11676082862523546</v>
      </c>
    </row>
    <row r="62" spans="1:26" s="68" customFormat="1" ht="15" customHeight="1" outlineLevel="1" collapsed="1" x14ac:dyDescent="0.3">
      <c r="A62" s="26"/>
      <c r="B62" s="14" t="str">
        <f>CONCATENATE("     ","R/H Commissions                                   ")</f>
        <v xml:space="preserve">     R/H Commissions                                   </v>
      </c>
      <c r="C62" s="14"/>
      <c r="D62" s="2">
        <f>SUM(OSRRefD22_11x_0)</f>
        <v>111663.48</v>
      </c>
      <c r="E62" s="2"/>
      <c r="F62" s="6">
        <f t="shared" si="12"/>
        <v>8.0561210893507318E-2</v>
      </c>
      <c r="G62" s="2"/>
      <c r="H62" s="2">
        <f>SUM(OSRRefH22_11x_0)</f>
        <v>6756.75</v>
      </c>
      <c r="I62" s="2"/>
      <c r="J62" s="6">
        <f t="shared" si="13"/>
        <v>7.3605555055658842E-2</v>
      </c>
      <c r="K62" s="2"/>
      <c r="L62" s="2">
        <f t="shared" si="14"/>
        <v>104906.73</v>
      </c>
      <c r="M62" s="2"/>
      <c r="N62" s="6">
        <f t="shared" si="15"/>
        <v>15.526211566211565</v>
      </c>
      <c r="O62" s="14"/>
      <c r="P62" s="2">
        <f>SUM(OSRRefP22_11x_0)</f>
        <v>720692.17</v>
      </c>
      <c r="Q62" s="2"/>
      <c r="R62" s="6">
        <f t="shared" si="16"/>
        <v>7.8308698326667911E-2</v>
      </c>
      <c r="S62" s="2"/>
      <c r="T62" s="2">
        <f>SUM(OSRRefT22_11x_0)</f>
        <v>59012.6</v>
      </c>
      <c r="U62" s="2"/>
      <c r="V62" s="6">
        <f t="shared" si="17"/>
        <v>6.9329517938125473E-2</v>
      </c>
      <c r="W62" s="2"/>
      <c r="X62" s="2">
        <f t="shared" si="18"/>
        <v>661679.57000000007</v>
      </c>
      <c r="Y62" s="2"/>
      <c r="Z62" s="6">
        <f t="shared" si="19"/>
        <v>11.212513429335431</v>
      </c>
    </row>
    <row r="63" spans="1:26" s="69" customFormat="1" ht="15" hidden="1" customHeight="1" outlineLevel="2" x14ac:dyDescent="0.3">
      <c r="A63" s="25"/>
      <c r="B63" s="12" t="str">
        <f>CONCATENATE("          ","6387"," - ","COMMISSION DUE HOUSING")</f>
        <v xml:space="preserve">          6387 - COMMISSION DUE HOUSING</v>
      </c>
      <c r="C63" s="12"/>
      <c r="D63" s="8">
        <v>111663.48</v>
      </c>
      <c r="E63" s="3"/>
      <c r="F63" s="7">
        <f t="shared" si="12"/>
        <v>8.0561210893507318E-2</v>
      </c>
      <c r="G63" s="3"/>
      <c r="H63" s="8">
        <v>6756.75</v>
      </c>
      <c r="I63" s="3"/>
      <c r="J63" s="7">
        <f t="shared" si="13"/>
        <v>7.3605555055658842E-2</v>
      </c>
      <c r="K63" s="3"/>
      <c r="L63" s="8">
        <f t="shared" si="14"/>
        <v>104906.73</v>
      </c>
      <c r="M63" s="3"/>
      <c r="N63" s="7">
        <f t="shared" si="15"/>
        <v>15.526211566211565</v>
      </c>
      <c r="O63" s="12"/>
      <c r="P63" s="8">
        <v>720692.17</v>
      </c>
      <c r="Q63" s="3"/>
      <c r="R63" s="7">
        <f t="shared" si="16"/>
        <v>7.8308698326667911E-2</v>
      </c>
      <c r="S63" s="3"/>
      <c r="T63" s="8">
        <v>59012.6</v>
      </c>
      <c r="U63" s="3"/>
      <c r="V63" s="7">
        <f t="shared" si="17"/>
        <v>6.9329517938125473E-2</v>
      </c>
      <c r="W63" s="3"/>
      <c r="X63" s="8">
        <f t="shared" si="18"/>
        <v>661679.57000000007</v>
      </c>
      <c r="Y63" s="3"/>
      <c r="Z63" s="7">
        <f t="shared" si="19"/>
        <v>11.212513429335431</v>
      </c>
    </row>
    <row r="64" spans="1:26" s="68" customFormat="1" ht="15" customHeight="1" outlineLevel="1" collapsed="1" x14ac:dyDescent="0.3">
      <c r="A64" s="26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SUM(OSRRefD22_12x_0)</f>
        <v>8874.1</v>
      </c>
      <c r="E64" s="2"/>
      <c r="F64" s="6">
        <f t="shared" si="12"/>
        <v>6.402346063279358E-3</v>
      </c>
      <c r="G64" s="2"/>
      <c r="H64" s="2">
        <f>SUM(OSRRefH22_12x_0)</f>
        <v>3741.62</v>
      </c>
      <c r="I64" s="2"/>
      <c r="J64" s="6">
        <f t="shared" si="13"/>
        <v>4.0759835262123692E-2</v>
      </c>
      <c r="K64" s="2"/>
      <c r="L64" s="2">
        <f t="shared" si="14"/>
        <v>5132.4800000000005</v>
      </c>
      <c r="M64" s="2"/>
      <c r="N64" s="6">
        <f t="shared" si="15"/>
        <v>1.3717266852326</v>
      </c>
      <c r="O64" s="14"/>
      <c r="P64" s="2">
        <f>SUM(OSRRefP22_12x_0)</f>
        <v>42841.7</v>
      </c>
      <c r="Q64" s="2"/>
      <c r="R64" s="6">
        <f t="shared" si="16"/>
        <v>4.6550773003425422E-3</v>
      </c>
      <c r="S64" s="2"/>
      <c r="T64" s="2">
        <f>SUM(OSRRefT22_12x_0)</f>
        <v>19001.09</v>
      </c>
      <c r="U64" s="2"/>
      <c r="V64" s="6">
        <f t="shared" si="17"/>
        <v>2.232296848467847E-2</v>
      </c>
      <c r="W64" s="2"/>
      <c r="X64" s="2">
        <f t="shared" si="18"/>
        <v>23840.609999999997</v>
      </c>
      <c r="Y64" s="2"/>
      <c r="Z64" s="6">
        <f t="shared" si="19"/>
        <v>1.2546969673845025</v>
      </c>
    </row>
    <row r="65" spans="1:26" s="69" customFormat="1" ht="15" hidden="1" customHeight="1" outlineLevel="2" x14ac:dyDescent="0.3">
      <c r="A65" s="25"/>
      <c r="B65" s="12" t="str">
        <f>CONCATENATE("          ","6371"," - ","COMPUTER SOFTWARE MAINTENANCE")</f>
        <v xml:space="preserve">          6371 - COMPUTER SOFTWARE MAINTENANCE</v>
      </c>
      <c r="C65" s="12"/>
      <c r="D65" s="8">
        <v>3500</v>
      </c>
      <c r="E65" s="3"/>
      <c r="F65" s="7">
        <f t="shared" si="12"/>
        <v>2.5251249390335641E-3</v>
      </c>
      <c r="G65" s="3"/>
      <c r="H65" s="8">
        <v>3500</v>
      </c>
      <c r="I65" s="3"/>
      <c r="J65" s="7">
        <f t="shared" si="13"/>
        <v>3.8127715646546927E-2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>
        <v>31500</v>
      </c>
      <c r="Q65" s="3"/>
      <c r="R65" s="7">
        <f t="shared" si="16"/>
        <v>3.422715134105091E-3</v>
      </c>
      <c r="S65" s="3"/>
      <c r="T65" s="8">
        <v>14000</v>
      </c>
      <c r="U65" s="3"/>
      <c r="V65" s="7">
        <f t="shared" si="17"/>
        <v>1.644755952345358E-2</v>
      </c>
      <c r="W65" s="3"/>
      <c r="X65" s="8">
        <f t="shared" si="18"/>
        <v>17500</v>
      </c>
      <c r="Y65" s="3"/>
      <c r="Z65" s="7">
        <f t="shared" si="19"/>
        <v>1.25</v>
      </c>
    </row>
    <row r="66" spans="1:26" s="69" customFormat="1" ht="15" hidden="1" customHeight="1" outlineLevel="2" x14ac:dyDescent="0.3">
      <c r="A66" s="25"/>
      <c r="B66" s="12" t="str">
        <f>CONCATENATE("          ","6373"," - ","MAINTENANCE CONTRACTS")</f>
        <v xml:space="preserve">          6373 - MAINTENANCE CONTRACTS</v>
      </c>
      <c r="C66" s="12"/>
      <c r="D66" s="8">
        <v>3859.53</v>
      </c>
      <c r="E66" s="3"/>
      <c r="F66" s="7">
        <f t="shared" si="12"/>
        <v>2.7845129874137751E-3</v>
      </c>
      <c r="G66" s="3"/>
      <c r="H66" s="8">
        <v>241.62</v>
      </c>
      <c r="I66" s="3"/>
      <c r="J66" s="7">
        <f t="shared" si="13"/>
        <v>2.6321196155767628E-3</v>
      </c>
      <c r="K66" s="3"/>
      <c r="L66" s="8">
        <f t="shared" si="14"/>
        <v>3617.9100000000003</v>
      </c>
      <c r="M66" s="3"/>
      <c r="N66" s="7">
        <f t="shared" si="15"/>
        <v>14.973553513781972</v>
      </c>
      <c r="O66" s="12"/>
      <c r="P66" s="8">
        <v>4481.2</v>
      </c>
      <c r="Q66" s="3"/>
      <c r="R66" s="7">
        <f t="shared" si="16"/>
        <v>4.869165415540233E-4</v>
      </c>
      <c r="S66" s="3"/>
      <c r="T66" s="8">
        <v>3227.07</v>
      </c>
      <c r="U66" s="3"/>
      <c r="V66" s="7">
        <f t="shared" si="17"/>
        <v>3.7912447079536675E-3</v>
      </c>
      <c r="W66" s="3"/>
      <c r="X66" s="8">
        <f t="shared" si="18"/>
        <v>1254.1299999999997</v>
      </c>
      <c r="Y66" s="3"/>
      <c r="Z66" s="7">
        <f t="shared" si="19"/>
        <v>0.38862807438326397</v>
      </c>
    </row>
    <row r="67" spans="1:26" s="69" customFormat="1" ht="15" hidden="1" customHeight="1" outlineLevel="2" x14ac:dyDescent="0.3">
      <c r="A67" s="25"/>
      <c r="B67" s="12" t="str">
        <f>CONCATENATE("          ","6375"," - ","OUTSIDE REPAIRS &amp; MAINTENANCE")</f>
        <v xml:space="preserve">          6375 - OUTSIDE REPAIRS &amp; MAINTENANCE</v>
      </c>
      <c r="C67" s="12"/>
      <c r="D67" s="8">
        <v>1514.57</v>
      </c>
      <c r="E67" s="3"/>
      <c r="F67" s="7">
        <f t="shared" si="12"/>
        <v>1.0927081368320185E-3</v>
      </c>
      <c r="G67" s="3"/>
      <c r="H67" s="8"/>
      <c r="I67" s="3"/>
      <c r="J67" s="7">
        <f t="shared" si="13"/>
        <v>0</v>
      </c>
      <c r="K67" s="3"/>
      <c r="L67" s="8">
        <f t="shared" si="14"/>
        <v>1514.57</v>
      </c>
      <c r="M67" s="3"/>
      <c r="N67" s="7">
        <f t="shared" si="15"/>
        <v>0</v>
      </c>
      <c r="O67" s="12"/>
      <c r="P67" s="8">
        <v>6860.5</v>
      </c>
      <c r="Q67" s="3"/>
      <c r="R67" s="7">
        <f t="shared" si="16"/>
        <v>7.4544562468342789E-4</v>
      </c>
      <c r="S67" s="3"/>
      <c r="T67" s="8">
        <v>1774.02</v>
      </c>
      <c r="U67" s="3"/>
      <c r="V67" s="7">
        <f t="shared" si="17"/>
        <v>2.0841642532712229E-3</v>
      </c>
      <c r="W67" s="3"/>
      <c r="X67" s="8">
        <f t="shared" si="18"/>
        <v>5086.4799999999996</v>
      </c>
      <c r="Y67" s="3"/>
      <c r="Z67" s="7">
        <f t="shared" si="19"/>
        <v>2.8672055557434524</v>
      </c>
    </row>
    <row r="68" spans="1:26" s="68" customFormat="1" ht="15" customHeight="1" outlineLevel="1" collapsed="1" x14ac:dyDescent="0.3">
      <c r="A68" s="26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SUM(OSRRefD22_13x_0)</f>
        <v>21188.89</v>
      </c>
      <c r="E68" s="2"/>
      <c r="F68" s="6">
        <f t="shared" si="12"/>
        <v>1.5287027019839685E-2</v>
      </c>
      <c r="G68" s="2"/>
      <c r="H68" s="2">
        <f>SUM(OSRRefH22_13x_0)</f>
        <v>15135.97</v>
      </c>
      <c r="I68" s="2"/>
      <c r="J68" s="6">
        <f t="shared" si="13"/>
        <v>0.16488570291276139</v>
      </c>
      <c r="K68" s="2"/>
      <c r="L68" s="2">
        <f t="shared" si="14"/>
        <v>6052.92</v>
      </c>
      <c r="M68" s="2"/>
      <c r="N68" s="6">
        <f t="shared" si="15"/>
        <v>0.39990301249275734</v>
      </c>
      <c r="O68" s="14"/>
      <c r="P68" s="2">
        <f>SUM(OSRRefP22_13x_0)</f>
        <v>155494.29999999999</v>
      </c>
      <c r="Q68" s="2"/>
      <c r="R68" s="6">
        <f t="shared" si="16"/>
        <v>1.6895641075462767E-2</v>
      </c>
      <c r="S68" s="2"/>
      <c r="T68" s="2">
        <f>SUM(OSRRefT22_13x_0)</f>
        <v>104235.15</v>
      </c>
      <c r="U68" s="2"/>
      <c r="V68" s="6">
        <f t="shared" si="17"/>
        <v>0.12245813100436516</v>
      </c>
      <c r="W68" s="2"/>
      <c r="X68" s="2">
        <f t="shared" si="18"/>
        <v>51259.149999999994</v>
      </c>
      <c r="Y68" s="2"/>
      <c r="Z68" s="6">
        <f t="shared" si="19"/>
        <v>0.49176453432455364</v>
      </c>
    </row>
    <row r="69" spans="1:26" s="69" customFormat="1" ht="15" hidden="1" customHeight="1" outlineLevel="2" x14ac:dyDescent="0.3">
      <c r="A69" s="25"/>
      <c r="B69" s="12" t="str">
        <f>CONCATENATE("          ","6282"," - ","JANITORIAL/EXTERMINATOR EXPENS")</f>
        <v xml:space="preserve">          6282 - JANITORIAL/EXTERMINATOR EXPENS</v>
      </c>
      <c r="C69" s="12"/>
      <c r="D69" s="8">
        <v>2829.05</v>
      </c>
      <c r="E69" s="3"/>
      <c r="F69" s="7">
        <f t="shared" si="12"/>
        <v>2.0410584882208302E-3</v>
      </c>
      <c r="G69" s="3"/>
      <c r="H69" s="8">
        <v>2177.94</v>
      </c>
      <c r="I69" s="3"/>
      <c r="J69" s="7">
        <f t="shared" si="13"/>
        <v>2.3725679147211548E-2</v>
      </c>
      <c r="K69" s="3"/>
      <c r="L69" s="8">
        <f t="shared" si="14"/>
        <v>651.11000000000013</v>
      </c>
      <c r="M69" s="3"/>
      <c r="N69" s="7">
        <f t="shared" si="15"/>
        <v>0.29895681240070898</v>
      </c>
      <c r="O69" s="12"/>
      <c r="P69" s="8">
        <v>15968.97</v>
      </c>
      <c r="Q69" s="3"/>
      <c r="R69" s="7">
        <f t="shared" si="16"/>
        <v>1.7351503268276246E-3</v>
      </c>
      <c r="S69" s="3"/>
      <c r="T69" s="8">
        <v>12094.59</v>
      </c>
      <c r="U69" s="3"/>
      <c r="V69" s="7">
        <f t="shared" si="17"/>
        <v>1.4209034924054745E-2</v>
      </c>
      <c r="W69" s="3"/>
      <c r="X69" s="8">
        <f t="shared" si="18"/>
        <v>3874.3799999999992</v>
      </c>
      <c r="Y69" s="3"/>
      <c r="Z69" s="7">
        <f t="shared" si="19"/>
        <v>0.32033992057605915</v>
      </c>
    </row>
    <row r="70" spans="1:26" s="69" customFormat="1" ht="15" hidden="1" customHeight="1" outlineLevel="2" x14ac:dyDescent="0.3">
      <c r="A70" s="25"/>
      <c r="B70" s="12" t="str">
        <f>CONCATENATE("          ","6284"," - ","TRASH REMOVAL EXPENSE")</f>
        <v xml:space="preserve">          6284 - TRASH REMOVAL EXPENSE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/>
      <c r="Q70" s="3"/>
      <c r="R70" s="7">
        <f t="shared" si="16"/>
        <v>0</v>
      </c>
      <c r="S70" s="3"/>
      <c r="T70" s="8">
        <v>282.75</v>
      </c>
      <c r="U70" s="3"/>
      <c r="V70" s="7">
        <f t="shared" si="17"/>
        <v>3.3218196108974996E-4</v>
      </c>
      <c r="W70" s="3"/>
      <c r="X70" s="8">
        <f t="shared" si="18"/>
        <v>-282.75</v>
      </c>
      <c r="Y70" s="3"/>
      <c r="Z70" s="7">
        <f t="shared" si="19"/>
        <v>-1</v>
      </c>
    </row>
    <row r="71" spans="1:26" s="69" customFormat="1" ht="15" hidden="1" customHeight="1" outlineLevel="2" x14ac:dyDescent="0.3">
      <c r="A71" s="25"/>
      <c r="B71" s="12" t="str">
        <f>CONCATENATE("          ","6285"," - ","JANITORIAL SERVICES")</f>
        <v xml:space="preserve">          6285 - JANITORIAL SERVICES</v>
      </c>
      <c r="C71" s="12"/>
      <c r="D71" s="8">
        <v>14178.13</v>
      </c>
      <c r="E71" s="3"/>
      <c r="F71" s="7">
        <f t="shared" si="12"/>
        <v>1.0229014186245699E-2</v>
      </c>
      <c r="G71" s="3"/>
      <c r="H71" s="8">
        <v>12079.8</v>
      </c>
      <c r="I71" s="3"/>
      <c r="J71" s="7">
        <f t="shared" si="13"/>
        <v>0.13159290841918789</v>
      </c>
      <c r="K71" s="3"/>
      <c r="L71" s="8">
        <f t="shared" si="14"/>
        <v>2098.33</v>
      </c>
      <c r="M71" s="3"/>
      <c r="N71" s="7">
        <f t="shared" si="15"/>
        <v>0.17370569049156442</v>
      </c>
      <c r="O71" s="12"/>
      <c r="P71" s="8">
        <v>115040.39</v>
      </c>
      <c r="Q71" s="3"/>
      <c r="R71" s="7">
        <f t="shared" si="16"/>
        <v>1.2500015361471491E-2</v>
      </c>
      <c r="S71" s="3"/>
      <c r="T71" s="8">
        <v>79176.160000000003</v>
      </c>
      <c r="U71" s="3"/>
      <c r="V71" s="7">
        <f t="shared" si="17"/>
        <v>9.3018186031320324E-2</v>
      </c>
      <c r="W71" s="3"/>
      <c r="X71" s="8">
        <f t="shared" si="18"/>
        <v>35864.229999999996</v>
      </c>
      <c r="Y71" s="3"/>
      <c r="Z71" s="7">
        <f t="shared" si="19"/>
        <v>0.45296753467205275</v>
      </c>
    </row>
    <row r="72" spans="1:26" s="69" customFormat="1" ht="15" hidden="1" customHeight="1" outlineLevel="2" x14ac:dyDescent="0.3">
      <c r="A72" s="25"/>
      <c r="B72" s="12" t="str">
        <f>CONCATENATE("          ","6286"," - ","LAUNDRY EXPENSE")</f>
        <v xml:space="preserve">          6286 - LAUNDRY EXPENSE</v>
      </c>
      <c r="C72" s="12"/>
      <c r="D72" s="8">
        <v>4181.71</v>
      </c>
      <c r="E72" s="3"/>
      <c r="F72" s="7">
        <f t="shared" si="12"/>
        <v>3.0169543453731559E-3</v>
      </c>
      <c r="G72" s="3"/>
      <c r="H72" s="8">
        <v>878.23</v>
      </c>
      <c r="I72" s="3"/>
      <c r="J72" s="7">
        <f t="shared" si="13"/>
        <v>9.5671153463619749E-3</v>
      </c>
      <c r="K72" s="3"/>
      <c r="L72" s="8">
        <f t="shared" si="14"/>
        <v>3303.48</v>
      </c>
      <c r="M72" s="3"/>
      <c r="N72" s="7">
        <f t="shared" si="15"/>
        <v>3.7615203306650877</v>
      </c>
      <c r="O72" s="12"/>
      <c r="P72" s="8">
        <v>24484.94</v>
      </c>
      <c r="Q72" s="3"/>
      <c r="R72" s="7">
        <f t="shared" si="16"/>
        <v>2.6604753871636543E-3</v>
      </c>
      <c r="S72" s="3"/>
      <c r="T72" s="8">
        <v>12681.65</v>
      </c>
      <c r="U72" s="3"/>
      <c r="V72" s="7">
        <f t="shared" si="17"/>
        <v>1.4898728087900364E-2</v>
      </c>
      <c r="W72" s="3"/>
      <c r="X72" s="8">
        <f t="shared" si="18"/>
        <v>11803.289999999999</v>
      </c>
      <c r="Y72" s="3"/>
      <c r="Z72" s="7">
        <f t="shared" si="19"/>
        <v>0.93073771946079564</v>
      </c>
    </row>
    <row r="73" spans="1:26" s="68" customFormat="1" ht="15" customHeight="1" outlineLevel="1" collapsed="1" x14ac:dyDescent="0.3">
      <c r="A73" s="26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SUM(OSRRefD22_14x_0)</f>
        <v>0</v>
      </c>
      <c r="E73" s="2"/>
      <c r="F73" s="6">
        <f t="shared" si="12"/>
        <v>0</v>
      </c>
      <c r="G73" s="2"/>
      <c r="H73" s="2">
        <f>SUM(OSRRefH22_14x_0)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SUM(OSRRefP22_14x_0)</f>
        <v>0</v>
      </c>
      <c r="Q73" s="2"/>
      <c r="R73" s="6">
        <f t="shared" si="16"/>
        <v>0</v>
      </c>
      <c r="S73" s="2"/>
      <c r="T73" s="2">
        <f>SUM(OSRRefT22_14x_0)</f>
        <v>795</v>
      </c>
      <c r="U73" s="2"/>
      <c r="V73" s="6">
        <f t="shared" si="17"/>
        <v>9.3398641579611405E-4</v>
      </c>
      <c r="W73" s="2"/>
      <c r="X73" s="2">
        <f t="shared" si="18"/>
        <v>-795</v>
      </c>
      <c r="Y73" s="2"/>
      <c r="Z73" s="6">
        <f t="shared" si="19"/>
        <v>-1</v>
      </c>
    </row>
    <row r="74" spans="1:26" s="69" customFormat="1" ht="15" hidden="1" customHeight="1" outlineLevel="2" x14ac:dyDescent="0.3">
      <c r="A74" s="25"/>
      <c r="B74" s="12" t="str">
        <f>CONCATENATE("          ","6258"," - ","MEMBERSHIP DUES")</f>
        <v xml:space="preserve">          6258 - MEMBERSHIP DUES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795</v>
      </c>
      <c r="U74" s="3"/>
      <c r="V74" s="7">
        <f t="shared" si="17"/>
        <v>9.3398641579611405E-4</v>
      </c>
      <c r="W74" s="3"/>
      <c r="X74" s="8">
        <f t="shared" si="18"/>
        <v>-795</v>
      </c>
      <c r="Y74" s="3"/>
      <c r="Z74" s="7">
        <f t="shared" si="19"/>
        <v>-1</v>
      </c>
    </row>
    <row r="75" spans="1:26" s="68" customFormat="1" ht="15" customHeight="1" outlineLevel="1" collapsed="1" x14ac:dyDescent="0.3">
      <c r="A75" s="26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SUM(OSRRefD22_15x_0)</f>
        <v>21359.600000000002</v>
      </c>
      <c r="E75" s="2"/>
      <c r="F75" s="6">
        <f t="shared" si="12"/>
        <v>1.5410188185080378E-2</v>
      </c>
      <c r="G75" s="2"/>
      <c r="H75" s="2">
        <f>SUM(OSRRefH22_15x_0)</f>
        <v>7489.21</v>
      </c>
      <c r="I75" s="2"/>
      <c r="J75" s="6">
        <f t="shared" si="13"/>
        <v>8.1584705513507355E-2</v>
      </c>
      <c r="K75" s="2"/>
      <c r="L75" s="2">
        <f t="shared" si="14"/>
        <v>13870.390000000003</v>
      </c>
      <c r="M75" s="2"/>
      <c r="N75" s="6">
        <f t="shared" si="15"/>
        <v>1.8520498156681415</v>
      </c>
      <c r="O75" s="14"/>
      <c r="P75" s="2">
        <f>SUM(OSRRefP22_15x_0)</f>
        <v>267561.24</v>
      </c>
      <c r="Q75" s="2"/>
      <c r="R75" s="6">
        <f t="shared" si="16"/>
        <v>2.9072568426918237E-2</v>
      </c>
      <c r="S75" s="2"/>
      <c r="T75" s="2">
        <f>SUM(OSRRefT22_15x_0)</f>
        <v>120060.58</v>
      </c>
      <c r="U75" s="2"/>
      <c r="V75" s="6">
        <f t="shared" si="17"/>
        <v>0.14105025256931145</v>
      </c>
      <c r="W75" s="2"/>
      <c r="X75" s="2">
        <f t="shared" si="18"/>
        <v>147500.65999999997</v>
      </c>
      <c r="Y75" s="2"/>
      <c r="Z75" s="6">
        <f t="shared" si="19"/>
        <v>1.2285519526892172</v>
      </c>
    </row>
    <row r="76" spans="1:26" s="69" customFormat="1" ht="15" hidden="1" customHeight="1" outlineLevel="2" x14ac:dyDescent="0.3">
      <c r="A76" s="25"/>
      <c r="B76" s="12" t="str">
        <f>CONCATENATE("          ","6234"," - ","EXPENDABLE SUPPLIES &amp; EQUIPMEN")</f>
        <v xml:space="preserve">          6234 - EXPENDABLE SUPPLIES &amp; EQUIPMEN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>
        <v>336.98</v>
      </c>
      <c r="Q76" s="3"/>
      <c r="R76" s="7">
        <f t="shared" si="16"/>
        <v>3.6615445901293131E-5</v>
      </c>
      <c r="S76" s="3"/>
      <c r="T76" s="8"/>
      <c r="U76" s="3"/>
      <c r="V76" s="7">
        <f t="shared" si="17"/>
        <v>0</v>
      </c>
      <c r="W76" s="3"/>
      <c r="X76" s="8">
        <f t="shared" si="18"/>
        <v>336.98</v>
      </c>
      <c r="Y76" s="3"/>
      <c r="Z76" s="7">
        <f t="shared" si="19"/>
        <v>0</v>
      </c>
    </row>
    <row r="77" spans="1:26" s="69" customFormat="1" ht="15" hidden="1" customHeight="1" outlineLevel="2" x14ac:dyDescent="0.3">
      <c r="A77" s="25"/>
      <c r="B77" s="12" t="str">
        <f>CONCATENATE("          ","6235"," - ","COVID-19 EXPENSES")</f>
        <v xml:space="preserve">          6235 - COVID-19 EXPENSES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>
        <v>158.76</v>
      </c>
      <c r="Q77" s="3"/>
      <c r="R77" s="7">
        <f t="shared" si="16"/>
        <v>1.7250484275889659E-5</v>
      </c>
      <c r="S77" s="3"/>
      <c r="T77" s="8">
        <v>53569.55</v>
      </c>
      <c r="U77" s="3"/>
      <c r="V77" s="7">
        <f t="shared" si="17"/>
        <v>6.2934883019258772E-2</v>
      </c>
      <c r="W77" s="3"/>
      <c r="X77" s="8">
        <f t="shared" si="18"/>
        <v>-53410.79</v>
      </c>
      <c r="Y77" s="3"/>
      <c r="Z77" s="7">
        <f t="shared" si="19"/>
        <v>-0.9970363760755877</v>
      </c>
    </row>
    <row r="78" spans="1:26" s="69" customFormat="1" ht="15" hidden="1" customHeight="1" outlineLevel="2" x14ac:dyDescent="0.3">
      <c r="A78" s="25"/>
      <c r="B78" s="12" t="str">
        <f>CONCATENATE("          ","6237"," - ","JANITORIAL SUPPLIES")</f>
        <v xml:space="preserve">          6237 - JANITORIAL SUPPLIES</v>
      </c>
      <c r="C78" s="12"/>
      <c r="D78" s="8">
        <v>5855.81</v>
      </c>
      <c r="E78" s="3"/>
      <c r="F78" s="7">
        <f t="shared" si="12"/>
        <v>4.2247576769263249E-3</v>
      </c>
      <c r="G78" s="3"/>
      <c r="H78" s="8">
        <v>1954.49</v>
      </c>
      <c r="I78" s="3"/>
      <c r="J78" s="7">
        <f t="shared" si="13"/>
        <v>2.1291496844005574E-2</v>
      </c>
      <c r="K78" s="3"/>
      <c r="L78" s="8">
        <f t="shared" si="14"/>
        <v>3901.3200000000006</v>
      </c>
      <c r="M78" s="3"/>
      <c r="N78" s="7">
        <f t="shared" si="15"/>
        <v>1.9960808190371917</v>
      </c>
      <c r="O78" s="12"/>
      <c r="P78" s="8">
        <v>48945.8</v>
      </c>
      <c r="Q78" s="3"/>
      <c r="R78" s="7">
        <f t="shared" si="16"/>
        <v>5.318334298758126E-3</v>
      </c>
      <c r="S78" s="3"/>
      <c r="T78" s="8">
        <v>19839.29</v>
      </c>
      <c r="U78" s="3"/>
      <c r="V78" s="7">
        <f t="shared" si="17"/>
        <v>2.3307707369861243E-2</v>
      </c>
      <c r="W78" s="3"/>
      <c r="X78" s="8">
        <f t="shared" si="18"/>
        <v>29106.510000000002</v>
      </c>
      <c r="Y78" s="3"/>
      <c r="Z78" s="7">
        <f t="shared" si="19"/>
        <v>1.4671144985531237</v>
      </c>
    </row>
    <row r="79" spans="1:26" s="69" customFormat="1" ht="15" hidden="1" customHeight="1" outlineLevel="2" x14ac:dyDescent="0.3">
      <c r="A79" s="25"/>
      <c r="B79" s="12" t="str">
        <f>CONCATENATE("          ","6239"," - ","KITCHEN SUPPLIES")</f>
        <v xml:space="preserve">          6239 - KITCHEN SUPPLIES</v>
      </c>
      <c r="C79" s="12"/>
      <c r="D79" s="8">
        <v>1417.68</v>
      </c>
      <c r="E79" s="3"/>
      <c r="F79" s="7">
        <f t="shared" si="12"/>
        <v>1.0228054638768867E-3</v>
      </c>
      <c r="G79" s="3"/>
      <c r="H79" s="8">
        <v>39.75</v>
      </c>
      <c r="I79" s="3"/>
      <c r="J79" s="7">
        <f t="shared" si="13"/>
        <v>4.3302191341435442E-4</v>
      </c>
      <c r="K79" s="3"/>
      <c r="L79" s="8">
        <f t="shared" si="14"/>
        <v>1377.93</v>
      </c>
      <c r="M79" s="3"/>
      <c r="N79" s="7">
        <f t="shared" si="15"/>
        <v>34.664905660377357</v>
      </c>
      <c r="O79" s="12"/>
      <c r="P79" s="8">
        <v>29317.93</v>
      </c>
      <c r="Q79" s="3"/>
      <c r="R79" s="7">
        <f t="shared" si="16"/>
        <v>3.1856165940201166E-3</v>
      </c>
      <c r="S79" s="3"/>
      <c r="T79" s="8">
        <v>7087.08</v>
      </c>
      <c r="U79" s="3"/>
      <c r="V79" s="7">
        <f t="shared" si="17"/>
        <v>8.3260835819626705E-3</v>
      </c>
      <c r="W79" s="3"/>
      <c r="X79" s="8">
        <f t="shared" si="18"/>
        <v>22230.85</v>
      </c>
      <c r="Y79" s="3"/>
      <c r="Z79" s="7">
        <f t="shared" si="19"/>
        <v>3.1368137512205307</v>
      </c>
    </row>
    <row r="80" spans="1:26" s="69" customFormat="1" ht="15" hidden="1" customHeight="1" outlineLevel="2" x14ac:dyDescent="0.3">
      <c r="A80" s="25"/>
      <c r="B80" s="12" t="str">
        <f>CONCATENATE("          ","6241"," - ","OFFICE EXPENSE")</f>
        <v xml:space="preserve">          6241 - OFFICE EXPENSE</v>
      </c>
      <c r="C80" s="12"/>
      <c r="D80" s="8">
        <v>958.24</v>
      </c>
      <c r="E80" s="3"/>
      <c r="F80" s="7">
        <f t="shared" si="12"/>
        <v>6.9133592045129218E-4</v>
      </c>
      <c r="G80" s="3"/>
      <c r="H80" s="8">
        <v>1406.91</v>
      </c>
      <c r="I80" s="3"/>
      <c r="J80" s="7">
        <f t="shared" si="13"/>
        <v>1.5326361262938099E-2</v>
      </c>
      <c r="K80" s="3"/>
      <c r="L80" s="8">
        <f t="shared" si="14"/>
        <v>-448.67000000000007</v>
      </c>
      <c r="M80" s="3"/>
      <c r="N80" s="7">
        <f t="shared" si="15"/>
        <v>-0.31890454968690252</v>
      </c>
      <c r="O80" s="12"/>
      <c r="P80" s="8">
        <v>16956.93</v>
      </c>
      <c r="Q80" s="3"/>
      <c r="R80" s="7">
        <f t="shared" si="16"/>
        <v>1.8424997123479569E-3</v>
      </c>
      <c r="S80" s="3"/>
      <c r="T80" s="8">
        <v>6722.52</v>
      </c>
      <c r="U80" s="3"/>
      <c r="V80" s="7">
        <f t="shared" si="17"/>
        <v>7.8977891319719409E-3</v>
      </c>
      <c r="W80" s="3"/>
      <c r="X80" s="8">
        <f t="shared" si="18"/>
        <v>10234.41</v>
      </c>
      <c r="Y80" s="3"/>
      <c r="Z80" s="7">
        <f t="shared" si="19"/>
        <v>1.522406776030417</v>
      </c>
    </row>
    <row r="81" spans="1:26" s="69" customFormat="1" ht="15" hidden="1" customHeight="1" outlineLevel="2" x14ac:dyDescent="0.3">
      <c r="A81" s="25"/>
      <c r="B81" s="12" t="str">
        <f>CONCATENATE("          ","6243"," - ","PAPER SUPPLIES")</f>
        <v xml:space="preserve">          6243 - PAPER SUPPLIES</v>
      </c>
      <c r="C81" s="12"/>
      <c r="D81" s="8">
        <v>12116.33</v>
      </c>
      <c r="E81" s="3"/>
      <c r="F81" s="7">
        <f t="shared" si="12"/>
        <v>8.7414991578744407E-3</v>
      </c>
      <c r="G81" s="3"/>
      <c r="H81" s="8">
        <v>4088.06</v>
      </c>
      <c r="I81" s="3"/>
      <c r="J81" s="7">
        <f t="shared" si="13"/>
        <v>4.4533825493149326E-2</v>
      </c>
      <c r="K81" s="3"/>
      <c r="L81" s="8">
        <f t="shared" si="14"/>
        <v>8028.27</v>
      </c>
      <c r="M81" s="3"/>
      <c r="N81" s="7">
        <f t="shared" si="15"/>
        <v>1.9638337010709237</v>
      </c>
      <c r="O81" s="12"/>
      <c r="P81" s="8">
        <v>163607.9</v>
      </c>
      <c r="Q81" s="3"/>
      <c r="R81" s="7">
        <f t="shared" si="16"/>
        <v>1.7777245567909598E-2</v>
      </c>
      <c r="S81" s="3"/>
      <c r="T81" s="8">
        <v>28341.55</v>
      </c>
      <c r="U81" s="3"/>
      <c r="V81" s="7">
        <f t="shared" si="17"/>
        <v>3.3296380757995417E-2</v>
      </c>
      <c r="W81" s="3"/>
      <c r="X81" s="8">
        <f t="shared" si="18"/>
        <v>135266.35</v>
      </c>
      <c r="Y81" s="3"/>
      <c r="Z81" s="7">
        <f t="shared" si="19"/>
        <v>4.7727223810977168</v>
      </c>
    </row>
    <row r="82" spans="1:26" s="69" customFormat="1" ht="15" hidden="1" customHeight="1" outlineLevel="2" x14ac:dyDescent="0.3">
      <c r="A82" s="25"/>
      <c r="B82" s="12" t="str">
        <f>CONCATENATE("          ","6247"," - ","STORE SUPPLIES")</f>
        <v xml:space="preserve">          6247 - STORE SUPPLIES</v>
      </c>
      <c r="C82" s="12"/>
      <c r="D82" s="8">
        <v>79.38</v>
      </c>
      <c r="E82" s="3"/>
      <c r="F82" s="7">
        <f t="shared" si="12"/>
        <v>5.7269833617281232E-5</v>
      </c>
      <c r="G82" s="3"/>
      <c r="H82" s="8"/>
      <c r="I82" s="3"/>
      <c r="J82" s="7">
        <f t="shared" si="13"/>
        <v>0</v>
      </c>
      <c r="K82" s="3"/>
      <c r="L82" s="8">
        <f t="shared" si="14"/>
        <v>79.38</v>
      </c>
      <c r="M82" s="3"/>
      <c r="N82" s="7">
        <f t="shared" si="15"/>
        <v>0</v>
      </c>
      <c r="O82" s="12"/>
      <c r="P82" s="8">
        <v>1693.55</v>
      </c>
      <c r="Q82" s="3"/>
      <c r="R82" s="7">
        <f t="shared" si="16"/>
        <v>1.8401711794805323E-4</v>
      </c>
      <c r="S82" s="3"/>
      <c r="T82" s="8"/>
      <c r="U82" s="3"/>
      <c r="V82" s="7">
        <f t="shared" si="17"/>
        <v>0</v>
      </c>
      <c r="W82" s="3"/>
      <c r="X82" s="8">
        <f t="shared" si="18"/>
        <v>1693.55</v>
      </c>
      <c r="Y82" s="3"/>
      <c r="Z82" s="7">
        <f t="shared" si="19"/>
        <v>0</v>
      </c>
    </row>
    <row r="83" spans="1:26" s="69" customFormat="1" ht="15" hidden="1" customHeight="1" outlineLevel="2" x14ac:dyDescent="0.3">
      <c r="A83" s="25"/>
      <c r="B83" s="12" t="str">
        <f>CONCATENATE("          ","6248"," - ","UNIFORMS")</f>
        <v xml:space="preserve">          6248 - UNIFORMS</v>
      </c>
      <c r="C83" s="12"/>
      <c r="D83" s="8">
        <v>932.16</v>
      </c>
      <c r="E83" s="3"/>
      <c r="F83" s="7">
        <f t="shared" si="12"/>
        <v>6.725201323341506E-4</v>
      </c>
      <c r="G83" s="3"/>
      <c r="H83" s="8"/>
      <c r="I83" s="3"/>
      <c r="J83" s="7">
        <f t="shared" si="13"/>
        <v>0</v>
      </c>
      <c r="K83" s="3"/>
      <c r="L83" s="8">
        <f t="shared" si="14"/>
        <v>932.16</v>
      </c>
      <c r="M83" s="3"/>
      <c r="N83" s="7">
        <f t="shared" si="15"/>
        <v>0</v>
      </c>
      <c r="O83" s="12"/>
      <c r="P83" s="8">
        <v>6543.39</v>
      </c>
      <c r="Q83" s="3"/>
      <c r="R83" s="7">
        <f t="shared" si="16"/>
        <v>7.1098920575720357E-4</v>
      </c>
      <c r="S83" s="3"/>
      <c r="T83" s="8">
        <v>4500.59</v>
      </c>
      <c r="U83" s="3"/>
      <c r="V83" s="7">
        <f t="shared" si="17"/>
        <v>5.2874087082614247E-3</v>
      </c>
      <c r="W83" s="3"/>
      <c r="X83" s="8">
        <f t="shared" si="18"/>
        <v>2042.8000000000002</v>
      </c>
      <c r="Y83" s="3"/>
      <c r="Z83" s="7">
        <f t="shared" si="19"/>
        <v>0.4538960447408007</v>
      </c>
    </row>
    <row r="84" spans="1:26" s="68" customFormat="1" ht="15" customHeight="1" outlineLevel="1" collapsed="1" x14ac:dyDescent="0.3">
      <c r="A84" s="26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SUM(OSRRefD22_16x_0)</f>
        <v>734</v>
      </c>
      <c r="E84" s="2"/>
      <c r="F84" s="6">
        <f t="shared" si="12"/>
        <v>5.2955477292875323E-4</v>
      </c>
      <c r="G84" s="2"/>
      <c r="H84" s="2">
        <f>SUM(OSRRefH22_16x_0)</f>
        <v>248</v>
      </c>
      <c r="I84" s="2"/>
      <c r="J84" s="6">
        <f t="shared" si="13"/>
        <v>2.7016209943838969E-3</v>
      </c>
      <c r="K84" s="2"/>
      <c r="L84" s="2">
        <f t="shared" si="14"/>
        <v>486</v>
      </c>
      <c r="M84" s="2"/>
      <c r="N84" s="6">
        <f t="shared" si="15"/>
        <v>1.9596774193548387</v>
      </c>
      <c r="O84" s="14"/>
      <c r="P84" s="2">
        <f>SUM(OSRRefP22_16x_0)</f>
        <v>6487.85</v>
      </c>
      <c r="Q84" s="2"/>
      <c r="R84" s="6">
        <f t="shared" si="16"/>
        <v>7.0495436135884816E-4</v>
      </c>
      <c r="S84" s="2"/>
      <c r="T84" s="2">
        <f>SUM(OSRRefT22_16x_0)</f>
        <v>4527.32</v>
      </c>
      <c r="U84" s="2"/>
      <c r="V84" s="6">
        <f t="shared" si="17"/>
        <v>5.3188117986944184E-3</v>
      </c>
      <c r="W84" s="2"/>
      <c r="X84" s="2">
        <f t="shared" si="18"/>
        <v>1960.5300000000007</v>
      </c>
      <c r="Y84" s="2"/>
      <c r="Z84" s="6">
        <f t="shared" si="19"/>
        <v>0.43304427343328961</v>
      </c>
    </row>
    <row r="85" spans="1:26" s="69" customFormat="1" ht="15" hidden="1" customHeight="1" outlineLevel="2" x14ac:dyDescent="0.3">
      <c r="A85" s="25"/>
      <c r="B85" s="12" t="str">
        <f>CONCATENATE("          ","6309"," - ","TELEPHONE")</f>
        <v xml:space="preserve">          6309 - TELEPHONE</v>
      </c>
      <c r="C85" s="12"/>
      <c r="D85" s="8">
        <v>734</v>
      </c>
      <c r="E85" s="3"/>
      <c r="F85" s="7">
        <f t="shared" si="12"/>
        <v>5.2955477292875323E-4</v>
      </c>
      <c r="G85" s="3"/>
      <c r="H85" s="8">
        <v>248</v>
      </c>
      <c r="I85" s="3"/>
      <c r="J85" s="7">
        <f t="shared" si="13"/>
        <v>2.7016209943838969E-3</v>
      </c>
      <c r="K85" s="3"/>
      <c r="L85" s="8">
        <f t="shared" si="14"/>
        <v>486</v>
      </c>
      <c r="M85" s="3"/>
      <c r="N85" s="7">
        <f t="shared" si="15"/>
        <v>1.9596774193548387</v>
      </c>
      <c r="O85" s="12"/>
      <c r="P85" s="8">
        <v>6487.85</v>
      </c>
      <c r="Q85" s="3"/>
      <c r="R85" s="7">
        <f t="shared" si="16"/>
        <v>7.0495436135884816E-4</v>
      </c>
      <c r="S85" s="3"/>
      <c r="T85" s="8">
        <v>4527.32</v>
      </c>
      <c r="U85" s="3"/>
      <c r="V85" s="7">
        <f t="shared" si="17"/>
        <v>5.3188117986944184E-3</v>
      </c>
      <c r="W85" s="3"/>
      <c r="X85" s="8">
        <f t="shared" si="18"/>
        <v>1960.5300000000007</v>
      </c>
      <c r="Y85" s="3"/>
      <c r="Z85" s="7">
        <f t="shared" si="19"/>
        <v>0.43304427343328961</v>
      </c>
    </row>
    <row r="86" spans="1:26" s="68" customFormat="1" ht="15" customHeight="1" outlineLevel="1" collapsed="1" x14ac:dyDescent="0.3">
      <c r="A86" s="26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SUM(OSRRefD22_17x_0)</f>
        <v>2465.1</v>
      </c>
      <c r="E86" s="2"/>
      <c r="F86" s="6">
        <f t="shared" si="12"/>
        <v>1.778481567774754E-3</v>
      </c>
      <c r="G86" s="2"/>
      <c r="H86" s="2">
        <f>SUM(OSRRefH22_17x_0)</f>
        <v>51.23</v>
      </c>
      <c r="I86" s="2"/>
      <c r="J86" s="6">
        <f t="shared" si="13"/>
        <v>5.580808207350283E-4</v>
      </c>
      <c r="K86" s="2"/>
      <c r="L86" s="2">
        <f t="shared" si="14"/>
        <v>2413.87</v>
      </c>
      <c r="M86" s="2"/>
      <c r="N86" s="6">
        <f t="shared" si="15"/>
        <v>47.118290064415383</v>
      </c>
      <c r="O86" s="14"/>
      <c r="P86" s="2">
        <f>SUM(OSRRefP22_17x_0)</f>
        <v>7858.97</v>
      </c>
      <c r="Q86" s="2"/>
      <c r="R86" s="6">
        <f t="shared" si="16"/>
        <v>8.5393700182469483E-4</v>
      </c>
      <c r="S86" s="2"/>
      <c r="T86" s="2">
        <f>SUM(OSRRefT22_17x_0)</f>
        <v>786.23</v>
      </c>
      <c r="U86" s="2"/>
      <c r="V86" s="6">
        <f t="shared" si="17"/>
        <v>9.2368319458035065E-4</v>
      </c>
      <c r="W86" s="2"/>
      <c r="X86" s="2">
        <f t="shared" si="18"/>
        <v>7072.74</v>
      </c>
      <c r="Y86" s="2"/>
      <c r="Z86" s="6">
        <f t="shared" si="19"/>
        <v>8.9957645981455805</v>
      </c>
    </row>
    <row r="87" spans="1:26" s="69" customFormat="1" ht="15" hidden="1" customHeight="1" outlineLevel="2" x14ac:dyDescent="0.3">
      <c r="A87" s="25"/>
      <c r="B87" s="12" t="str">
        <f>CONCATENATE("          ","6376"," - ","TRAINING")</f>
        <v xml:space="preserve">          6376 - TRAINING</v>
      </c>
      <c r="C87" s="12"/>
      <c r="D87" s="8">
        <v>2465.1</v>
      </c>
      <c r="E87" s="3"/>
      <c r="F87" s="7">
        <f t="shared" si="12"/>
        <v>1.778481567774754E-3</v>
      </c>
      <c r="G87" s="3"/>
      <c r="H87" s="8">
        <v>51.23</v>
      </c>
      <c r="I87" s="3"/>
      <c r="J87" s="7">
        <f t="shared" si="13"/>
        <v>5.580808207350283E-4</v>
      </c>
      <c r="K87" s="3"/>
      <c r="L87" s="8">
        <f t="shared" si="14"/>
        <v>2413.87</v>
      </c>
      <c r="M87" s="3"/>
      <c r="N87" s="7">
        <f t="shared" si="15"/>
        <v>47.118290064415383</v>
      </c>
      <c r="O87" s="12"/>
      <c r="P87" s="8">
        <v>7858.97</v>
      </c>
      <c r="Q87" s="3"/>
      <c r="R87" s="7">
        <f t="shared" si="16"/>
        <v>8.5393700182469483E-4</v>
      </c>
      <c r="S87" s="3"/>
      <c r="T87" s="8">
        <v>786.23</v>
      </c>
      <c r="U87" s="3"/>
      <c r="V87" s="7">
        <f t="shared" si="17"/>
        <v>9.2368319458035065E-4</v>
      </c>
      <c r="W87" s="3"/>
      <c r="X87" s="8">
        <f t="shared" si="18"/>
        <v>7072.74</v>
      </c>
      <c r="Y87" s="3"/>
      <c r="Z87" s="7">
        <f t="shared" si="19"/>
        <v>8.9957645981455805</v>
      </c>
    </row>
    <row r="88" spans="1:26" s="68" customFormat="1" ht="15" customHeight="1" outlineLevel="1" collapsed="1" x14ac:dyDescent="0.3">
      <c r="A88" s="26"/>
      <c r="B88" s="14" t="str">
        <f>CONCATENATE("     ","Travel                                            ")</f>
        <v xml:space="preserve">     Travel                                            </v>
      </c>
      <c r="C88" s="14"/>
      <c r="D88" s="2">
        <f>SUM(OSRRefD22_18x_0)</f>
        <v>135.02000000000001</v>
      </c>
      <c r="E88" s="2"/>
      <c r="F88" s="6">
        <f t="shared" si="12"/>
        <v>9.741210550523196E-5</v>
      </c>
      <c r="G88" s="2"/>
      <c r="H88" s="2">
        <f>SUM(OSRRefH22_18x_0)</f>
        <v>0</v>
      </c>
      <c r="I88" s="2"/>
      <c r="J88" s="6">
        <f t="shared" si="13"/>
        <v>0</v>
      </c>
      <c r="K88" s="2"/>
      <c r="L88" s="2">
        <f t="shared" si="14"/>
        <v>135.02000000000001</v>
      </c>
      <c r="M88" s="2"/>
      <c r="N88" s="6">
        <f t="shared" si="15"/>
        <v>0</v>
      </c>
      <c r="O88" s="14"/>
      <c r="P88" s="2">
        <f>SUM(OSRRefP22_18x_0)</f>
        <v>834.04</v>
      </c>
      <c r="Q88" s="2"/>
      <c r="R88" s="6">
        <f t="shared" si="16"/>
        <v>9.0624804141238412E-5</v>
      </c>
      <c r="S88" s="2"/>
      <c r="T88" s="2">
        <f>SUM(OSRRefT22_18x_0)</f>
        <v>0</v>
      </c>
      <c r="U88" s="2"/>
      <c r="V88" s="6">
        <f t="shared" si="17"/>
        <v>0</v>
      </c>
      <c r="W88" s="2"/>
      <c r="X88" s="2">
        <f t="shared" si="18"/>
        <v>834.04</v>
      </c>
      <c r="Y88" s="2"/>
      <c r="Z88" s="6">
        <f t="shared" si="19"/>
        <v>0</v>
      </c>
    </row>
    <row r="89" spans="1:26" s="69" customFormat="1" ht="15" hidden="1" customHeight="1" outlineLevel="2" x14ac:dyDescent="0.3">
      <c r="A89" s="25"/>
      <c r="B89" s="12" t="str">
        <f>CONCATENATE("          ","6292"," - ","TRAVEL/CONFERENCE")</f>
        <v xml:space="preserve">          6292 - TRAVEL/CONFERENCE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595</v>
      </c>
      <c r="Q89" s="3"/>
      <c r="R89" s="7">
        <f t="shared" si="16"/>
        <v>6.4651285866429501E-5</v>
      </c>
      <c r="S89" s="3"/>
      <c r="T89" s="8"/>
      <c r="U89" s="3"/>
      <c r="V89" s="7">
        <f t="shared" si="17"/>
        <v>0</v>
      </c>
      <c r="W89" s="3"/>
      <c r="X89" s="8">
        <f t="shared" si="18"/>
        <v>595</v>
      </c>
      <c r="Y89" s="3"/>
      <c r="Z89" s="7">
        <f t="shared" si="19"/>
        <v>0</v>
      </c>
    </row>
    <row r="90" spans="1:26" s="69" customFormat="1" ht="15" hidden="1" customHeight="1" outlineLevel="2" x14ac:dyDescent="0.3">
      <c r="A90" s="25"/>
      <c r="B90" s="12" t="str">
        <f>CONCATENATE("          ","6298"," - ","VEHICLE MILEAGE")</f>
        <v xml:space="preserve">          6298 - VEHICLE MILEAGE</v>
      </c>
      <c r="C90" s="12"/>
      <c r="D90" s="8">
        <v>135.02000000000001</v>
      </c>
      <c r="E90" s="3"/>
      <c r="F90" s="7">
        <f t="shared" si="12"/>
        <v>9.741210550523196E-5</v>
      </c>
      <c r="G90" s="3"/>
      <c r="H90" s="8"/>
      <c r="I90" s="3"/>
      <c r="J90" s="7">
        <f t="shared" si="13"/>
        <v>0</v>
      </c>
      <c r="K90" s="3"/>
      <c r="L90" s="8">
        <f t="shared" si="14"/>
        <v>135.02000000000001</v>
      </c>
      <c r="M90" s="3"/>
      <c r="N90" s="7">
        <f t="shared" si="15"/>
        <v>0</v>
      </c>
      <c r="O90" s="12"/>
      <c r="P90" s="8">
        <v>239.04</v>
      </c>
      <c r="Q90" s="3"/>
      <c r="R90" s="7">
        <f t="shared" si="16"/>
        <v>2.597351827480892E-5</v>
      </c>
      <c r="S90" s="3"/>
      <c r="T90" s="8"/>
      <c r="U90" s="3"/>
      <c r="V90" s="7">
        <f t="shared" si="17"/>
        <v>0</v>
      </c>
      <c r="W90" s="3"/>
      <c r="X90" s="8">
        <f t="shared" si="18"/>
        <v>239.04</v>
      </c>
      <c r="Y90" s="3"/>
      <c r="Z90" s="7">
        <f t="shared" si="19"/>
        <v>0</v>
      </c>
    </row>
    <row r="91" spans="1:26" s="64" customFormat="1" ht="15" customHeight="1" x14ac:dyDescent="0.3">
      <c r="A91" s="36"/>
      <c r="B91" s="36"/>
      <c r="C91" s="36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O91" s="3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62" customFormat="1" ht="15" customHeight="1" x14ac:dyDescent="0.3">
      <c r="A92" s="11"/>
      <c r="B92" s="28" t="s">
        <v>290</v>
      </c>
      <c r="C92" s="11"/>
      <c r="D92" s="5">
        <f>SUM(0)</f>
        <v>0</v>
      </c>
      <c r="E92" s="5"/>
      <c r="F92" s="13">
        <f>IF(D$12=0,0,D92/D$12)</f>
        <v>0</v>
      </c>
      <c r="G92" s="5"/>
      <c r="H92" s="5">
        <f>SUM(0)</f>
        <v>0</v>
      </c>
      <c r="I92" s="5"/>
      <c r="J92" s="13">
        <f>IF(H$12=0,0,H92/H$12)</f>
        <v>0</v>
      </c>
      <c r="K92" s="5"/>
      <c r="L92" s="5">
        <f>+D92-H92</f>
        <v>0</v>
      </c>
      <c r="M92" s="5"/>
      <c r="N92" s="13">
        <f>IF(H92=0,0,L92/H92)</f>
        <v>0</v>
      </c>
      <c r="O92" s="11"/>
      <c r="P92" s="5">
        <f>SUM(0)</f>
        <v>0</v>
      </c>
      <c r="Q92" s="5"/>
      <c r="R92" s="13">
        <f>IF(P$12=0,0,P92/P$12)</f>
        <v>0</v>
      </c>
      <c r="S92" s="5"/>
      <c r="T92" s="5">
        <f>SUM(0)</f>
        <v>0</v>
      </c>
      <c r="U92" s="5"/>
      <c r="V92" s="13">
        <f>IF(T$12=0,0,T92/T$12)</f>
        <v>0</v>
      </c>
      <c r="W92" s="5"/>
      <c r="X92" s="5">
        <f>+P92-T92</f>
        <v>0</v>
      </c>
      <c r="Y92" s="5"/>
      <c r="Z92" s="13">
        <f>IF(T92=0,0,X92/T92)</f>
        <v>0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11"/>
      <c r="B94" s="27" t="s">
        <v>291</v>
      </c>
      <c r="C94" s="27"/>
      <c r="D94" s="22">
        <f>+D23-D25+D92</f>
        <v>505510.22999999963</v>
      </c>
      <c r="E94" s="15"/>
      <c r="F94" s="21">
        <f>IF(D$12=0,0,D94/D$12)</f>
        <v>0.36470756820274058</v>
      </c>
      <c r="G94" s="15"/>
      <c r="H94" s="22">
        <f>+H23-H25+H92</f>
        <v>-175959.91999999995</v>
      </c>
      <c r="I94" s="15"/>
      <c r="J94" s="21">
        <f>IF(H$12=0,0,H94/H$12)</f>
        <v>-1.9168427985568983</v>
      </c>
      <c r="K94" s="17"/>
      <c r="L94" s="22">
        <f>+D94-H94</f>
        <v>681470.14999999956</v>
      </c>
      <c r="M94" s="17"/>
      <c r="N94" s="21">
        <f>IF(H94=0,0,L94/H94)</f>
        <v>-3.872871447088631</v>
      </c>
      <c r="O94" s="28"/>
      <c r="P94" s="22">
        <f>+P23-P25+P92</f>
        <v>2823398.9900000026</v>
      </c>
      <c r="Q94" s="15"/>
      <c r="R94" s="21">
        <f>IF(P$12=0,0,P94/P$12)</f>
        <v>0.30678382389492181</v>
      </c>
      <c r="S94" s="15"/>
      <c r="T94" s="22">
        <f>+T23-T25+T92</f>
        <v>-1539158.9600000004</v>
      </c>
      <c r="U94" s="15"/>
      <c r="V94" s="21">
        <f>IF(T$12=0,0,T94/T$12)</f>
        <v>-1.8082434721897795</v>
      </c>
      <c r="W94" s="17"/>
      <c r="X94" s="22">
        <f>+P94-T94</f>
        <v>4362557.950000003</v>
      </c>
      <c r="Y94" s="17"/>
      <c r="Z94" s="21">
        <f>IF(T94=0,0,X94/T94)</f>
        <v>-2.8343777760290605</v>
      </c>
    </row>
    <row r="95" spans="1:26" ht="15" customHeight="1" x14ac:dyDescent="0.3">
      <c r="A95" s="10"/>
      <c r="B95" s="11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2" customFormat="1" ht="15" customHeight="1" x14ac:dyDescent="0.3">
      <c r="A96" s="48"/>
      <c r="B96" s="11" t="s">
        <v>292</v>
      </c>
      <c r="C96" s="11"/>
      <c r="D96" s="5">
        <v>122623.97</v>
      </c>
      <c r="E96" s="5"/>
      <c r="F96" s="13">
        <f>IF(D$12=0,0,D96/D$12)</f>
        <v>8.8468812791515319E-2</v>
      </c>
      <c r="G96" s="5"/>
      <c r="H96" s="5">
        <v>25036</v>
      </c>
      <c r="I96" s="5"/>
      <c r="J96" s="13">
        <f>IF(H$12=0,0,H96/H$12)</f>
        <v>0.27273299683627111</v>
      </c>
      <c r="K96" s="5"/>
      <c r="L96" s="5">
        <f>+D96-H96</f>
        <v>97587.97</v>
      </c>
      <c r="M96" s="5"/>
      <c r="N96" s="13">
        <f>IF(H96=0,0,L96/H96)</f>
        <v>3.8979058156254993</v>
      </c>
      <c r="O96" s="11"/>
      <c r="P96" s="5">
        <v>1098381.73</v>
      </c>
      <c r="Q96" s="5"/>
      <c r="R96" s="13">
        <f>IF(P$12=0,0,P96/P$12)</f>
        <v>0.11934754826335021</v>
      </c>
      <c r="S96" s="5"/>
      <c r="T96" s="5">
        <v>175423.06</v>
      </c>
      <c r="U96" s="5"/>
      <c r="V96" s="13">
        <f>IF(T$12=0,0,T96/T$12)</f>
        <v>0.2060915157954549</v>
      </c>
      <c r="W96" s="5"/>
      <c r="X96" s="5">
        <f>+P96-T96</f>
        <v>922958.66999999993</v>
      </c>
      <c r="Y96" s="5"/>
      <c r="Z96" s="13">
        <f>IF(T96=0,0,X96/T96)</f>
        <v>5.261330351893303</v>
      </c>
    </row>
    <row r="97" spans="1:26" ht="15" customHeight="1" x14ac:dyDescent="0.3">
      <c r="A97" s="10"/>
      <c r="B97" s="11"/>
      <c r="C97" s="11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O97" s="11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2" customFormat="1" ht="15" customHeight="1" x14ac:dyDescent="0.3">
      <c r="A98" s="11"/>
      <c r="B98" s="27" t="s">
        <v>293</v>
      </c>
      <c r="C98" s="27"/>
      <c r="D98" s="34">
        <f>+D94-D96</f>
        <v>382886.25999999966</v>
      </c>
      <c r="E98" s="15"/>
      <c r="F98" s="33">
        <f>IF(D$12=0,0,D98/D$12)</f>
        <v>0.27623875541122528</v>
      </c>
      <c r="G98" s="15"/>
      <c r="H98" s="34">
        <f>+H94-H96</f>
        <v>-200995.91999999995</v>
      </c>
      <c r="I98" s="15"/>
      <c r="J98" s="33">
        <f>IF(H$12=0,0,H98/H$12)</f>
        <v>-2.1895757953931696</v>
      </c>
      <c r="K98" s="17"/>
      <c r="L98" s="34">
        <f>D98-H98</f>
        <v>583882.17999999959</v>
      </c>
      <c r="M98" s="17"/>
      <c r="N98" s="33">
        <f>IF(H98=0,0,L98/H98)</f>
        <v>-2.9049454337182552</v>
      </c>
      <c r="O98" s="28"/>
      <c r="P98" s="34">
        <f>+P94-P96</f>
        <v>1725017.2600000026</v>
      </c>
      <c r="Q98" s="15"/>
      <c r="R98" s="33">
        <f>IF(P$12=0,0,P98/P$12)</f>
        <v>0.18743627563157161</v>
      </c>
      <c r="S98" s="15"/>
      <c r="T98" s="34">
        <f>+T94-T96</f>
        <v>-1714582.0200000005</v>
      </c>
      <c r="U98" s="15"/>
      <c r="V98" s="33">
        <f>IF(T$12=0,0,T98/T$12)</f>
        <v>-2.0143349879852348</v>
      </c>
      <c r="W98" s="17"/>
      <c r="X98" s="34">
        <f>P98-T98</f>
        <v>3439599.2800000031</v>
      </c>
      <c r="Y98" s="17"/>
      <c r="Z98" s="33">
        <f>IF(T98=0,0,X98/T98)</f>
        <v>-2.0060861713690441</v>
      </c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2" customFormat="1" ht="15" customHeight="1" x14ac:dyDescent="0.3">
      <c r="A101" s="11"/>
      <c r="B101" s="27" t="s">
        <v>296</v>
      </c>
      <c r="C101" s="27"/>
      <c r="D101" s="31">
        <f>SUM(D98:D100)</f>
        <v>382886.25999999966</v>
      </c>
      <c r="E101" s="15"/>
      <c r="F101" s="32">
        <f>IF(D$12=0,0,D101/D$12)</f>
        <v>0.27623875541122528</v>
      </c>
      <c r="G101" s="15"/>
      <c r="H101" s="31">
        <f>SUM(H98:H100)</f>
        <v>-200995.91999999995</v>
      </c>
      <c r="I101" s="15"/>
      <c r="J101" s="32">
        <f>IF(H$12=0,0,H101/H$12)</f>
        <v>-2.1895757953931696</v>
      </c>
      <c r="K101" s="17"/>
      <c r="L101" s="31">
        <f>+D101-H101</f>
        <v>583882.17999999959</v>
      </c>
      <c r="M101" s="17"/>
      <c r="N101" s="32">
        <f>IF(H101=0,0,L101/H101)</f>
        <v>-2.9049454337182552</v>
      </c>
      <c r="O101" s="28"/>
      <c r="P101" s="31">
        <f>SUM(P98:P100)</f>
        <v>1725017.2600000026</v>
      </c>
      <c r="Q101" s="15"/>
      <c r="R101" s="32">
        <f>IF(P$12=0,0,P101/P$12)</f>
        <v>0.18743627563157161</v>
      </c>
      <c r="S101" s="15"/>
      <c r="T101" s="31">
        <f>SUM(T98:T100)</f>
        <v>-1714582.0200000005</v>
      </c>
      <c r="U101" s="15"/>
      <c r="V101" s="32">
        <f>IF(T$12=0,0,T101/T$12)</f>
        <v>-2.0143349879852348</v>
      </c>
      <c r="W101" s="17"/>
      <c r="X101" s="31">
        <f>+P101-T101</f>
        <v>3439599.2800000031</v>
      </c>
      <c r="Y101" s="17"/>
      <c r="Z101" s="32">
        <f>IF(T101=0,0,X101/T101)</f>
        <v>-2.0060861713690441</v>
      </c>
    </row>
    <row r="102" spans="1:26" ht="15" customHeight="1" x14ac:dyDescent="0.3">
      <c r="A102" s="10"/>
      <c r="C102" s="10"/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6">
        <v>44663.038536770837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7" t="s">
        <v>297</v>
      </c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A105" s="10"/>
      <c r="B105" s="58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16C5B-1354-B4CB-0BD6-EFEC5F3E602F}">
  <sheetPr>
    <tabColor rgb="FF92D050"/>
    <outlinePr summaryBelow="0" summaryRight="0"/>
  </sheetPr>
  <dimension ref="A2:Z6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","430"," - ","Res Hall Management")</f>
        <v>Department 430 - Res Hall Management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288</v>
      </c>
      <c r="C16" s="27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7"/>
      <c r="L16" s="22">
        <f>+D16-H16</f>
        <v>0</v>
      </c>
      <c r="M16" s="17"/>
      <c r="N16" s="21">
        <f>IF(H16=0,0,L16/H16)</f>
        <v>0</v>
      </c>
      <c r="O16" s="28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7"/>
      <c r="X16" s="22">
        <f>+P16-T16</f>
        <v>0</v>
      </c>
      <c r="Y16" s="17"/>
      <c r="Z16" s="21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8" t="s">
        <v>289</v>
      </c>
      <c r="C18" s="11"/>
      <c r="D18" s="23" cm="1">
        <f t="array" ref="D18">SUM(OSRRefD22x_0)</f>
        <v>20910.62</v>
      </c>
      <c r="E18" s="23"/>
      <c r="F18" s="35">
        <f t="shared" ref="F18:F44" si="0">IF(D$12=0,0,D18/D$12)</f>
        <v>0</v>
      </c>
      <c r="G18" s="23"/>
      <c r="H18" s="23" cm="1">
        <f t="array" ref="H18">SUM(OSRRefH22x_0)</f>
        <v>17485.55</v>
      </c>
      <c r="I18" s="23"/>
      <c r="J18" s="35">
        <f t="shared" ref="J18:J44" si="1">IF(H$12=0,0,H18/H$12)</f>
        <v>0</v>
      </c>
      <c r="K18" s="5"/>
      <c r="L18" s="23">
        <f t="shared" ref="L18:L44" si="2">+D18-H18</f>
        <v>3425.0699999999997</v>
      </c>
      <c r="M18" s="5"/>
      <c r="N18" s="35">
        <f t="shared" ref="N18:N44" si="3">IF(H18=0,0,L18/H18)</f>
        <v>0.19588002665057719</v>
      </c>
      <c r="O18" s="11"/>
      <c r="P18" s="23" cm="1">
        <f t="array" ref="P18">SUM(OSRRefP22x_0)</f>
        <v>181676.61</v>
      </c>
      <c r="Q18" s="23"/>
      <c r="R18" s="35">
        <f t="shared" ref="R18:R44" si="4">IF(P$12=0,0,P18/P$12)</f>
        <v>0</v>
      </c>
      <c r="S18" s="23"/>
      <c r="T18" s="23" cm="1">
        <f t="array" ref="T18">SUM(OSRRefT22x_0)</f>
        <v>153277.29</v>
      </c>
      <c r="U18" s="23"/>
      <c r="V18" s="35">
        <f t="shared" ref="V18:V44" si="5">IF(T$12=0,0,T18/T$12)</f>
        <v>0</v>
      </c>
      <c r="W18" s="5"/>
      <c r="X18" s="23">
        <f t="shared" ref="X18:X44" si="6">+P18-T18</f>
        <v>28399.319999999978</v>
      </c>
      <c r="Y18" s="5"/>
      <c r="Z18" s="35">
        <f t="shared" ref="Z18:Z44" si="7">IF(T18=0,0,X18/T18)</f>
        <v>0.18528067660903957</v>
      </c>
    </row>
    <row r="19" spans="1:26" s="68" customFormat="1" ht="15" customHeight="1" outlineLevel="1" collapsed="1" x14ac:dyDescent="0.3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5552.5999999999995</v>
      </c>
      <c r="E19" s="2"/>
      <c r="F19" s="6">
        <f t="shared" si="0"/>
        <v>0</v>
      </c>
      <c r="G19" s="2"/>
      <c r="H19" s="2">
        <f>SUM(OSRRefH22_0x_0)</f>
        <v>4899.78</v>
      </c>
      <c r="I19" s="2"/>
      <c r="J19" s="6">
        <f t="shared" si="1"/>
        <v>0</v>
      </c>
      <c r="K19" s="2"/>
      <c r="L19" s="2">
        <f t="shared" si="2"/>
        <v>652.81999999999971</v>
      </c>
      <c r="M19" s="2"/>
      <c r="N19" s="6">
        <f t="shared" si="3"/>
        <v>0.13323455338811124</v>
      </c>
      <c r="O19" s="14"/>
      <c r="P19" s="2">
        <f>SUM(OSRRefP22_0x_0)</f>
        <v>54197.75</v>
      </c>
      <c r="Q19" s="2"/>
      <c r="R19" s="6">
        <f t="shared" si="4"/>
        <v>0</v>
      </c>
      <c r="S19" s="2"/>
      <c r="T19" s="2">
        <f>SUM(OSRRefT22_0x_0)</f>
        <v>51680.310000000005</v>
      </c>
      <c r="U19" s="2"/>
      <c r="V19" s="6">
        <f t="shared" si="5"/>
        <v>0</v>
      </c>
      <c r="W19" s="2"/>
      <c r="X19" s="2">
        <f t="shared" si="6"/>
        <v>2517.4399999999951</v>
      </c>
      <c r="Y19" s="2"/>
      <c r="Z19" s="6">
        <f t="shared" si="7"/>
        <v>4.8711782108118058E-2</v>
      </c>
    </row>
    <row r="20" spans="1:26" s="69" customFormat="1" ht="15" hidden="1" customHeight="1" outlineLevel="2" x14ac:dyDescent="0.3">
      <c r="A20" s="25"/>
      <c r="B20" s="12" t="str">
        <f>CONCATENATE("          ","6111"," - ","F.I.C.A.")</f>
        <v xml:space="preserve">          6111 - F.I.C.A.</v>
      </c>
      <c r="C20" s="12"/>
      <c r="D20" s="8">
        <v>718.56</v>
      </c>
      <c r="E20" s="3"/>
      <c r="F20" s="7">
        <f t="shared" si="0"/>
        <v>0</v>
      </c>
      <c r="G20" s="3"/>
      <c r="H20" s="8">
        <v>691.15</v>
      </c>
      <c r="I20" s="3"/>
      <c r="J20" s="7">
        <f t="shared" si="1"/>
        <v>0</v>
      </c>
      <c r="K20" s="3"/>
      <c r="L20" s="8">
        <f t="shared" si="2"/>
        <v>27.409999999999968</v>
      </c>
      <c r="M20" s="3"/>
      <c r="N20" s="7">
        <f t="shared" si="3"/>
        <v>3.9658540114302206E-2</v>
      </c>
      <c r="O20" s="12"/>
      <c r="P20" s="8">
        <v>6712</v>
      </c>
      <c r="Q20" s="3"/>
      <c r="R20" s="7">
        <f t="shared" si="4"/>
        <v>0</v>
      </c>
      <c r="S20" s="3"/>
      <c r="T20" s="8">
        <v>6745.95</v>
      </c>
      <c r="U20" s="3"/>
      <c r="V20" s="7">
        <f t="shared" si="5"/>
        <v>0</v>
      </c>
      <c r="W20" s="3"/>
      <c r="X20" s="8">
        <f t="shared" si="6"/>
        <v>-33.949999999999818</v>
      </c>
      <c r="Y20" s="3"/>
      <c r="Z20" s="7">
        <f t="shared" si="7"/>
        <v>-5.0326492191610991E-3</v>
      </c>
    </row>
    <row r="21" spans="1:26" s="69" customFormat="1" ht="15" hidden="1" customHeight="1" outlineLevel="2" x14ac:dyDescent="0.3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338.15</v>
      </c>
      <c r="E21" s="3"/>
      <c r="F21" s="7">
        <f t="shared" si="0"/>
        <v>0</v>
      </c>
      <c r="G21" s="3"/>
      <c r="H21" s="8">
        <v>387.58</v>
      </c>
      <c r="I21" s="3"/>
      <c r="J21" s="7">
        <f t="shared" si="1"/>
        <v>0</v>
      </c>
      <c r="K21" s="3"/>
      <c r="L21" s="8">
        <f t="shared" si="2"/>
        <v>-49.430000000000007</v>
      </c>
      <c r="M21" s="3"/>
      <c r="N21" s="7">
        <f t="shared" si="3"/>
        <v>-0.12753496052427887</v>
      </c>
      <c r="O21" s="12"/>
      <c r="P21" s="8">
        <v>3150.29</v>
      </c>
      <c r="Q21" s="3"/>
      <c r="R21" s="7">
        <f t="shared" si="4"/>
        <v>0</v>
      </c>
      <c r="S21" s="3"/>
      <c r="T21" s="8">
        <v>3773.51</v>
      </c>
      <c r="U21" s="3"/>
      <c r="V21" s="7">
        <f t="shared" si="5"/>
        <v>0</v>
      </c>
      <c r="W21" s="3"/>
      <c r="X21" s="8">
        <f t="shared" si="6"/>
        <v>-623.22000000000025</v>
      </c>
      <c r="Y21" s="3"/>
      <c r="Z21" s="7">
        <f t="shared" si="7"/>
        <v>-0.16515657835808045</v>
      </c>
    </row>
    <row r="22" spans="1:26" s="69" customFormat="1" ht="15" hidden="1" customHeight="1" outlineLevel="2" x14ac:dyDescent="0.3">
      <c r="A22" s="25"/>
      <c r="B22" s="12" t="str">
        <f>CONCATENATE("          ","6113"," - ","GROUP INSURANCE")</f>
        <v xml:space="preserve">          6113 - GROUP INSURANCE</v>
      </c>
      <c r="C22" s="12"/>
      <c r="D22" s="8">
        <v>2467.5700000000002</v>
      </c>
      <c r="E22" s="3"/>
      <c r="F22" s="7">
        <f t="shared" si="0"/>
        <v>0</v>
      </c>
      <c r="G22" s="3"/>
      <c r="H22" s="8">
        <v>2691.73</v>
      </c>
      <c r="I22" s="3"/>
      <c r="J22" s="7">
        <f t="shared" si="1"/>
        <v>0</v>
      </c>
      <c r="K22" s="3"/>
      <c r="L22" s="8">
        <f t="shared" si="2"/>
        <v>-224.15999999999985</v>
      </c>
      <c r="M22" s="3"/>
      <c r="N22" s="7">
        <f t="shared" si="3"/>
        <v>-8.3277297500120681E-2</v>
      </c>
      <c r="O22" s="12"/>
      <c r="P22" s="8">
        <v>23541.84</v>
      </c>
      <c r="Q22" s="3"/>
      <c r="R22" s="7">
        <f t="shared" si="4"/>
        <v>0</v>
      </c>
      <c r="S22" s="3"/>
      <c r="T22" s="8">
        <v>24502.59</v>
      </c>
      <c r="U22" s="3"/>
      <c r="V22" s="7">
        <f t="shared" si="5"/>
        <v>0</v>
      </c>
      <c r="W22" s="3"/>
      <c r="X22" s="8">
        <f t="shared" si="6"/>
        <v>-960.75</v>
      </c>
      <c r="Y22" s="3"/>
      <c r="Z22" s="7">
        <f t="shared" si="7"/>
        <v>-3.921014064227496E-2</v>
      </c>
    </row>
    <row r="23" spans="1:26" s="69" customFormat="1" ht="15" hidden="1" customHeight="1" outlineLevel="2" x14ac:dyDescent="0.3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24.42</v>
      </c>
      <c r="E23" s="3"/>
      <c r="F23" s="7">
        <f t="shared" si="0"/>
        <v>0</v>
      </c>
      <c r="G23" s="3"/>
      <c r="H23" s="8">
        <v>23.49</v>
      </c>
      <c r="I23" s="3"/>
      <c r="J23" s="7">
        <f t="shared" si="1"/>
        <v>0</v>
      </c>
      <c r="K23" s="3"/>
      <c r="L23" s="8">
        <f t="shared" si="2"/>
        <v>0.93000000000000327</v>
      </c>
      <c r="M23" s="3"/>
      <c r="N23" s="7">
        <f t="shared" si="3"/>
        <v>3.9591315453384561E-2</v>
      </c>
      <c r="O23" s="12"/>
      <c r="P23" s="8">
        <v>227.51</v>
      </c>
      <c r="Q23" s="3"/>
      <c r="R23" s="7">
        <f t="shared" si="4"/>
        <v>0</v>
      </c>
      <c r="S23" s="3"/>
      <c r="T23" s="8">
        <v>228.68</v>
      </c>
      <c r="U23" s="3"/>
      <c r="V23" s="7">
        <f t="shared" si="5"/>
        <v>0</v>
      </c>
      <c r="W23" s="3"/>
      <c r="X23" s="8">
        <f t="shared" si="6"/>
        <v>-1.1700000000000159</v>
      </c>
      <c r="Y23" s="3"/>
      <c r="Z23" s="7">
        <f t="shared" si="7"/>
        <v>-5.1163197481197123E-3</v>
      </c>
    </row>
    <row r="24" spans="1:26" s="69" customFormat="1" ht="15" hidden="1" customHeight="1" outlineLevel="2" x14ac:dyDescent="0.3">
      <c r="A24" s="25"/>
      <c r="B24" s="12" t="str">
        <f>CONCATENATE("          ","6115"," - ","P.E.R.S.")</f>
        <v xml:space="preserve">          6115 - P.E.R.S.</v>
      </c>
      <c r="C24" s="12"/>
      <c r="D24" s="8">
        <v>707.23</v>
      </c>
      <c r="E24" s="3"/>
      <c r="F24" s="7">
        <f t="shared" si="0"/>
        <v>0</v>
      </c>
      <c r="G24" s="3"/>
      <c r="H24" s="8">
        <v>692.57</v>
      </c>
      <c r="I24" s="3"/>
      <c r="J24" s="7">
        <f t="shared" si="1"/>
        <v>0</v>
      </c>
      <c r="K24" s="3"/>
      <c r="L24" s="8">
        <f t="shared" si="2"/>
        <v>14.659999999999968</v>
      </c>
      <c r="M24" s="3"/>
      <c r="N24" s="7">
        <f t="shared" si="3"/>
        <v>2.1167535411582897E-2</v>
      </c>
      <c r="O24" s="12"/>
      <c r="P24" s="8">
        <v>6596.28</v>
      </c>
      <c r="Q24" s="3"/>
      <c r="R24" s="7">
        <f t="shared" si="4"/>
        <v>0</v>
      </c>
      <c r="S24" s="3"/>
      <c r="T24" s="8">
        <v>6925.71</v>
      </c>
      <c r="U24" s="3"/>
      <c r="V24" s="7">
        <f t="shared" si="5"/>
        <v>0</v>
      </c>
      <c r="W24" s="3"/>
      <c r="X24" s="8">
        <f t="shared" si="6"/>
        <v>-329.43000000000029</v>
      </c>
      <c r="Y24" s="3"/>
      <c r="Z24" s="7">
        <f t="shared" si="7"/>
        <v>-4.7566242305843054E-2</v>
      </c>
    </row>
    <row r="25" spans="1:26" s="69" customFormat="1" ht="15" hidden="1" customHeight="1" outlineLevel="2" x14ac:dyDescent="0.3">
      <c r="A25" s="25"/>
      <c r="B25" s="12" t="str">
        <f>CONCATENATE("          ","6118"," - ","VACATION")</f>
        <v xml:space="preserve">          6118 - VACATION</v>
      </c>
      <c r="C25" s="12"/>
      <c r="D25" s="8">
        <v>714.57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714.57</v>
      </c>
      <c r="M25" s="3"/>
      <c r="N25" s="7">
        <f t="shared" si="3"/>
        <v>0</v>
      </c>
      <c r="O25" s="12"/>
      <c r="P25" s="8">
        <v>8376.0499999999993</v>
      </c>
      <c r="Q25" s="3"/>
      <c r="R25" s="7">
        <f t="shared" si="4"/>
        <v>0</v>
      </c>
      <c r="S25" s="3"/>
      <c r="T25" s="8">
        <v>5409.9</v>
      </c>
      <c r="U25" s="3"/>
      <c r="V25" s="7">
        <f t="shared" si="5"/>
        <v>0</v>
      </c>
      <c r="W25" s="3"/>
      <c r="X25" s="8">
        <f t="shared" si="6"/>
        <v>2966.1499999999996</v>
      </c>
      <c r="Y25" s="3"/>
      <c r="Z25" s="7">
        <f t="shared" si="7"/>
        <v>0.54828185363869941</v>
      </c>
    </row>
    <row r="26" spans="1:26" s="69" customFormat="1" ht="15" hidden="1" customHeight="1" outlineLevel="2" x14ac:dyDescent="0.3">
      <c r="A26" s="25"/>
      <c r="B26" s="12" t="str">
        <f>CONCATENATE("          ","6119"," - ","SICK LEAVE")</f>
        <v xml:space="preserve">          6119 - SICK LEAVE</v>
      </c>
      <c r="C26" s="12"/>
      <c r="D26" s="8">
        <v>429.78</v>
      </c>
      <c r="E26" s="3"/>
      <c r="F26" s="7">
        <f t="shared" si="0"/>
        <v>0</v>
      </c>
      <c r="G26" s="3"/>
      <c r="H26" s="8">
        <v>413.26</v>
      </c>
      <c r="I26" s="3"/>
      <c r="J26" s="7">
        <f t="shared" si="1"/>
        <v>0</v>
      </c>
      <c r="K26" s="3"/>
      <c r="L26" s="8">
        <f t="shared" si="2"/>
        <v>16.519999999999982</v>
      </c>
      <c r="M26" s="3"/>
      <c r="N26" s="7">
        <f t="shared" si="3"/>
        <v>3.9974834244785325E-2</v>
      </c>
      <c r="O26" s="12"/>
      <c r="P26" s="8">
        <v>4753.42</v>
      </c>
      <c r="Q26" s="3"/>
      <c r="R26" s="7">
        <f t="shared" si="4"/>
        <v>0</v>
      </c>
      <c r="S26" s="3"/>
      <c r="T26" s="8">
        <v>3925.97</v>
      </c>
      <c r="U26" s="3"/>
      <c r="V26" s="7">
        <f t="shared" si="5"/>
        <v>0</v>
      </c>
      <c r="W26" s="3"/>
      <c r="X26" s="8">
        <f t="shared" si="6"/>
        <v>827.45000000000027</v>
      </c>
      <c r="Y26" s="3"/>
      <c r="Z26" s="7">
        <f t="shared" si="7"/>
        <v>0.21076319992256698</v>
      </c>
    </row>
    <row r="27" spans="1:26" s="69" customFormat="1" ht="15" hidden="1" customHeight="1" outlineLevel="2" x14ac:dyDescent="0.3">
      <c r="A27" s="25"/>
      <c r="B27" s="12" t="str">
        <f>CONCATENATE("          ","6156"," - ","EMPLOYEE MEALS")</f>
        <v xml:space="preserve">          6156 - EMPLOYEE MEALS</v>
      </c>
      <c r="C27" s="12"/>
      <c r="D27" s="8">
        <v>152.32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152.32</v>
      </c>
      <c r="M27" s="3"/>
      <c r="N27" s="7">
        <f t="shared" si="3"/>
        <v>0</v>
      </c>
      <c r="O27" s="12"/>
      <c r="P27" s="8">
        <v>840.36</v>
      </c>
      <c r="Q27" s="3"/>
      <c r="R27" s="7">
        <f t="shared" si="4"/>
        <v>0</v>
      </c>
      <c r="S27" s="3"/>
      <c r="T27" s="8">
        <v>168</v>
      </c>
      <c r="U27" s="3"/>
      <c r="V27" s="7">
        <f t="shared" si="5"/>
        <v>0</v>
      </c>
      <c r="W27" s="3"/>
      <c r="X27" s="8">
        <f t="shared" si="6"/>
        <v>672.36</v>
      </c>
      <c r="Y27" s="3"/>
      <c r="Z27" s="7">
        <f t="shared" si="7"/>
        <v>4.0021428571428572</v>
      </c>
    </row>
    <row r="28" spans="1:26" s="68" customFormat="1" ht="15" customHeight="1" outlineLevel="1" collapsed="1" x14ac:dyDescent="0.3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9317.92</v>
      </c>
      <c r="E28" s="2"/>
      <c r="F28" s="6">
        <f t="shared" si="0"/>
        <v>0</v>
      </c>
      <c r="G28" s="2"/>
      <c r="H28" s="2">
        <f>SUM(OSRRefH22_1x_0)</f>
        <v>9034.5400000000009</v>
      </c>
      <c r="I28" s="2"/>
      <c r="J28" s="6">
        <f t="shared" si="1"/>
        <v>0</v>
      </c>
      <c r="K28" s="2"/>
      <c r="L28" s="2">
        <f t="shared" si="2"/>
        <v>283.3799999999992</v>
      </c>
      <c r="M28" s="2"/>
      <c r="N28" s="6">
        <f t="shared" si="3"/>
        <v>3.1366289816636951E-2</v>
      </c>
      <c r="O28" s="14"/>
      <c r="P28" s="2">
        <f>SUM(OSRRefP22_1x_0)</f>
        <v>84165.37</v>
      </c>
      <c r="Q28" s="2"/>
      <c r="R28" s="6">
        <f t="shared" si="4"/>
        <v>0</v>
      </c>
      <c r="S28" s="2"/>
      <c r="T28" s="2">
        <f>SUM(OSRRefT22_1x_0)</f>
        <v>82204.899999999994</v>
      </c>
      <c r="U28" s="2"/>
      <c r="V28" s="6">
        <f t="shared" si="5"/>
        <v>0</v>
      </c>
      <c r="W28" s="2"/>
      <c r="X28" s="2">
        <f t="shared" si="6"/>
        <v>1960.4700000000012</v>
      </c>
      <c r="Y28" s="2"/>
      <c r="Z28" s="6">
        <f t="shared" si="7"/>
        <v>2.3848578369415951E-2</v>
      </c>
    </row>
    <row r="29" spans="1:26" s="69" customFormat="1" ht="15" hidden="1" customHeight="1" outlineLevel="2" x14ac:dyDescent="0.3">
      <c r="A29" s="25"/>
      <c r="B29" s="12" t="str">
        <f>CONCATENATE("          ","6001"," - ","ADMINISTRATIVE SALARIES")</f>
        <v xml:space="preserve">          6001 - ADMINISTRATIVE SALARIES</v>
      </c>
      <c r="C29" s="12"/>
      <c r="D29" s="8">
        <v>9317.92</v>
      </c>
      <c r="E29" s="3"/>
      <c r="F29" s="7">
        <f t="shared" si="0"/>
        <v>0</v>
      </c>
      <c r="G29" s="3"/>
      <c r="H29" s="8">
        <v>9034.5400000000009</v>
      </c>
      <c r="I29" s="3"/>
      <c r="J29" s="7">
        <f t="shared" si="1"/>
        <v>0</v>
      </c>
      <c r="K29" s="3"/>
      <c r="L29" s="8">
        <f t="shared" si="2"/>
        <v>283.3799999999992</v>
      </c>
      <c r="M29" s="3"/>
      <c r="N29" s="7">
        <f t="shared" si="3"/>
        <v>3.1366289816636951E-2</v>
      </c>
      <c r="O29" s="12"/>
      <c r="P29" s="8">
        <v>84165.37</v>
      </c>
      <c r="Q29" s="3"/>
      <c r="R29" s="7">
        <f t="shared" si="4"/>
        <v>0</v>
      </c>
      <c r="S29" s="3"/>
      <c r="T29" s="8">
        <v>82204.899999999994</v>
      </c>
      <c r="U29" s="3"/>
      <c r="V29" s="7">
        <f t="shared" si="5"/>
        <v>0</v>
      </c>
      <c r="W29" s="3"/>
      <c r="X29" s="8">
        <f t="shared" si="6"/>
        <v>1960.4700000000012</v>
      </c>
      <c r="Y29" s="3"/>
      <c r="Z29" s="7">
        <f t="shared" si="7"/>
        <v>2.3848578369415951E-2</v>
      </c>
    </row>
    <row r="30" spans="1:26" s="68" customFormat="1" ht="15" customHeight="1" outlineLevel="1" collapsed="1" x14ac:dyDescent="0.3">
      <c r="A30" s="26"/>
      <c r="B30" s="14" t="str">
        <f>CONCATENATE("     ","Advertising/Promo                                 ")</f>
        <v xml:space="preserve">     Advertising/Promo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45</v>
      </c>
      <c r="Q30" s="2"/>
      <c r="R30" s="6">
        <f t="shared" si="4"/>
        <v>0</v>
      </c>
      <c r="S30" s="2"/>
      <c r="T30" s="2">
        <f>SUM(OSRRefT22_2x_0)</f>
        <v>0</v>
      </c>
      <c r="U30" s="2"/>
      <c r="V30" s="6">
        <f t="shared" si="5"/>
        <v>0</v>
      </c>
      <c r="W30" s="2"/>
      <c r="X30" s="2">
        <f t="shared" si="6"/>
        <v>45</v>
      </c>
      <c r="Y30" s="2"/>
      <c r="Z30" s="6">
        <f t="shared" si="7"/>
        <v>0</v>
      </c>
    </row>
    <row r="31" spans="1:26" s="69" customFormat="1" ht="15" hidden="1" customHeight="1" outlineLevel="2" x14ac:dyDescent="0.3">
      <c r="A31" s="25"/>
      <c r="B31" s="12" t="str">
        <f>CONCATENATE("          ","6362"," - ","ADVERTISING EXPENSE")</f>
        <v xml:space="preserve">          6362 - ADVERTISING EXPENSE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45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45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6"/>
      <c r="B32" s="14" t="str">
        <f>CONCATENATE("     ","General                                           ")</f>
        <v xml:space="preserve">     General                                           </v>
      </c>
      <c r="C32" s="14"/>
      <c r="D32" s="2">
        <f>SUM(OSRRefD22_3x_0)</f>
        <v>0</v>
      </c>
      <c r="E32" s="2"/>
      <c r="F32" s="6">
        <f t="shared" si="0"/>
        <v>0</v>
      </c>
      <c r="G32" s="2"/>
      <c r="H32" s="2">
        <f>SUM(OSRRefH22_3x_0)</f>
        <v>0</v>
      </c>
      <c r="I32" s="2"/>
      <c r="J32" s="6">
        <f t="shared" si="1"/>
        <v>0</v>
      </c>
      <c r="K32" s="2"/>
      <c r="L32" s="2">
        <f t="shared" si="2"/>
        <v>0</v>
      </c>
      <c r="M32" s="2"/>
      <c r="N32" s="6">
        <f t="shared" si="3"/>
        <v>0</v>
      </c>
      <c r="O32" s="14"/>
      <c r="P32" s="2">
        <f>SUM(OSRRefP22_3x_0)</f>
        <v>530</v>
      </c>
      <c r="Q32" s="2"/>
      <c r="R32" s="6">
        <f t="shared" si="4"/>
        <v>0</v>
      </c>
      <c r="S32" s="2"/>
      <c r="T32" s="2">
        <f>SUM(OSRRefT22_3x_0)</f>
        <v>1.65</v>
      </c>
      <c r="U32" s="2"/>
      <c r="V32" s="6">
        <f t="shared" si="5"/>
        <v>0</v>
      </c>
      <c r="W32" s="2"/>
      <c r="X32" s="2">
        <f t="shared" si="6"/>
        <v>528.35</v>
      </c>
      <c r="Y32" s="2"/>
      <c r="Z32" s="6">
        <f t="shared" si="7"/>
        <v>320.21212121212125</v>
      </c>
    </row>
    <row r="33" spans="1:26" s="69" customFormat="1" ht="15" hidden="1" customHeight="1" outlineLevel="2" x14ac:dyDescent="0.3">
      <c r="A33" s="25"/>
      <c r="B33" s="12" t="str">
        <f>CONCATENATE("          ","6279"," - ","GENERAL EXPENSE")</f>
        <v xml:space="preserve">          6279 - GENERAL EXPENSE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530</v>
      </c>
      <c r="Q33" s="3"/>
      <c r="R33" s="7">
        <f t="shared" si="4"/>
        <v>0</v>
      </c>
      <c r="S33" s="3"/>
      <c r="T33" s="8">
        <v>1.65</v>
      </c>
      <c r="U33" s="3"/>
      <c r="V33" s="7">
        <f t="shared" si="5"/>
        <v>0</v>
      </c>
      <c r="W33" s="3"/>
      <c r="X33" s="8">
        <f t="shared" si="6"/>
        <v>528.35</v>
      </c>
      <c r="Y33" s="3"/>
      <c r="Z33" s="7">
        <f t="shared" si="7"/>
        <v>320.21212121212125</v>
      </c>
    </row>
    <row r="34" spans="1:26" s="68" customFormat="1" ht="15" customHeight="1" outlineLevel="1" collapsed="1" x14ac:dyDescent="0.3">
      <c r="A34" s="26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3500</v>
      </c>
      <c r="E34" s="2"/>
      <c r="F34" s="6">
        <f t="shared" si="0"/>
        <v>0</v>
      </c>
      <c r="G34" s="2"/>
      <c r="H34" s="2">
        <f>SUM(OSRRefH22_4x_0)</f>
        <v>3500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SUM(OSRRefP22_4x_0)</f>
        <v>31500</v>
      </c>
      <c r="Q34" s="2"/>
      <c r="R34" s="6">
        <f t="shared" si="4"/>
        <v>0</v>
      </c>
      <c r="S34" s="2"/>
      <c r="T34" s="2">
        <f>SUM(OSRRefT22_4x_0)</f>
        <v>14000</v>
      </c>
      <c r="U34" s="2"/>
      <c r="V34" s="6">
        <f t="shared" si="5"/>
        <v>0</v>
      </c>
      <c r="W34" s="2"/>
      <c r="X34" s="2">
        <f t="shared" si="6"/>
        <v>17500</v>
      </c>
      <c r="Y34" s="2"/>
      <c r="Z34" s="6">
        <f t="shared" si="7"/>
        <v>1.25</v>
      </c>
    </row>
    <row r="35" spans="1:26" s="69" customFormat="1" ht="15" hidden="1" customHeight="1" outlineLevel="2" x14ac:dyDescent="0.3">
      <c r="A35" s="25"/>
      <c r="B35" s="12" t="str">
        <f>CONCATENATE("          ","6371"," - ","COMPUTER SOFTWARE MAINTENANCE")</f>
        <v xml:space="preserve">          6371 - COMPUTER SOFTWARE MAINTENANCE</v>
      </c>
      <c r="C35" s="12"/>
      <c r="D35" s="8">
        <v>3500</v>
      </c>
      <c r="E35" s="3"/>
      <c r="F35" s="7">
        <f t="shared" si="0"/>
        <v>0</v>
      </c>
      <c r="G35" s="3"/>
      <c r="H35" s="8">
        <v>3500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31500</v>
      </c>
      <c r="Q35" s="3"/>
      <c r="R35" s="7">
        <f t="shared" si="4"/>
        <v>0</v>
      </c>
      <c r="S35" s="3"/>
      <c r="T35" s="8">
        <v>14000</v>
      </c>
      <c r="U35" s="3"/>
      <c r="V35" s="7">
        <f t="shared" si="5"/>
        <v>0</v>
      </c>
      <c r="W35" s="3"/>
      <c r="X35" s="8">
        <f t="shared" si="6"/>
        <v>17500</v>
      </c>
      <c r="Y35" s="3"/>
      <c r="Z35" s="7">
        <f t="shared" si="7"/>
        <v>1.25</v>
      </c>
    </row>
    <row r="36" spans="1:26" s="68" customFormat="1" ht="15" customHeight="1" outlineLevel="1" collapsed="1" x14ac:dyDescent="0.3">
      <c r="A36" s="26"/>
      <c r="B36" s="14" t="str">
        <f>CONCATENATE("     ","Supplies                                          ")</f>
        <v xml:space="preserve">     Supplies                                          </v>
      </c>
      <c r="C36" s="14"/>
      <c r="D36" s="2">
        <f>SUM(OSRRefD22_5x_0)</f>
        <v>0</v>
      </c>
      <c r="E36" s="2"/>
      <c r="F36" s="6">
        <f t="shared" si="0"/>
        <v>0</v>
      </c>
      <c r="G36" s="2"/>
      <c r="H36" s="2">
        <f>SUM(OSRRefH22_5x_0)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SUM(OSRRefP22_5x_0)</f>
        <v>2371.52</v>
      </c>
      <c r="Q36" s="2"/>
      <c r="R36" s="6">
        <f t="shared" si="4"/>
        <v>0</v>
      </c>
      <c r="S36" s="2"/>
      <c r="T36" s="2">
        <f>SUM(OSRRefT22_5x_0)</f>
        <v>4939.2</v>
      </c>
      <c r="U36" s="2"/>
      <c r="V36" s="6">
        <f t="shared" si="5"/>
        <v>0</v>
      </c>
      <c r="W36" s="2"/>
      <c r="X36" s="2">
        <f t="shared" si="6"/>
        <v>-2567.6799999999998</v>
      </c>
      <c r="Y36" s="2"/>
      <c r="Z36" s="6">
        <f t="shared" si="7"/>
        <v>-0.51985746679624234</v>
      </c>
    </row>
    <row r="37" spans="1:26" s="69" customFormat="1" ht="15" hidden="1" customHeight="1" outlineLevel="2" x14ac:dyDescent="0.3">
      <c r="A37" s="25"/>
      <c r="B37" s="12" t="str">
        <f>CONCATENATE("          ","6235"," - ","COVID-19 EXPENSES")</f>
        <v xml:space="preserve">          6235 - COVID-19 EXPENSES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4939.2</v>
      </c>
      <c r="U37" s="3"/>
      <c r="V37" s="7">
        <f t="shared" si="5"/>
        <v>0</v>
      </c>
      <c r="W37" s="3"/>
      <c r="X37" s="8">
        <f t="shared" si="6"/>
        <v>-4939.2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5"/>
      <c r="B38" s="12" t="str">
        <f>CONCATENATE("          ","6241"," - ","OFFICE EXPENSE")</f>
        <v xml:space="preserve">          6241 - OFFICE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2371.52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2371.52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","Telephone/Data Lines                              ")</f>
        <v xml:space="preserve">     Telephone/Data Lines                              </v>
      </c>
      <c r="C39" s="14"/>
      <c r="D39" s="2">
        <f>SUM(OSRRefD22_6x_0)</f>
        <v>75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75</v>
      </c>
      <c r="M39" s="2"/>
      <c r="N39" s="6">
        <f t="shared" si="3"/>
        <v>0</v>
      </c>
      <c r="O39" s="14"/>
      <c r="P39" s="2">
        <f>SUM(OSRRefP22_6x_0)</f>
        <v>658</v>
      </c>
      <c r="Q39" s="2"/>
      <c r="R39" s="6">
        <f t="shared" si="4"/>
        <v>0</v>
      </c>
      <c r="S39" s="2"/>
      <c r="T39" s="2">
        <f>SUM(OSRRefT22_6x_0)</f>
        <v>400</v>
      </c>
      <c r="U39" s="2"/>
      <c r="V39" s="6">
        <f t="shared" si="5"/>
        <v>0</v>
      </c>
      <c r="W39" s="2"/>
      <c r="X39" s="2">
        <f t="shared" si="6"/>
        <v>258</v>
      </c>
      <c r="Y39" s="2"/>
      <c r="Z39" s="6">
        <f t="shared" si="7"/>
        <v>0.64500000000000002</v>
      </c>
    </row>
    <row r="40" spans="1:26" s="69" customFormat="1" ht="15" hidden="1" customHeight="1" outlineLevel="2" x14ac:dyDescent="0.3">
      <c r="A40" s="25"/>
      <c r="B40" s="12" t="str">
        <f>CONCATENATE("          ","6309"," - ","TELEPHONE")</f>
        <v xml:space="preserve">          6309 - TELEPHONE</v>
      </c>
      <c r="C40" s="12"/>
      <c r="D40" s="8">
        <v>75</v>
      </c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75</v>
      </c>
      <c r="M40" s="3"/>
      <c r="N40" s="7">
        <f t="shared" si="3"/>
        <v>0</v>
      </c>
      <c r="O40" s="12"/>
      <c r="P40" s="8">
        <v>658</v>
      </c>
      <c r="Q40" s="3"/>
      <c r="R40" s="7">
        <f t="shared" si="4"/>
        <v>0</v>
      </c>
      <c r="S40" s="3"/>
      <c r="T40" s="8">
        <v>400</v>
      </c>
      <c r="U40" s="3"/>
      <c r="V40" s="7">
        <f t="shared" si="5"/>
        <v>0</v>
      </c>
      <c r="W40" s="3"/>
      <c r="X40" s="8">
        <f t="shared" si="6"/>
        <v>258</v>
      </c>
      <c r="Y40" s="3"/>
      <c r="Z40" s="7">
        <f t="shared" si="7"/>
        <v>0.64500000000000002</v>
      </c>
    </row>
    <row r="41" spans="1:26" s="68" customFormat="1" ht="15" customHeight="1" outlineLevel="1" collapsed="1" x14ac:dyDescent="0.3">
      <c r="A41" s="26"/>
      <c r="B41" s="14" t="str">
        <f>CONCATENATE("     ","Training                                          ")</f>
        <v xml:space="preserve">     Training                                          </v>
      </c>
      <c r="C41" s="14"/>
      <c r="D41" s="2">
        <f>SUM(OSRRefD22_7x_0)</f>
        <v>2465.1</v>
      </c>
      <c r="E41" s="2"/>
      <c r="F41" s="6">
        <f t="shared" si="0"/>
        <v>0</v>
      </c>
      <c r="G41" s="2"/>
      <c r="H41" s="2">
        <f>SUM(OSRRefH22_7x_0)</f>
        <v>51.23</v>
      </c>
      <c r="I41" s="2"/>
      <c r="J41" s="6">
        <f t="shared" si="1"/>
        <v>0</v>
      </c>
      <c r="K41" s="2"/>
      <c r="L41" s="2">
        <f t="shared" si="2"/>
        <v>2413.87</v>
      </c>
      <c r="M41" s="2"/>
      <c r="N41" s="6">
        <f t="shared" si="3"/>
        <v>47.118290064415383</v>
      </c>
      <c r="O41" s="14"/>
      <c r="P41" s="2">
        <f>SUM(OSRRefP22_7x_0)</f>
        <v>7613.97</v>
      </c>
      <c r="Q41" s="2"/>
      <c r="R41" s="6">
        <f t="shared" si="4"/>
        <v>0</v>
      </c>
      <c r="S41" s="2"/>
      <c r="T41" s="2">
        <f>SUM(OSRRefT22_7x_0)</f>
        <v>51.23</v>
      </c>
      <c r="U41" s="2"/>
      <c r="V41" s="6">
        <f t="shared" si="5"/>
        <v>0</v>
      </c>
      <c r="W41" s="2"/>
      <c r="X41" s="2">
        <f t="shared" si="6"/>
        <v>7562.7400000000007</v>
      </c>
      <c r="Y41" s="2"/>
      <c r="Z41" s="6">
        <f t="shared" si="7"/>
        <v>147.6232676166309</v>
      </c>
    </row>
    <row r="42" spans="1:26" s="69" customFormat="1" ht="15" hidden="1" customHeight="1" outlineLevel="2" x14ac:dyDescent="0.3">
      <c r="A42" s="25"/>
      <c r="B42" s="12" t="str">
        <f>CONCATENATE("          ","6376"," - ","TRAINING")</f>
        <v xml:space="preserve">          6376 - TRAINING</v>
      </c>
      <c r="C42" s="12"/>
      <c r="D42" s="8">
        <v>2465.1</v>
      </c>
      <c r="E42" s="3"/>
      <c r="F42" s="7">
        <f t="shared" si="0"/>
        <v>0</v>
      </c>
      <c r="G42" s="3"/>
      <c r="H42" s="8">
        <v>51.23</v>
      </c>
      <c r="I42" s="3"/>
      <c r="J42" s="7">
        <f t="shared" si="1"/>
        <v>0</v>
      </c>
      <c r="K42" s="3"/>
      <c r="L42" s="8">
        <f t="shared" si="2"/>
        <v>2413.87</v>
      </c>
      <c r="M42" s="3"/>
      <c r="N42" s="7">
        <f t="shared" si="3"/>
        <v>47.118290064415383</v>
      </c>
      <c r="O42" s="12"/>
      <c r="P42" s="8">
        <v>7613.97</v>
      </c>
      <c r="Q42" s="3"/>
      <c r="R42" s="7">
        <f t="shared" si="4"/>
        <v>0</v>
      </c>
      <c r="S42" s="3"/>
      <c r="T42" s="8">
        <v>51.23</v>
      </c>
      <c r="U42" s="3"/>
      <c r="V42" s="7">
        <f t="shared" si="5"/>
        <v>0</v>
      </c>
      <c r="W42" s="3"/>
      <c r="X42" s="8">
        <f t="shared" si="6"/>
        <v>7562.7400000000007</v>
      </c>
      <c r="Y42" s="3"/>
      <c r="Z42" s="7">
        <f t="shared" si="7"/>
        <v>147.6232676166309</v>
      </c>
    </row>
    <row r="43" spans="1:26" s="68" customFormat="1" ht="15" customHeight="1" outlineLevel="1" collapsed="1" x14ac:dyDescent="0.3">
      <c r="A43" s="26"/>
      <c r="B43" s="14" t="str">
        <f>CONCATENATE("     ","Travel                                            ")</f>
        <v xml:space="preserve">     Travel                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595</v>
      </c>
      <c r="Q43" s="2"/>
      <c r="R43" s="6">
        <f t="shared" si="4"/>
        <v>0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595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5"/>
      <c r="B44" s="12" t="str">
        <f>CONCATENATE("          ","6292"," - ","TRAVEL/CONFERENCE")</f>
        <v xml:space="preserve">          6292 - TRAVEL/CONFERENCE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595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595</v>
      </c>
      <c r="Y44" s="3"/>
      <c r="Z44" s="7">
        <f t="shared" si="7"/>
        <v>0</v>
      </c>
    </row>
    <row r="45" spans="1:26" s="64" customFormat="1" ht="15" customHeight="1" x14ac:dyDescent="0.3">
      <c r="A45" s="36"/>
      <c r="B45" s="36"/>
      <c r="C45" s="36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3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62" customFormat="1" ht="15" customHeight="1" x14ac:dyDescent="0.3">
      <c r="A46" s="11"/>
      <c r="B46" s="28" t="s">
        <v>290</v>
      </c>
      <c r="C46" s="11"/>
      <c r="D46" s="5">
        <f>SUM(0)</f>
        <v>0</v>
      </c>
      <c r="E46" s="5"/>
      <c r="F46" s="13">
        <f>IF(D$12=0,0,D46/D$12)</f>
        <v>0</v>
      </c>
      <c r="G46" s="5"/>
      <c r="H46" s="5">
        <f>SUM(0)</f>
        <v>0</v>
      </c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>
        <f>SUM(0)</f>
        <v>0</v>
      </c>
      <c r="Q46" s="5"/>
      <c r="R46" s="13">
        <f>IF(P$12=0,0,P46/P$12)</f>
        <v>0</v>
      </c>
      <c r="S46" s="5"/>
      <c r="T46" s="5">
        <f>SUM(0)</f>
        <v>0</v>
      </c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7" t="s">
        <v>291</v>
      </c>
      <c r="C48" s="27"/>
      <c r="D48" s="22">
        <f>+D16-D18+D46</f>
        <v>-20910.62</v>
      </c>
      <c r="E48" s="15"/>
      <c r="F48" s="21">
        <f>IF(D$12=0,0,D48/D$12)</f>
        <v>0</v>
      </c>
      <c r="G48" s="15"/>
      <c r="H48" s="22">
        <f>+H16-H18+H46</f>
        <v>-17485.55</v>
      </c>
      <c r="I48" s="15"/>
      <c r="J48" s="21">
        <f>IF(H$12=0,0,H48/H$12)</f>
        <v>0</v>
      </c>
      <c r="K48" s="17"/>
      <c r="L48" s="22">
        <f>+D48-H48</f>
        <v>-3425.0699999999997</v>
      </c>
      <c r="M48" s="17"/>
      <c r="N48" s="21">
        <f>IF(H48=0,0,L48/H48)</f>
        <v>0.19588002665057719</v>
      </c>
      <c r="O48" s="28"/>
      <c r="P48" s="22">
        <f>+P16-P18+P46</f>
        <v>-181676.61</v>
      </c>
      <c r="Q48" s="15"/>
      <c r="R48" s="21">
        <f>IF(P$12=0,0,P48/P$12)</f>
        <v>0</v>
      </c>
      <c r="S48" s="15"/>
      <c r="T48" s="22">
        <f>+T16-T18+T46</f>
        <v>-153277.29</v>
      </c>
      <c r="U48" s="15"/>
      <c r="V48" s="21">
        <f>IF(T$12=0,0,T48/T$12)</f>
        <v>0</v>
      </c>
      <c r="W48" s="17"/>
      <c r="X48" s="22">
        <f>+P48-T48</f>
        <v>-28399.319999999978</v>
      </c>
      <c r="Y48" s="17"/>
      <c r="Z48" s="21">
        <f>IF(T48=0,0,X48/T48)</f>
        <v>0.18528067660903957</v>
      </c>
    </row>
    <row r="49" spans="1:26" ht="15" customHeight="1" x14ac:dyDescent="0.3">
      <c r="A49" s="10"/>
      <c r="B49" s="11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48"/>
      <c r="B50" s="11" t="s">
        <v>292</v>
      </c>
      <c r="C50" s="11"/>
      <c r="D50" s="5"/>
      <c r="E50" s="5"/>
      <c r="F50" s="13">
        <f>IF(D$12=0,0,D50/D$12)</f>
        <v>0</v>
      </c>
      <c r="G50" s="5"/>
      <c r="H50" s="5"/>
      <c r="I50" s="5"/>
      <c r="J50" s="13">
        <f>IF(H$12=0,0,H50/H$12)</f>
        <v>0</v>
      </c>
      <c r="K50" s="5"/>
      <c r="L50" s="5">
        <f>+D50-H50</f>
        <v>0</v>
      </c>
      <c r="M50" s="5"/>
      <c r="N50" s="13">
        <f>IF(H50=0,0,L50/H50)</f>
        <v>0</v>
      </c>
      <c r="O50" s="11"/>
      <c r="P50" s="5"/>
      <c r="Q50" s="5"/>
      <c r="R50" s="13">
        <f>IF(P$12=0,0,P50/P$12)</f>
        <v>0</v>
      </c>
      <c r="S50" s="5"/>
      <c r="T50" s="5"/>
      <c r="U50" s="5"/>
      <c r="V50" s="13">
        <f>IF(T$12=0,0,T50/T$12)</f>
        <v>0</v>
      </c>
      <c r="W50" s="5"/>
      <c r="X50" s="5">
        <f>+P50-T50</f>
        <v>0</v>
      </c>
      <c r="Y50" s="5"/>
      <c r="Z50" s="13">
        <f>IF(T50=0,0,X50/T50)</f>
        <v>0</v>
      </c>
    </row>
    <row r="51" spans="1:26" ht="15" customHeight="1" x14ac:dyDescent="0.3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11"/>
      <c r="B52" s="27" t="s">
        <v>293</v>
      </c>
      <c r="C52" s="27"/>
      <c r="D52" s="34">
        <f>+D48-D50</f>
        <v>-20910.62</v>
      </c>
      <c r="E52" s="15"/>
      <c r="F52" s="33">
        <f>IF(D$12=0,0,D52/D$12)</f>
        <v>0</v>
      </c>
      <c r="G52" s="15"/>
      <c r="H52" s="34">
        <f>+H48-H50</f>
        <v>-17485.55</v>
      </c>
      <c r="I52" s="15"/>
      <c r="J52" s="33">
        <f>IF(H$12=0,0,H52/H$12)</f>
        <v>0</v>
      </c>
      <c r="K52" s="17"/>
      <c r="L52" s="34">
        <f>D52-H52</f>
        <v>-3425.0699999999997</v>
      </c>
      <c r="M52" s="17"/>
      <c r="N52" s="33">
        <f>IF(H52=0,0,L52/H52)</f>
        <v>0.19588002665057719</v>
      </c>
      <c r="O52" s="28"/>
      <c r="P52" s="34">
        <f>+P48-P50</f>
        <v>-181676.61</v>
      </c>
      <c r="Q52" s="15"/>
      <c r="R52" s="33">
        <f>IF(P$12=0,0,P52/P$12)</f>
        <v>0</v>
      </c>
      <c r="S52" s="15"/>
      <c r="T52" s="34">
        <f>+T48-T50</f>
        <v>-153277.29</v>
      </c>
      <c r="U52" s="15"/>
      <c r="V52" s="33">
        <f>IF(T$12=0,0,T52/T$12)</f>
        <v>0</v>
      </c>
      <c r="W52" s="17"/>
      <c r="X52" s="34">
        <f>P52-T52</f>
        <v>-28399.319999999978</v>
      </c>
      <c r="Y52" s="17"/>
      <c r="Z52" s="33">
        <f>IF(T52=0,0,X52/T52)</f>
        <v>0.18528067660903957</v>
      </c>
    </row>
    <row r="53" spans="1:26" ht="15" customHeight="1" x14ac:dyDescent="0.3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ht="15" customHeight="1" x14ac:dyDescent="0.3">
      <c r="A54" s="10"/>
      <c r="B54" s="10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2" customFormat="1" ht="15" customHeight="1" x14ac:dyDescent="0.3">
      <c r="A55" s="11"/>
      <c r="B55" s="27" t="s">
        <v>296</v>
      </c>
      <c r="C55" s="27"/>
      <c r="D55" s="31">
        <f>SUM(D52:D54)</f>
        <v>-20910.62</v>
      </c>
      <c r="E55" s="15"/>
      <c r="F55" s="32">
        <f>IF(D$12=0,0,D55/D$12)</f>
        <v>0</v>
      </c>
      <c r="G55" s="15"/>
      <c r="H55" s="31">
        <f>SUM(H52:H54)</f>
        <v>-17485.55</v>
      </c>
      <c r="I55" s="15"/>
      <c r="J55" s="32">
        <f>IF(H$12=0,0,H55/H$12)</f>
        <v>0</v>
      </c>
      <c r="K55" s="17"/>
      <c r="L55" s="31">
        <f>+D55-H55</f>
        <v>-3425.0699999999997</v>
      </c>
      <c r="M55" s="17"/>
      <c r="N55" s="32">
        <f>IF(H55=0,0,L55/H55)</f>
        <v>0.19588002665057719</v>
      </c>
      <c r="O55" s="28"/>
      <c r="P55" s="31">
        <f>SUM(P52:P54)</f>
        <v>-181676.61</v>
      </c>
      <c r="Q55" s="15"/>
      <c r="R55" s="32">
        <f>IF(P$12=0,0,P55/P$12)</f>
        <v>0</v>
      </c>
      <c r="S55" s="15"/>
      <c r="T55" s="31">
        <f>SUM(T52:T54)</f>
        <v>-153277.29</v>
      </c>
      <c r="U55" s="15"/>
      <c r="V55" s="32">
        <f>IF(T$12=0,0,T55/T$12)</f>
        <v>0</v>
      </c>
      <c r="W55" s="17"/>
      <c r="X55" s="31">
        <f>+P55-T55</f>
        <v>-28399.319999999978</v>
      </c>
      <c r="Y55" s="17"/>
      <c r="Z55" s="32">
        <f>IF(T55=0,0,X55/T55)</f>
        <v>0.18528067660903957</v>
      </c>
    </row>
    <row r="56" spans="1:26" ht="15" customHeight="1" x14ac:dyDescent="0.3">
      <c r="A56" s="10"/>
      <c r="C56" s="10"/>
      <c r="D56" s="19"/>
      <c r="E56" s="19"/>
      <c r="G56" s="19"/>
      <c r="H56" s="19"/>
      <c r="I56" s="19"/>
      <c r="J56" s="40"/>
      <c r="K56" s="19"/>
      <c r="L56" s="19"/>
      <c r="M56" s="19"/>
      <c r="P56" s="19"/>
      <c r="Q56" s="19"/>
      <c r="R56" s="40"/>
      <c r="S56" s="19"/>
      <c r="T56" s="19"/>
      <c r="U56" s="19"/>
      <c r="V56" s="40"/>
      <c r="W56" s="19"/>
      <c r="X56" s="19"/>
    </row>
    <row r="57" spans="1:26" ht="15" customHeight="1" x14ac:dyDescent="0.3">
      <c r="A57" s="10"/>
      <c r="B57" s="56">
        <v>44663.03859679398</v>
      </c>
      <c r="D57" s="19"/>
      <c r="E57" s="19"/>
      <c r="G57" s="19"/>
      <c r="H57" s="19"/>
      <c r="I57" s="19"/>
      <c r="J57" s="40"/>
      <c r="K57" s="19"/>
      <c r="L57" s="19"/>
      <c r="M57" s="19"/>
      <c r="P57" s="19"/>
      <c r="Q57" s="19"/>
      <c r="R57" s="40"/>
      <c r="S57" s="19"/>
      <c r="T57" s="19"/>
      <c r="U57" s="19"/>
      <c r="V57" s="40"/>
      <c r="W57" s="19"/>
      <c r="X57" s="19"/>
    </row>
    <row r="58" spans="1:26" ht="15" customHeight="1" x14ac:dyDescent="0.3">
      <c r="A58" s="10"/>
      <c r="B58" s="57" t="s">
        <v>297</v>
      </c>
      <c r="D58" s="19"/>
      <c r="E58" s="19"/>
      <c r="G58" s="19"/>
      <c r="H58" s="19"/>
      <c r="I58" s="19"/>
      <c r="J58" s="40"/>
      <c r="K58" s="19"/>
      <c r="L58" s="19"/>
      <c r="M58" s="19"/>
      <c r="P58" s="19"/>
      <c r="Q58" s="19"/>
      <c r="R58" s="40"/>
      <c r="S58" s="19"/>
      <c r="T58" s="19"/>
      <c r="U58" s="19"/>
      <c r="V58" s="40"/>
      <c r="W58" s="19"/>
      <c r="X58" s="19"/>
    </row>
    <row r="59" spans="1:26" ht="15" customHeight="1" x14ac:dyDescent="0.3">
      <c r="A59" s="10"/>
      <c r="B59" s="58"/>
      <c r="D59" s="19"/>
      <c r="E59" s="19"/>
      <c r="G59" s="19"/>
      <c r="H59" s="19"/>
      <c r="I59" s="19"/>
      <c r="J59" s="40"/>
      <c r="K59" s="19"/>
      <c r="L59" s="19"/>
      <c r="M59" s="19"/>
      <c r="P59" s="19"/>
      <c r="Q59" s="19"/>
      <c r="R59" s="40"/>
      <c r="S59" s="19"/>
      <c r="T59" s="19"/>
      <c r="U59" s="19"/>
      <c r="V59" s="40"/>
      <c r="W59" s="19"/>
      <c r="X59" s="19"/>
    </row>
    <row r="60" spans="1:26" ht="15" customHeight="1" x14ac:dyDescent="0.3">
      <c r="D60" s="19"/>
      <c r="E60" s="19"/>
      <c r="G60" s="19"/>
      <c r="H60" s="19"/>
      <c r="I60" s="19"/>
      <c r="J60" s="40"/>
      <c r="K60" s="19"/>
      <c r="L60" s="19"/>
      <c r="M60" s="19"/>
      <c r="P60" s="19"/>
      <c r="Q60" s="19"/>
      <c r="R60" s="40"/>
      <c r="S60" s="19"/>
      <c r="T60" s="19"/>
      <c r="U60" s="19"/>
      <c r="V60" s="40"/>
      <c r="W60" s="19"/>
      <c r="X6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6EC3-5787-5EC2-AA41-2B597F44BE25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299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6D86D-1E82-A39E-7AD2-361916ACE648}">
  <sheetPr>
    <tabColor rgb="FF92D050"/>
    <outlinePr summaryBelow="0" summaryRight="0"/>
  </sheetPr>
  <dimension ref="A2:Z9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","433"," - ","Hillside Dining Hall")</f>
        <v>Department 433 - Hillside Dining Hall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449188.75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449188.75</v>
      </c>
      <c r="M12" s="5"/>
      <c r="N12" s="13">
        <f>IF(H12=0,0,L12/H12)</f>
        <v>0</v>
      </c>
      <c r="O12" s="11"/>
      <c r="P12" s="5">
        <f>SUM(OSRRefP13x_0)</f>
        <v>3146556.9</v>
      </c>
      <c r="Q12" s="5"/>
      <c r="R12" s="13"/>
      <c r="S12" s="5"/>
      <c r="T12" s="5">
        <f>SUM(OSRRefT13x_0)</f>
        <v>23641.919999999998</v>
      </c>
      <c r="U12" s="5"/>
      <c r="V12" s="13"/>
      <c r="W12" s="5"/>
      <c r="X12" s="5">
        <f>+P12-T12</f>
        <v>3122914.98</v>
      </c>
      <c r="Y12" s="5"/>
      <c r="Z12" s="13">
        <f>IF(T12=0,0,X12/T12)</f>
        <v>132.0922742315345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--269.85</f>
        <v>269.85000000000002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269.85000000000002</v>
      </c>
      <c r="M13" s="3"/>
      <c r="N13" s="20">
        <f>IF(H13=0,0,L13/H13)</f>
        <v>0</v>
      </c>
      <c r="O13" s="12"/>
      <c r="P13" s="3">
        <f>--2389.55</f>
        <v>2389.5500000000002</v>
      </c>
      <c r="Q13" s="3"/>
      <c r="R13" s="20"/>
      <c r="S13" s="3"/>
      <c r="T13" s="3">
        <f>--217.65</f>
        <v>217.65</v>
      </c>
      <c r="U13" s="3"/>
      <c r="V13" s="20"/>
      <c r="W13" s="3"/>
      <c r="X13" s="3">
        <f>+P13-T13</f>
        <v>2171.9</v>
      </c>
      <c r="Y13" s="3"/>
      <c r="Z13" s="20">
        <f>IF(T13=0,0,X13/T13)</f>
        <v>9.9788651504709396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--438400.75</f>
        <v>438400.75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438400.75</v>
      </c>
      <c r="M14" s="3"/>
      <c r="N14" s="20">
        <f>IF(H14=0,0,L14/H14)</f>
        <v>0</v>
      </c>
      <c r="O14" s="12"/>
      <c r="P14" s="3">
        <f>--3076769.16</f>
        <v>3076769.16</v>
      </c>
      <c r="Q14" s="3"/>
      <c r="R14" s="20"/>
      <c r="S14" s="3"/>
      <c r="T14" s="3">
        <f>--16096</f>
        <v>16096</v>
      </c>
      <c r="U14" s="3"/>
      <c r="V14" s="20"/>
      <c r="W14" s="3"/>
      <c r="X14" s="3">
        <f>+P14-T14</f>
        <v>3060673.16</v>
      </c>
      <c r="Y14" s="3"/>
      <c r="Z14" s="20">
        <f>IF(T14=0,0,X14/T14)</f>
        <v>190.15116550695825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--10518.15</f>
        <v>10518.15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10518.15</v>
      </c>
      <c r="M15" s="3"/>
      <c r="N15" s="20">
        <f>IF(H15=0,0,L15/H15)</f>
        <v>0</v>
      </c>
      <c r="O15" s="12"/>
      <c r="P15" s="3">
        <f>--67398.19</f>
        <v>67398.19</v>
      </c>
      <c r="Q15" s="3"/>
      <c r="R15" s="20"/>
      <c r="S15" s="3"/>
      <c r="T15" s="3">
        <f>--7328.27</f>
        <v>7328.27</v>
      </c>
      <c r="U15" s="3"/>
      <c r="V15" s="20"/>
      <c r="W15" s="3"/>
      <c r="X15" s="3">
        <f>+P15-T15</f>
        <v>60069.919999999998</v>
      </c>
      <c r="Y15" s="3"/>
      <c r="Z15" s="20">
        <f>IF(T15=0,0,X15/T15)</f>
        <v>8.1970123917377489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8" t="s">
        <v>287</v>
      </c>
      <c r="C17" s="11"/>
      <c r="D17" s="5">
        <f>SUM(OSRRefD16x_0)</f>
        <v>108786.34</v>
      </c>
      <c r="E17" s="5"/>
      <c r="F17" s="13">
        <f>IF(D$12=0,0,D17/D$12)</f>
        <v>0.24218402620279336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108786.34</v>
      </c>
      <c r="M17" s="5"/>
      <c r="N17" s="13">
        <f>IF(H17=0,0,L17/H17)</f>
        <v>0</v>
      </c>
      <c r="O17" s="11"/>
      <c r="P17" s="5">
        <f>SUM(OSRRefP16x_0)</f>
        <v>781143.9</v>
      </c>
      <c r="Q17" s="5"/>
      <c r="R17" s="13">
        <f>IF(P$12=0,0,P17/P$12)</f>
        <v>0.24825354342074668</v>
      </c>
      <c r="S17" s="5"/>
      <c r="T17" s="5">
        <f>SUM(OSRRefT16x_0)</f>
        <v>25322.92</v>
      </c>
      <c r="U17" s="5"/>
      <c r="V17" s="13">
        <f>IF(T$12=0,0,T17/T$12)</f>
        <v>1.0711025162084975</v>
      </c>
      <c r="W17" s="5"/>
      <c r="X17" s="5">
        <f>+P17-T17</f>
        <v>755820.98</v>
      </c>
      <c r="Y17" s="5"/>
      <c r="Z17" s="13">
        <f>IF(T17=0,0,X17/T17)</f>
        <v>29.847307498503334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110158.34</v>
      </c>
      <c r="E18" s="3"/>
      <c r="F18" s="20">
        <f>IF(D$12=0,0,D18/D$12)</f>
        <v>0.24523842148762628</v>
      </c>
      <c r="G18" s="3"/>
      <c r="H18" s="3"/>
      <c r="I18" s="3"/>
      <c r="J18" s="20">
        <f>IF(H$12=0,0,H18/H$12)</f>
        <v>0</v>
      </c>
      <c r="K18" s="3"/>
      <c r="L18" s="3">
        <f>+D18-H18</f>
        <v>110158.34</v>
      </c>
      <c r="M18" s="3"/>
      <c r="N18" s="20">
        <f>IF(H18=0,0,L18/H18)</f>
        <v>0</v>
      </c>
      <c r="O18" s="12"/>
      <c r="P18" s="3">
        <v>806923.9</v>
      </c>
      <c r="Q18" s="3"/>
      <c r="R18" s="20">
        <f>IF(P$12=0,0,P18/P$12)</f>
        <v>0.25644662583409822</v>
      </c>
      <c r="S18" s="3"/>
      <c r="T18" s="3">
        <v>14410.92</v>
      </c>
      <c r="U18" s="3"/>
      <c r="V18" s="20">
        <f>IF(T$12=0,0,T18/T$12)</f>
        <v>0.60954947821496741</v>
      </c>
      <c r="W18" s="3"/>
      <c r="X18" s="3">
        <f>+P18-T18</f>
        <v>792512.98</v>
      </c>
      <c r="Y18" s="3"/>
      <c r="Z18" s="20">
        <f>IF(T18=0,0,X18/T18)</f>
        <v>54.993919888528978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-1372</v>
      </c>
      <c r="E19" s="3"/>
      <c r="F19" s="20">
        <f>IF(D$12=0,0,D19/D$12)</f>
        <v>-3.0543952848329351E-3</v>
      </c>
      <c r="G19" s="3"/>
      <c r="H19" s="3"/>
      <c r="I19" s="3"/>
      <c r="J19" s="20">
        <f>IF(H$12=0,0,H19/H$12)</f>
        <v>0</v>
      </c>
      <c r="K19" s="3"/>
      <c r="L19" s="3">
        <f>+D19-H19</f>
        <v>-1372</v>
      </c>
      <c r="M19" s="3"/>
      <c r="N19" s="20">
        <f>IF(H19=0,0,L19/H19)</f>
        <v>0</v>
      </c>
      <c r="O19" s="12"/>
      <c r="P19" s="3">
        <v>-25780</v>
      </c>
      <c r="Q19" s="3"/>
      <c r="R19" s="20">
        <f>IF(P$12=0,0,P19/P$12)</f>
        <v>-8.1930824133515587E-3</v>
      </c>
      <c r="S19" s="3"/>
      <c r="T19" s="3">
        <v>10912</v>
      </c>
      <c r="U19" s="3"/>
      <c r="V19" s="20">
        <f>IF(T$12=0,0,T19/T$12)</f>
        <v>0.46155303799353015</v>
      </c>
      <c r="W19" s="3"/>
      <c r="X19" s="3">
        <f>+P19-T19</f>
        <v>-36692</v>
      </c>
      <c r="Y19" s="3"/>
      <c r="Z19" s="20">
        <f>IF(T19=0,0,X19/T19)</f>
        <v>-3.3625366568914954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7" t="s">
        <v>288</v>
      </c>
      <c r="C21" s="27"/>
      <c r="D21" s="22">
        <f>D12-D17</f>
        <v>340402.41000000003</v>
      </c>
      <c r="E21" s="15"/>
      <c r="F21" s="21">
        <f>IF(D$12=0,0,D21/D$12)</f>
        <v>0.75781597379720667</v>
      </c>
      <c r="G21" s="15"/>
      <c r="H21" s="22">
        <f>H12-H17</f>
        <v>0</v>
      </c>
      <c r="I21" s="15"/>
      <c r="J21" s="21">
        <f>IF(H$12=0,0,H21/H$12)</f>
        <v>0</v>
      </c>
      <c r="K21" s="17"/>
      <c r="L21" s="22">
        <f>+D21-H21</f>
        <v>340402.41000000003</v>
      </c>
      <c r="M21" s="17"/>
      <c r="N21" s="21">
        <f>IF(H21=0,0,L21/H21)</f>
        <v>0</v>
      </c>
      <c r="O21" s="28"/>
      <c r="P21" s="22">
        <f>P12-P17</f>
        <v>2365413</v>
      </c>
      <c r="Q21" s="15"/>
      <c r="R21" s="21">
        <f>IF(P$12=0,0,P21/P$12)</f>
        <v>0.75174645657925332</v>
      </c>
      <c r="S21" s="15"/>
      <c r="T21" s="22">
        <f>T12-T17</f>
        <v>-1681</v>
      </c>
      <c r="U21" s="15"/>
      <c r="V21" s="21">
        <f>IF(T$12=0,0,T21/T$12)</f>
        <v>-7.110251620849746E-2</v>
      </c>
      <c r="W21" s="17"/>
      <c r="X21" s="22">
        <f>+P21-T21</f>
        <v>2367094</v>
      </c>
      <c r="Y21" s="17"/>
      <c r="Z21" s="21">
        <f>IF(T21=0,0,X21/T21)</f>
        <v>-1408.1463414634147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8" t="s">
        <v>289</v>
      </c>
      <c r="C23" s="11"/>
      <c r="D23" s="23" cm="1">
        <f t="array" ref="D23">SUM(OSRRefD22x_0)</f>
        <v>174311.68999999997</v>
      </c>
      <c r="E23" s="23"/>
      <c r="F23" s="35">
        <f t="shared" ref="F23:F54" si="0">IF(D$12=0,0,D23/D$12)</f>
        <v>0.3880588950636007</v>
      </c>
      <c r="G23" s="23"/>
      <c r="H23" s="23" cm="1">
        <f t="array" ref="H23">SUM(OSRRefH22x_0)</f>
        <v>47743.71</v>
      </c>
      <c r="I23" s="23"/>
      <c r="J23" s="35">
        <f t="shared" ref="J23:J54" si="1">IF(H$12=0,0,H23/H$12)</f>
        <v>0</v>
      </c>
      <c r="K23" s="5"/>
      <c r="L23" s="23">
        <f t="shared" ref="L23:L54" si="2">+D23-H23</f>
        <v>126567.97999999998</v>
      </c>
      <c r="M23" s="5"/>
      <c r="N23" s="35">
        <f t="shared" ref="N23:N54" si="3">IF(H23=0,0,L23/H23)</f>
        <v>2.6509875332268895</v>
      </c>
      <c r="O23" s="11"/>
      <c r="P23" s="23" cm="1">
        <f t="array" ref="P23">SUM(OSRRefP22x_0)</f>
        <v>1262346.7299999995</v>
      </c>
      <c r="Q23" s="23"/>
      <c r="R23" s="35">
        <f t="shared" ref="R23:R54" si="4">IF(P$12=0,0,P23/P$12)</f>
        <v>0.40118350632718563</v>
      </c>
      <c r="S23" s="23"/>
      <c r="T23" s="23" cm="1">
        <f t="array" ref="T23">SUM(OSRRefT22x_0)</f>
        <v>462360.48999999993</v>
      </c>
      <c r="U23" s="23"/>
      <c r="V23" s="35">
        <f t="shared" ref="V23:V54" si="5">IF(T$12=0,0,T23/T$12)</f>
        <v>19.556807991905902</v>
      </c>
      <c r="W23" s="5"/>
      <c r="X23" s="23">
        <f t="shared" ref="X23:X54" si="6">+P23-T23</f>
        <v>799986.23999999953</v>
      </c>
      <c r="Y23" s="5"/>
      <c r="Z23" s="35">
        <f t="shared" ref="Z23:Z54" si="7">IF(T23=0,0,X23/T23)</f>
        <v>1.7302218881202407</v>
      </c>
    </row>
    <row r="24" spans="1:26" s="68" customFormat="1" ht="15" customHeight="1" outlineLevel="1" collapsed="1" x14ac:dyDescent="0.3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25938.500000000004</v>
      </c>
      <c r="E24" s="2"/>
      <c r="F24" s="6">
        <f t="shared" si="0"/>
        <v>5.774521289769613E-2</v>
      </c>
      <c r="G24" s="2"/>
      <c r="H24" s="2">
        <f>SUM(OSRRefH22_0x_0)</f>
        <v>20741.009999999998</v>
      </c>
      <c r="I24" s="2"/>
      <c r="J24" s="6">
        <f t="shared" si="1"/>
        <v>0</v>
      </c>
      <c r="K24" s="2"/>
      <c r="L24" s="2">
        <f t="shared" si="2"/>
        <v>5197.4900000000052</v>
      </c>
      <c r="M24" s="2"/>
      <c r="N24" s="6">
        <f t="shared" si="3"/>
        <v>0.25059001466177422</v>
      </c>
      <c r="O24" s="14"/>
      <c r="P24" s="2">
        <f>SUM(OSRRefP22_0x_0)</f>
        <v>237677.58000000002</v>
      </c>
      <c r="Q24" s="2"/>
      <c r="R24" s="6">
        <f t="shared" si="4"/>
        <v>7.5535764187197763E-2</v>
      </c>
      <c r="S24" s="2"/>
      <c r="T24" s="2">
        <f>SUM(OSRRefT22_0x_0)</f>
        <v>187671.32999999996</v>
      </c>
      <c r="U24" s="2"/>
      <c r="V24" s="6">
        <f t="shared" si="5"/>
        <v>7.9380748264100367</v>
      </c>
      <c r="W24" s="2"/>
      <c r="X24" s="2">
        <f t="shared" si="6"/>
        <v>50006.250000000058</v>
      </c>
      <c r="Y24" s="2"/>
      <c r="Z24" s="6">
        <f t="shared" si="7"/>
        <v>0.26645652268782916</v>
      </c>
    </row>
    <row r="25" spans="1:26" s="69" customFormat="1" ht="15" hidden="1" customHeight="1" outlineLevel="2" x14ac:dyDescent="0.3">
      <c r="A25" s="25"/>
      <c r="B25" s="12" t="str">
        <f>CONCATENATE("          ","6111"," - ","F.I.C.A.")</f>
        <v xml:space="preserve">          6111 - F.I.C.A.</v>
      </c>
      <c r="C25" s="12"/>
      <c r="D25" s="8">
        <v>3927.89</v>
      </c>
      <c r="E25" s="3"/>
      <c r="F25" s="7">
        <f t="shared" si="0"/>
        <v>8.7444086700746628E-3</v>
      </c>
      <c r="G25" s="3"/>
      <c r="H25" s="8">
        <v>1844.41</v>
      </c>
      <c r="I25" s="3"/>
      <c r="J25" s="7">
        <f t="shared" si="1"/>
        <v>0</v>
      </c>
      <c r="K25" s="3"/>
      <c r="L25" s="8">
        <f t="shared" si="2"/>
        <v>2083.4799999999996</v>
      </c>
      <c r="M25" s="3"/>
      <c r="N25" s="7">
        <f t="shared" si="3"/>
        <v>1.1296186856501533</v>
      </c>
      <c r="O25" s="12"/>
      <c r="P25" s="8">
        <v>30474.49</v>
      </c>
      <c r="Q25" s="3"/>
      <c r="R25" s="7">
        <f t="shared" si="4"/>
        <v>9.6850274660534516E-3</v>
      </c>
      <c r="S25" s="3"/>
      <c r="T25" s="8">
        <v>17976.580000000002</v>
      </c>
      <c r="U25" s="3"/>
      <c r="V25" s="7">
        <f t="shared" si="5"/>
        <v>0.76036887021020305</v>
      </c>
      <c r="W25" s="3"/>
      <c r="X25" s="8">
        <f t="shared" si="6"/>
        <v>12497.91</v>
      </c>
      <c r="Y25" s="3"/>
      <c r="Z25" s="7">
        <f t="shared" si="7"/>
        <v>0.69523290859551701</v>
      </c>
    </row>
    <row r="26" spans="1:26" s="69" customFormat="1" ht="15" hidden="1" customHeight="1" outlineLevel="2" x14ac:dyDescent="0.3">
      <c r="A26" s="25"/>
      <c r="B26" s="12" t="str">
        <f>CONCATENATE("          ","6112"," - ","COMPENSATION INSURANCE")</f>
        <v xml:space="preserve">          6112 - COMPENSATION INSURANCE</v>
      </c>
      <c r="C26" s="12"/>
      <c r="D26" s="8">
        <v>3296.73</v>
      </c>
      <c r="E26" s="3"/>
      <c r="F26" s="7">
        <f t="shared" si="0"/>
        <v>7.3392977896262982E-3</v>
      </c>
      <c r="G26" s="3"/>
      <c r="H26" s="8">
        <v>1032.1099999999999</v>
      </c>
      <c r="I26" s="3"/>
      <c r="J26" s="7">
        <f t="shared" si="1"/>
        <v>0</v>
      </c>
      <c r="K26" s="3"/>
      <c r="L26" s="8">
        <f t="shared" si="2"/>
        <v>2264.62</v>
      </c>
      <c r="M26" s="3"/>
      <c r="N26" s="7">
        <f t="shared" si="3"/>
        <v>2.1941653505924759</v>
      </c>
      <c r="O26" s="12"/>
      <c r="P26" s="8">
        <v>20059.66</v>
      </c>
      <c r="Q26" s="3"/>
      <c r="R26" s="7">
        <f t="shared" si="4"/>
        <v>6.3751143352913783E-3</v>
      </c>
      <c r="S26" s="3"/>
      <c r="T26" s="8">
        <v>10196.27</v>
      </c>
      <c r="U26" s="3"/>
      <c r="V26" s="7">
        <f t="shared" si="5"/>
        <v>0.43127927004236549</v>
      </c>
      <c r="W26" s="3"/>
      <c r="X26" s="8">
        <f t="shared" si="6"/>
        <v>9863.39</v>
      </c>
      <c r="Y26" s="3"/>
      <c r="Z26" s="7">
        <f t="shared" si="7"/>
        <v>0.9673527672374308</v>
      </c>
    </row>
    <row r="27" spans="1:26" s="69" customFormat="1" ht="15" hidden="1" customHeight="1" outlineLevel="2" x14ac:dyDescent="0.3">
      <c r="A27" s="25"/>
      <c r="B27" s="12" t="str">
        <f>CONCATENATE("          ","6113"," - ","GROUP INSURANCE")</f>
        <v xml:space="preserve">          6113 - GROUP INSURANCE</v>
      </c>
      <c r="C27" s="12"/>
      <c r="D27" s="8">
        <v>12704.31</v>
      </c>
      <c r="E27" s="3"/>
      <c r="F27" s="7">
        <f t="shared" si="0"/>
        <v>2.8282787580944536E-2</v>
      </c>
      <c r="G27" s="3"/>
      <c r="H27" s="8">
        <v>12552.45</v>
      </c>
      <c r="I27" s="3"/>
      <c r="J27" s="7">
        <f t="shared" si="1"/>
        <v>0</v>
      </c>
      <c r="K27" s="3"/>
      <c r="L27" s="8">
        <f t="shared" si="2"/>
        <v>151.85999999999876</v>
      </c>
      <c r="M27" s="3"/>
      <c r="N27" s="7">
        <f t="shared" si="3"/>
        <v>1.2098036638265737E-2</v>
      </c>
      <c r="O27" s="12"/>
      <c r="P27" s="8">
        <v>121114.23</v>
      </c>
      <c r="Q27" s="3"/>
      <c r="R27" s="7">
        <f t="shared" si="4"/>
        <v>3.8491034438309375E-2</v>
      </c>
      <c r="S27" s="3"/>
      <c r="T27" s="8">
        <v>110116.48</v>
      </c>
      <c r="U27" s="3"/>
      <c r="V27" s="7">
        <f t="shared" si="5"/>
        <v>4.6576792409415146</v>
      </c>
      <c r="W27" s="3"/>
      <c r="X27" s="8">
        <f t="shared" si="6"/>
        <v>10997.75</v>
      </c>
      <c r="Y27" s="3"/>
      <c r="Z27" s="7">
        <f t="shared" si="7"/>
        <v>9.9873788192285123E-2</v>
      </c>
    </row>
    <row r="28" spans="1:26" s="69" customFormat="1" ht="15" hidden="1" customHeight="1" outlineLevel="2" x14ac:dyDescent="0.3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8">
        <v>238.09</v>
      </c>
      <c r="E28" s="3"/>
      <c r="F28" s="7">
        <f t="shared" si="0"/>
        <v>5.3004444122877077E-4</v>
      </c>
      <c r="G28" s="3"/>
      <c r="H28" s="8">
        <v>62.55</v>
      </c>
      <c r="I28" s="3"/>
      <c r="J28" s="7">
        <f t="shared" si="1"/>
        <v>0</v>
      </c>
      <c r="K28" s="3"/>
      <c r="L28" s="8">
        <f t="shared" si="2"/>
        <v>175.54000000000002</v>
      </c>
      <c r="M28" s="3"/>
      <c r="N28" s="7">
        <f t="shared" si="3"/>
        <v>2.8063948840927262</v>
      </c>
      <c r="O28" s="12"/>
      <c r="P28" s="8">
        <v>1448.75</v>
      </c>
      <c r="Q28" s="3"/>
      <c r="R28" s="7">
        <f t="shared" si="4"/>
        <v>4.6042390016846668E-4</v>
      </c>
      <c r="S28" s="3"/>
      <c r="T28" s="8">
        <v>617.95000000000005</v>
      </c>
      <c r="U28" s="3"/>
      <c r="V28" s="7">
        <f t="shared" si="5"/>
        <v>2.6137894045830459E-2</v>
      </c>
      <c r="W28" s="3"/>
      <c r="X28" s="8">
        <f t="shared" si="6"/>
        <v>830.8</v>
      </c>
      <c r="Y28" s="3"/>
      <c r="Z28" s="7">
        <f t="shared" si="7"/>
        <v>1.344445343474391</v>
      </c>
    </row>
    <row r="29" spans="1:26" s="69" customFormat="1" ht="15" hidden="1" customHeight="1" outlineLevel="2" x14ac:dyDescent="0.3">
      <c r="A29" s="25"/>
      <c r="B29" s="12" t="str">
        <f>CONCATENATE("          ","6115"," - ","P.E.R.S.")</f>
        <v xml:space="preserve">          6115 - P.E.R.S.</v>
      </c>
      <c r="C29" s="12"/>
      <c r="D29" s="8">
        <v>951.18</v>
      </c>
      <c r="E29" s="3"/>
      <c r="F29" s="7">
        <f t="shared" si="0"/>
        <v>2.1175508068712761E-3</v>
      </c>
      <c r="G29" s="3"/>
      <c r="H29" s="8">
        <v>950.04</v>
      </c>
      <c r="I29" s="3"/>
      <c r="J29" s="7">
        <f t="shared" si="1"/>
        <v>0</v>
      </c>
      <c r="K29" s="3"/>
      <c r="L29" s="8">
        <f t="shared" si="2"/>
        <v>1.1399999999999864</v>
      </c>
      <c r="M29" s="3"/>
      <c r="N29" s="7">
        <f t="shared" si="3"/>
        <v>1.1999494758115304E-3</v>
      </c>
      <c r="O29" s="12"/>
      <c r="P29" s="8">
        <v>10891.29</v>
      </c>
      <c r="Q29" s="3"/>
      <c r="R29" s="7">
        <f t="shared" si="4"/>
        <v>3.4613357857917653E-3</v>
      </c>
      <c r="S29" s="3"/>
      <c r="T29" s="8">
        <v>9580.83</v>
      </c>
      <c r="U29" s="3"/>
      <c r="V29" s="7">
        <f t="shared" si="5"/>
        <v>0.4052475433467333</v>
      </c>
      <c r="W29" s="3"/>
      <c r="X29" s="8">
        <f t="shared" si="6"/>
        <v>1310.4600000000009</v>
      </c>
      <c r="Y29" s="3"/>
      <c r="Z29" s="7">
        <f t="shared" si="7"/>
        <v>0.13677938132708764</v>
      </c>
    </row>
    <row r="30" spans="1:26" s="69" customFormat="1" ht="15" hidden="1" customHeight="1" outlineLevel="2" x14ac:dyDescent="0.3">
      <c r="A30" s="25"/>
      <c r="B30" s="12" t="str">
        <f>CONCATENATE("          ","6117"," - ","RETIREMENT STAFF HOURLY")</f>
        <v xml:space="preserve">          6117 - RETIREMENT STAFF HOURLY</v>
      </c>
      <c r="C30" s="12"/>
      <c r="D30" s="8">
        <v>559.08000000000004</v>
      </c>
      <c r="E30" s="3"/>
      <c r="F30" s="7">
        <f t="shared" si="0"/>
        <v>1.2446438162131176E-3</v>
      </c>
      <c r="G30" s="3"/>
      <c r="H30" s="8">
        <v>575.26</v>
      </c>
      <c r="I30" s="3"/>
      <c r="J30" s="7">
        <f t="shared" si="1"/>
        <v>0</v>
      </c>
      <c r="K30" s="3"/>
      <c r="L30" s="8">
        <f t="shared" si="2"/>
        <v>-16.17999999999995</v>
      </c>
      <c r="M30" s="3"/>
      <c r="N30" s="7">
        <f t="shared" si="3"/>
        <v>-2.8126412404825558E-2</v>
      </c>
      <c r="O30" s="12"/>
      <c r="P30" s="8">
        <v>4762.51</v>
      </c>
      <c r="Q30" s="3"/>
      <c r="R30" s="7">
        <f t="shared" si="4"/>
        <v>1.5135623322114404E-3</v>
      </c>
      <c r="S30" s="3"/>
      <c r="T30" s="8">
        <v>3675.1</v>
      </c>
      <c r="U30" s="3"/>
      <c r="V30" s="7">
        <f t="shared" si="5"/>
        <v>0.15544845765487744</v>
      </c>
      <c r="W30" s="3"/>
      <c r="X30" s="8">
        <f t="shared" si="6"/>
        <v>1087.4100000000003</v>
      </c>
      <c r="Y30" s="3"/>
      <c r="Z30" s="7">
        <f t="shared" si="7"/>
        <v>0.29588582623602089</v>
      </c>
    </row>
    <row r="31" spans="1:26" s="69" customFormat="1" ht="15" hidden="1" customHeight="1" outlineLevel="2" x14ac:dyDescent="0.3">
      <c r="A31" s="25"/>
      <c r="B31" s="12" t="str">
        <f>CONCATENATE("          ","6118"," - ","VACATION")</f>
        <v xml:space="preserve">          6118 - VACATION</v>
      </c>
      <c r="C31" s="12"/>
      <c r="D31" s="8">
        <v>1441.04</v>
      </c>
      <c r="E31" s="3"/>
      <c r="F31" s="7">
        <f t="shared" si="0"/>
        <v>3.2080945927519334E-3</v>
      </c>
      <c r="G31" s="3"/>
      <c r="H31" s="8">
        <v>1628.16</v>
      </c>
      <c r="I31" s="3"/>
      <c r="J31" s="7">
        <f t="shared" si="1"/>
        <v>0</v>
      </c>
      <c r="K31" s="3"/>
      <c r="L31" s="8">
        <f t="shared" si="2"/>
        <v>-187.12000000000012</v>
      </c>
      <c r="M31" s="3"/>
      <c r="N31" s="7">
        <f t="shared" si="3"/>
        <v>-0.1149272798742139</v>
      </c>
      <c r="O31" s="12"/>
      <c r="P31" s="8">
        <v>20393.66</v>
      </c>
      <c r="Q31" s="3"/>
      <c r="R31" s="7">
        <f t="shared" si="4"/>
        <v>6.4812621058910457E-3</v>
      </c>
      <c r="S31" s="3"/>
      <c r="T31" s="8">
        <v>16919.64</v>
      </c>
      <c r="U31" s="3"/>
      <c r="V31" s="7">
        <f t="shared" si="5"/>
        <v>0.71566268729443294</v>
      </c>
      <c r="W31" s="3"/>
      <c r="X31" s="8">
        <f t="shared" si="6"/>
        <v>3474.0200000000004</v>
      </c>
      <c r="Y31" s="3"/>
      <c r="Z31" s="7">
        <f t="shared" si="7"/>
        <v>0.20532469957989652</v>
      </c>
    </row>
    <row r="32" spans="1:26" s="69" customFormat="1" ht="15" hidden="1" customHeight="1" outlineLevel="2" x14ac:dyDescent="0.3">
      <c r="A32" s="25"/>
      <c r="B32" s="12" t="str">
        <f>CONCATENATE("          ","6119"," - ","SICK LEAVE")</f>
        <v xml:space="preserve">          6119 - SICK LEAVE</v>
      </c>
      <c r="C32" s="12"/>
      <c r="D32" s="8">
        <v>1429.52</v>
      </c>
      <c r="E32" s="3"/>
      <c r="F32" s="7">
        <f t="shared" si="0"/>
        <v>3.1824483582903623E-3</v>
      </c>
      <c r="G32" s="3"/>
      <c r="H32" s="8">
        <v>1214.78</v>
      </c>
      <c r="I32" s="3"/>
      <c r="J32" s="7">
        <f t="shared" si="1"/>
        <v>0</v>
      </c>
      <c r="K32" s="3"/>
      <c r="L32" s="8">
        <f t="shared" si="2"/>
        <v>214.74</v>
      </c>
      <c r="M32" s="3"/>
      <c r="N32" s="7">
        <f t="shared" si="3"/>
        <v>0.17677274897512307</v>
      </c>
      <c r="O32" s="12"/>
      <c r="P32" s="8">
        <v>18179.099999999999</v>
      </c>
      <c r="Q32" s="3"/>
      <c r="R32" s="7">
        <f t="shared" si="4"/>
        <v>5.7774578937377545E-3</v>
      </c>
      <c r="S32" s="3"/>
      <c r="T32" s="8">
        <v>11341.52</v>
      </c>
      <c r="U32" s="3"/>
      <c r="V32" s="7">
        <f t="shared" si="5"/>
        <v>0.47972076717965384</v>
      </c>
      <c r="W32" s="3"/>
      <c r="X32" s="8">
        <f t="shared" si="6"/>
        <v>6837.5799999999981</v>
      </c>
      <c r="Y32" s="3"/>
      <c r="Z32" s="7">
        <f t="shared" si="7"/>
        <v>0.6028803899300974</v>
      </c>
    </row>
    <row r="33" spans="1:26" s="69" customFormat="1" ht="15" hidden="1" customHeight="1" outlineLevel="2" x14ac:dyDescent="0.3">
      <c r="A33" s="25"/>
      <c r="B33" s="12" t="str">
        <f>CONCATENATE("          ","6156"," - ","EMPLOYEE MEALS")</f>
        <v xml:space="preserve">          6156 - EMPLOYEE MEALS</v>
      </c>
      <c r="C33" s="12"/>
      <c r="D33" s="8">
        <v>1390.66</v>
      </c>
      <c r="E33" s="3"/>
      <c r="F33" s="7">
        <f t="shared" si="0"/>
        <v>3.0959368416951672E-3</v>
      </c>
      <c r="G33" s="3"/>
      <c r="H33" s="8">
        <v>881.25</v>
      </c>
      <c r="I33" s="3"/>
      <c r="J33" s="7">
        <f t="shared" si="1"/>
        <v>0</v>
      </c>
      <c r="K33" s="3"/>
      <c r="L33" s="8">
        <f t="shared" si="2"/>
        <v>509.41000000000008</v>
      </c>
      <c r="M33" s="3"/>
      <c r="N33" s="7">
        <f t="shared" si="3"/>
        <v>0.57805390070921991</v>
      </c>
      <c r="O33" s="12"/>
      <c r="P33" s="8">
        <v>10353.89</v>
      </c>
      <c r="Q33" s="3"/>
      <c r="R33" s="7">
        <f t="shared" si="4"/>
        <v>3.2905459297430787E-3</v>
      </c>
      <c r="S33" s="3"/>
      <c r="T33" s="8">
        <v>7246.96</v>
      </c>
      <c r="U33" s="3"/>
      <c r="V33" s="7">
        <f t="shared" si="5"/>
        <v>0.30653009569442757</v>
      </c>
      <c r="W33" s="3"/>
      <c r="X33" s="8">
        <f t="shared" si="6"/>
        <v>3106.9299999999994</v>
      </c>
      <c r="Y33" s="3"/>
      <c r="Z33" s="7">
        <f t="shared" si="7"/>
        <v>0.42872183646660106</v>
      </c>
    </row>
    <row r="34" spans="1:26" s="68" customFormat="1" ht="15" customHeight="1" outlineLevel="1" collapsed="1" x14ac:dyDescent="0.3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88317.400000000009</v>
      </c>
      <c r="E34" s="2"/>
      <c r="F34" s="6">
        <f t="shared" si="0"/>
        <v>0.19661534265940545</v>
      </c>
      <c r="G34" s="2"/>
      <c r="H34" s="2">
        <f>SUM(OSRRefH22_1x_0)</f>
        <v>21046.940000000002</v>
      </c>
      <c r="I34" s="2"/>
      <c r="J34" s="6">
        <f t="shared" si="1"/>
        <v>0</v>
      </c>
      <c r="K34" s="2"/>
      <c r="L34" s="2">
        <f t="shared" si="2"/>
        <v>67270.460000000006</v>
      </c>
      <c r="M34" s="2"/>
      <c r="N34" s="6">
        <f t="shared" si="3"/>
        <v>3.1962109456291508</v>
      </c>
      <c r="O34" s="14"/>
      <c r="P34" s="2">
        <f>SUM(OSRRefP22_1x_0)</f>
        <v>608184.22000000009</v>
      </c>
      <c r="Q34" s="2"/>
      <c r="R34" s="6">
        <f t="shared" si="4"/>
        <v>0.19328562594879506</v>
      </c>
      <c r="S34" s="2"/>
      <c r="T34" s="2">
        <f>SUM(OSRRefT22_1x_0)</f>
        <v>200527.66999999998</v>
      </c>
      <c r="U34" s="2"/>
      <c r="V34" s="6">
        <f t="shared" si="5"/>
        <v>8.4818690698555788</v>
      </c>
      <c r="W34" s="2"/>
      <c r="X34" s="2">
        <f t="shared" si="6"/>
        <v>407656.5500000001</v>
      </c>
      <c r="Y34" s="2"/>
      <c r="Z34" s="6">
        <f t="shared" si="7"/>
        <v>2.0329191976349206</v>
      </c>
    </row>
    <row r="35" spans="1:26" s="69" customFormat="1" ht="15" hidden="1" customHeight="1" outlineLevel="2" x14ac:dyDescent="0.3">
      <c r="A35" s="25"/>
      <c r="B35" s="12" t="str">
        <f>CONCATENATE("          ","6002"," - ","STAFF SALARIES")</f>
        <v xml:space="preserve">          6002 - STAFF SALARIES</v>
      </c>
      <c r="C35" s="12"/>
      <c r="D35" s="8">
        <v>10762.11</v>
      </c>
      <c r="E35" s="3"/>
      <c r="F35" s="7">
        <f t="shared" si="0"/>
        <v>2.3958992739689051E-2</v>
      </c>
      <c r="G35" s="3"/>
      <c r="H35" s="8">
        <v>9349.92</v>
      </c>
      <c r="I35" s="3"/>
      <c r="J35" s="7">
        <f t="shared" si="1"/>
        <v>0</v>
      </c>
      <c r="K35" s="3"/>
      <c r="L35" s="8">
        <f t="shared" si="2"/>
        <v>1412.1900000000005</v>
      </c>
      <c r="M35" s="3"/>
      <c r="N35" s="7">
        <f t="shared" si="3"/>
        <v>0.15103765593716315</v>
      </c>
      <c r="O35" s="12"/>
      <c r="P35" s="8">
        <v>115003.61</v>
      </c>
      <c r="Q35" s="3"/>
      <c r="R35" s="7">
        <f t="shared" si="4"/>
        <v>3.6549032372495793E-2</v>
      </c>
      <c r="S35" s="3"/>
      <c r="T35" s="8">
        <v>83155.990000000005</v>
      </c>
      <c r="U35" s="3"/>
      <c r="V35" s="7">
        <f t="shared" si="5"/>
        <v>3.5173111997671938</v>
      </c>
      <c r="W35" s="3"/>
      <c r="X35" s="8">
        <f t="shared" si="6"/>
        <v>31847.619999999995</v>
      </c>
      <c r="Y35" s="3"/>
      <c r="Z35" s="7">
        <f t="shared" si="7"/>
        <v>0.38298648119035072</v>
      </c>
    </row>
    <row r="36" spans="1:26" s="69" customFormat="1" ht="15" hidden="1" customHeight="1" outlineLevel="2" x14ac:dyDescent="0.3">
      <c r="A36" s="25"/>
      <c r="B36" s="12" t="str">
        <f>CONCATENATE("          ","6004"," - ","STAFF HOURLY")</f>
        <v xml:space="preserve">          6004 - STAFF HOURLY</v>
      </c>
      <c r="C36" s="12"/>
      <c r="D36" s="8">
        <v>21343.42</v>
      </c>
      <c r="E36" s="3"/>
      <c r="F36" s="7">
        <f t="shared" si="0"/>
        <v>4.7515482077411776E-2</v>
      </c>
      <c r="G36" s="3"/>
      <c r="H36" s="8">
        <v>10857.02</v>
      </c>
      <c r="I36" s="3"/>
      <c r="J36" s="7">
        <f t="shared" si="1"/>
        <v>0</v>
      </c>
      <c r="K36" s="3"/>
      <c r="L36" s="8">
        <f t="shared" si="2"/>
        <v>10486.399999999998</v>
      </c>
      <c r="M36" s="3"/>
      <c r="N36" s="7">
        <f t="shared" si="3"/>
        <v>0.96586356108766469</v>
      </c>
      <c r="O36" s="12"/>
      <c r="P36" s="8">
        <v>207210.42</v>
      </c>
      <c r="Q36" s="3"/>
      <c r="R36" s="7">
        <f t="shared" si="4"/>
        <v>6.585306625155897E-2</v>
      </c>
      <c r="S36" s="3"/>
      <c r="T36" s="8">
        <v>114188.68</v>
      </c>
      <c r="U36" s="3"/>
      <c r="V36" s="7">
        <f t="shared" si="5"/>
        <v>4.8299241347572446</v>
      </c>
      <c r="W36" s="3"/>
      <c r="X36" s="8">
        <f t="shared" si="6"/>
        <v>93021.74000000002</v>
      </c>
      <c r="Y36" s="3"/>
      <c r="Z36" s="7">
        <f t="shared" si="7"/>
        <v>0.81463188820468035</v>
      </c>
    </row>
    <row r="37" spans="1:26" s="69" customFormat="1" ht="15" hidden="1" customHeight="1" outlineLevel="2" x14ac:dyDescent="0.3">
      <c r="A37" s="25"/>
      <c r="B37" s="12" t="str">
        <f>CONCATENATE("          ","6005"," - ","TEMPORARY WAGES-HOURLY")</f>
        <v xml:space="preserve">          6005 - TEMPORARY WAGES-HOURLY</v>
      </c>
      <c r="C37" s="12"/>
      <c r="D37" s="8">
        <v>6993.76</v>
      </c>
      <c r="E37" s="3"/>
      <c r="F37" s="7">
        <f t="shared" si="0"/>
        <v>1.5569757702079582E-2</v>
      </c>
      <c r="G37" s="3"/>
      <c r="H37" s="8"/>
      <c r="I37" s="3"/>
      <c r="J37" s="7">
        <f t="shared" si="1"/>
        <v>0</v>
      </c>
      <c r="K37" s="3"/>
      <c r="L37" s="8">
        <f t="shared" si="2"/>
        <v>6993.76</v>
      </c>
      <c r="M37" s="3"/>
      <c r="N37" s="7">
        <f t="shared" si="3"/>
        <v>0</v>
      </c>
      <c r="O37" s="12"/>
      <c r="P37" s="8">
        <v>93710.03</v>
      </c>
      <c r="Q37" s="3"/>
      <c r="R37" s="7">
        <f t="shared" si="4"/>
        <v>2.9781768764454888E-2</v>
      </c>
      <c r="S37" s="3"/>
      <c r="T37" s="8"/>
      <c r="U37" s="3"/>
      <c r="V37" s="7">
        <f t="shared" si="5"/>
        <v>0</v>
      </c>
      <c r="W37" s="3"/>
      <c r="X37" s="8">
        <f t="shared" si="6"/>
        <v>93710.03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5"/>
      <c r="B38" s="12" t="str">
        <f>CONCATENATE("          ","6006"," - ","TEMPORARY PART TIME")</f>
        <v xml:space="preserve">          6006 - TEMPORARY PART TIME</v>
      </c>
      <c r="C38" s="12"/>
      <c r="D38" s="8">
        <v>1379</v>
      </c>
      <c r="E38" s="3"/>
      <c r="F38" s="7">
        <f t="shared" si="0"/>
        <v>3.0699789342453479E-3</v>
      </c>
      <c r="G38" s="3"/>
      <c r="H38" s="8"/>
      <c r="I38" s="3"/>
      <c r="J38" s="7">
        <f t="shared" si="1"/>
        <v>0</v>
      </c>
      <c r="K38" s="3"/>
      <c r="L38" s="8">
        <f t="shared" si="2"/>
        <v>1379</v>
      </c>
      <c r="M38" s="3"/>
      <c r="N38" s="7">
        <f t="shared" si="3"/>
        <v>0</v>
      </c>
      <c r="O38" s="12"/>
      <c r="P38" s="8">
        <v>1379</v>
      </c>
      <c r="Q38" s="3"/>
      <c r="R38" s="7">
        <f t="shared" si="4"/>
        <v>4.3825681334413498E-4</v>
      </c>
      <c r="S38" s="3"/>
      <c r="T38" s="8"/>
      <c r="U38" s="3"/>
      <c r="V38" s="7">
        <f t="shared" si="5"/>
        <v>0</v>
      </c>
      <c r="W38" s="3"/>
      <c r="X38" s="8">
        <f t="shared" si="6"/>
        <v>1379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5"/>
      <c r="B39" s="12" t="str">
        <f>CONCATENATE("          ","6007"," - ","STUDENT HOURLY")</f>
        <v xml:space="preserve">          6007 - STUDENT HOURLY</v>
      </c>
      <c r="C39" s="12"/>
      <c r="D39" s="8">
        <v>33610.559999999998</v>
      </c>
      <c r="E39" s="3"/>
      <c r="F39" s="7">
        <f t="shared" si="0"/>
        <v>7.4825026227838515E-2</v>
      </c>
      <c r="G39" s="3"/>
      <c r="H39" s="8">
        <v>840</v>
      </c>
      <c r="I39" s="3"/>
      <c r="J39" s="7">
        <f t="shared" si="1"/>
        <v>0</v>
      </c>
      <c r="K39" s="3"/>
      <c r="L39" s="8">
        <f t="shared" si="2"/>
        <v>32770.559999999998</v>
      </c>
      <c r="M39" s="3"/>
      <c r="N39" s="7">
        <f t="shared" si="3"/>
        <v>39.012571428571427</v>
      </c>
      <c r="O39" s="12"/>
      <c r="P39" s="8">
        <v>135645.06</v>
      </c>
      <c r="Q39" s="3"/>
      <c r="R39" s="7">
        <f t="shared" si="4"/>
        <v>4.3109044047479325E-2</v>
      </c>
      <c r="S39" s="3"/>
      <c r="T39" s="8">
        <v>3183</v>
      </c>
      <c r="U39" s="3"/>
      <c r="V39" s="7">
        <f t="shared" si="5"/>
        <v>0.13463373533114062</v>
      </c>
      <c r="W39" s="3"/>
      <c r="X39" s="8">
        <f t="shared" si="6"/>
        <v>132462.06</v>
      </c>
      <c r="Y39" s="3"/>
      <c r="Z39" s="7">
        <f t="shared" si="7"/>
        <v>41.615475966069745</v>
      </c>
    </row>
    <row r="40" spans="1:26" s="69" customFormat="1" ht="15" hidden="1" customHeight="1" outlineLevel="2" x14ac:dyDescent="0.3">
      <c r="A40" s="25"/>
      <c r="B40" s="12" t="str">
        <f>CONCATENATE("          ","6008"," - ","STUDENT HOURLY-FICA EXEMPT")</f>
        <v xml:space="preserve">          6008 - STUDENT HOURLY-FICA EXEMPT</v>
      </c>
      <c r="C40" s="12"/>
      <c r="D40" s="8">
        <v>14228.55</v>
      </c>
      <c r="E40" s="3"/>
      <c r="F40" s="7">
        <f t="shared" si="0"/>
        <v>3.1676104978141148E-2</v>
      </c>
      <c r="G40" s="3"/>
      <c r="H40" s="8"/>
      <c r="I40" s="3"/>
      <c r="J40" s="7">
        <f t="shared" si="1"/>
        <v>0</v>
      </c>
      <c r="K40" s="3"/>
      <c r="L40" s="8">
        <f t="shared" si="2"/>
        <v>14228.55</v>
      </c>
      <c r="M40" s="3"/>
      <c r="N40" s="7">
        <f t="shared" si="3"/>
        <v>0</v>
      </c>
      <c r="O40" s="12"/>
      <c r="P40" s="8">
        <v>55236.1</v>
      </c>
      <c r="Q40" s="3"/>
      <c r="R40" s="7">
        <f t="shared" si="4"/>
        <v>1.7554457699461911E-2</v>
      </c>
      <c r="S40" s="3"/>
      <c r="T40" s="8"/>
      <c r="U40" s="3"/>
      <c r="V40" s="7">
        <f t="shared" si="5"/>
        <v>0</v>
      </c>
      <c r="W40" s="3"/>
      <c r="X40" s="8">
        <f t="shared" si="6"/>
        <v>55236.1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6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158.75</v>
      </c>
      <c r="E41" s="2"/>
      <c r="F41" s="6">
        <f t="shared" si="0"/>
        <v>3.5341490631722188E-4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158.75</v>
      </c>
      <c r="M41" s="2"/>
      <c r="N41" s="6">
        <f t="shared" si="3"/>
        <v>0</v>
      </c>
      <c r="O41" s="14"/>
      <c r="P41" s="2">
        <f>SUM(OSRRefP22_2x_0)</f>
        <v>1443.38</v>
      </c>
      <c r="Q41" s="2"/>
      <c r="R41" s="6">
        <f t="shared" si="4"/>
        <v>4.587172728387655E-4</v>
      </c>
      <c r="S41" s="2"/>
      <c r="T41" s="2">
        <f>SUM(OSRRefT22_2x_0)</f>
        <v>204.75</v>
      </c>
      <c r="U41" s="2"/>
      <c r="V41" s="6">
        <f t="shared" si="5"/>
        <v>8.660464124741139E-3</v>
      </c>
      <c r="W41" s="2"/>
      <c r="X41" s="2">
        <f t="shared" si="6"/>
        <v>1238.6300000000001</v>
      </c>
      <c r="Y41" s="2"/>
      <c r="Z41" s="6">
        <f t="shared" si="7"/>
        <v>6.0494749694749697</v>
      </c>
    </row>
    <row r="42" spans="1:26" s="69" customFormat="1" ht="15" hidden="1" customHeight="1" outlineLevel="2" x14ac:dyDescent="0.3">
      <c r="A42" s="25"/>
      <c r="B42" s="12" t="str">
        <f>CONCATENATE("          ","6362"," - ","ADVERTISING EXPENSE")</f>
        <v xml:space="preserve">          6362 - ADVERTISING EXPENSE</v>
      </c>
      <c r="C42" s="12"/>
      <c r="D42" s="8">
        <v>158.75</v>
      </c>
      <c r="E42" s="3"/>
      <c r="F42" s="7">
        <f t="shared" si="0"/>
        <v>3.5341490631722188E-4</v>
      </c>
      <c r="G42" s="3"/>
      <c r="H42" s="8"/>
      <c r="I42" s="3"/>
      <c r="J42" s="7">
        <f t="shared" si="1"/>
        <v>0</v>
      </c>
      <c r="K42" s="3"/>
      <c r="L42" s="8">
        <f t="shared" si="2"/>
        <v>158.75</v>
      </c>
      <c r="M42" s="3"/>
      <c r="N42" s="7">
        <f t="shared" si="3"/>
        <v>0</v>
      </c>
      <c r="O42" s="12"/>
      <c r="P42" s="8">
        <v>1443.38</v>
      </c>
      <c r="Q42" s="3"/>
      <c r="R42" s="7">
        <f t="shared" si="4"/>
        <v>4.587172728387655E-4</v>
      </c>
      <c r="S42" s="3"/>
      <c r="T42" s="8">
        <v>204.75</v>
      </c>
      <c r="U42" s="3"/>
      <c r="V42" s="7">
        <f t="shared" si="5"/>
        <v>8.660464124741139E-3</v>
      </c>
      <c r="W42" s="3"/>
      <c r="X42" s="8">
        <f t="shared" si="6"/>
        <v>1238.6300000000001</v>
      </c>
      <c r="Y42" s="3"/>
      <c r="Z42" s="7">
        <f t="shared" si="7"/>
        <v>6.0494749694749697</v>
      </c>
    </row>
    <row r="43" spans="1:26" s="68" customFormat="1" ht="15" customHeight="1" outlineLevel="1" collapsed="1" x14ac:dyDescent="0.3">
      <c r="A43" s="26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SUM(OSRRefP22_3x_0)</f>
        <v>-23.9</v>
      </c>
      <c r="Q43" s="2"/>
      <c r="R43" s="6">
        <f t="shared" si="4"/>
        <v>-7.5956039441079227E-6</v>
      </c>
      <c r="S43" s="2"/>
      <c r="T43" s="2">
        <f>SUM(OSRRefT22_3x_0)</f>
        <v>0</v>
      </c>
      <c r="U43" s="2"/>
      <c r="V43" s="6">
        <f t="shared" si="5"/>
        <v>0</v>
      </c>
      <c r="W43" s="2"/>
      <c r="X43" s="2">
        <f t="shared" si="6"/>
        <v>-23.9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5"/>
      <c r="B44" s="12" t="str">
        <f>CONCATENATE("          ","6272"," - ","CASH (OVER/SHORT)")</f>
        <v xml:space="preserve">          6272 - CASH (OVER/SHORT)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-23.9</v>
      </c>
      <c r="Q44" s="3"/>
      <c r="R44" s="7">
        <f t="shared" si="4"/>
        <v>-7.5956039441079227E-6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-23.9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6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142.9</v>
      </c>
      <c r="E45" s="2"/>
      <c r="F45" s="6">
        <f t="shared" si="0"/>
        <v>3.1812907157625832E-4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142.9</v>
      </c>
      <c r="M45" s="2"/>
      <c r="N45" s="6">
        <f t="shared" si="3"/>
        <v>0</v>
      </c>
      <c r="O45" s="14"/>
      <c r="P45" s="2">
        <f>SUM(OSRRefP22_4x_0)</f>
        <v>490.83</v>
      </c>
      <c r="Q45" s="2"/>
      <c r="R45" s="6">
        <f t="shared" si="4"/>
        <v>1.5598955162704988E-4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490.83</v>
      </c>
      <c r="Y45" s="2"/>
      <c r="Z45" s="6">
        <f t="shared" si="7"/>
        <v>0</v>
      </c>
    </row>
    <row r="46" spans="1:26" s="69" customFormat="1" ht="15" hidden="1" customHeight="1" outlineLevel="2" x14ac:dyDescent="0.3">
      <c r="A46" s="25"/>
      <c r="B46" s="12" t="str">
        <f>CONCATENATE("          ","6381"," - ","BANK/CREDIT CARD FEES")</f>
        <v xml:space="preserve">          6381 - BANK/CREDIT CARD FEES</v>
      </c>
      <c r="C46" s="12"/>
      <c r="D46" s="8">
        <v>142.9</v>
      </c>
      <c r="E46" s="3"/>
      <c r="F46" s="7">
        <f t="shared" si="0"/>
        <v>3.1812907157625832E-4</v>
      </c>
      <c r="G46" s="3"/>
      <c r="H46" s="8"/>
      <c r="I46" s="3"/>
      <c r="J46" s="7">
        <f t="shared" si="1"/>
        <v>0</v>
      </c>
      <c r="K46" s="3"/>
      <c r="L46" s="8">
        <f t="shared" si="2"/>
        <v>142.9</v>
      </c>
      <c r="M46" s="3"/>
      <c r="N46" s="7">
        <f t="shared" si="3"/>
        <v>0</v>
      </c>
      <c r="O46" s="12"/>
      <c r="P46" s="8">
        <v>490.83</v>
      </c>
      <c r="Q46" s="3"/>
      <c r="R46" s="7">
        <f t="shared" si="4"/>
        <v>1.5598955162704988E-4</v>
      </c>
      <c r="S46" s="3"/>
      <c r="T46" s="8"/>
      <c r="U46" s="3"/>
      <c r="V46" s="7">
        <f t="shared" si="5"/>
        <v>0</v>
      </c>
      <c r="W46" s="3"/>
      <c r="X46" s="8">
        <f t="shared" si="6"/>
        <v>490.83</v>
      </c>
      <c r="Y46" s="3"/>
      <c r="Z46" s="7">
        <f t="shared" si="7"/>
        <v>0</v>
      </c>
    </row>
    <row r="47" spans="1:26" s="68" customFormat="1" ht="15" customHeight="1" outlineLevel="1" collapsed="1" x14ac:dyDescent="0.3">
      <c r="A47" s="26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6.0889770725558023E-4</v>
      </c>
      <c r="G47" s="2"/>
      <c r="H47" s="2">
        <f>SUM(OSRRefH22_5x_0)</f>
        <v>272.74</v>
      </c>
      <c r="I47" s="2"/>
      <c r="J47" s="6">
        <f t="shared" si="1"/>
        <v>0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2461.59</v>
      </c>
      <c r="Q47" s="2"/>
      <c r="R47" s="6">
        <f t="shared" si="4"/>
        <v>7.8231224739651144E-4</v>
      </c>
      <c r="S47" s="2"/>
      <c r="T47" s="2">
        <f>SUM(OSRRefT22_5x_0)</f>
        <v>2190.44</v>
      </c>
      <c r="U47" s="2"/>
      <c r="V47" s="6">
        <f t="shared" si="5"/>
        <v>9.2650681501333237E-2</v>
      </c>
      <c r="W47" s="2"/>
      <c r="X47" s="2">
        <f t="shared" si="6"/>
        <v>271.15000000000009</v>
      </c>
      <c r="Y47" s="2"/>
      <c r="Z47" s="6">
        <f t="shared" si="7"/>
        <v>0.12378791475685254</v>
      </c>
    </row>
    <row r="48" spans="1:26" s="69" customFormat="1" ht="15" hidden="1" customHeight="1" outlineLevel="2" x14ac:dyDescent="0.3">
      <c r="A48" s="25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273.51</v>
      </c>
      <c r="E48" s="3"/>
      <c r="F48" s="7">
        <f t="shared" si="0"/>
        <v>6.0889770725558023E-4</v>
      </c>
      <c r="G48" s="3"/>
      <c r="H48" s="8">
        <v>272.74</v>
      </c>
      <c r="I48" s="3"/>
      <c r="J48" s="7">
        <f t="shared" si="1"/>
        <v>0</v>
      </c>
      <c r="K48" s="3"/>
      <c r="L48" s="8">
        <f t="shared" si="2"/>
        <v>0.76999999999998181</v>
      </c>
      <c r="M48" s="3"/>
      <c r="N48" s="7">
        <f t="shared" si="3"/>
        <v>2.8232015839260165E-3</v>
      </c>
      <c r="O48" s="12"/>
      <c r="P48" s="8">
        <v>2461.59</v>
      </c>
      <c r="Q48" s="3"/>
      <c r="R48" s="7">
        <f t="shared" si="4"/>
        <v>7.8231224739651144E-4</v>
      </c>
      <c r="S48" s="3"/>
      <c r="T48" s="8">
        <v>2190.44</v>
      </c>
      <c r="U48" s="3"/>
      <c r="V48" s="7">
        <f t="shared" si="5"/>
        <v>9.2650681501333237E-2</v>
      </c>
      <c r="W48" s="3"/>
      <c r="X48" s="8">
        <f t="shared" si="6"/>
        <v>271.15000000000009</v>
      </c>
      <c r="Y48" s="3"/>
      <c r="Z48" s="7">
        <f t="shared" si="7"/>
        <v>0.12378791475685254</v>
      </c>
    </row>
    <row r="49" spans="1:26" s="68" customFormat="1" ht="15" customHeight="1" outlineLevel="1" collapsed="1" x14ac:dyDescent="0.3">
      <c r="A49" s="26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3890.34</v>
      </c>
      <c r="E49" s="2"/>
      <c r="F49" s="6">
        <f t="shared" si="0"/>
        <v>8.6608135221552182E-3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3890.34</v>
      </c>
      <c r="M49" s="2"/>
      <c r="N49" s="6">
        <f t="shared" si="3"/>
        <v>0</v>
      </c>
      <c r="O49" s="14"/>
      <c r="P49" s="2">
        <f>SUM(OSRRefP22_6x_0)</f>
        <v>28703.77</v>
      </c>
      <c r="Q49" s="2"/>
      <c r="R49" s="6">
        <f t="shared" si="4"/>
        <v>9.1222790218730837E-3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28703.77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5"/>
      <c r="B50" s="12" t="str">
        <f>CONCATENATE("          ","6399"," - ","DONATION-ON CAMPUS")</f>
        <v xml:space="preserve">          6399 - DONATION-ON CAMPUS</v>
      </c>
      <c r="C50" s="12"/>
      <c r="D50" s="8">
        <v>3890.34</v>
      </c>
      <c r="E50" s="3"/>
      <c r="F50" s="7">
        <f t="shared" si="0"/>
        <v>8.6608135221552182E-3</v>
      </c>
      <c r="G50" s="3"/>
      <c r="H50" s="8"/>
      <c r="I50" s="3"/>
      <c r="J50" s="7">
        <f t="shared" si="1"/>
        <v>0</v>
      </c>
      <c r="K50" s="3"/>
      <c r="L50" s="8">
        <f t="shared" si="2"/>
        <v>3890.34</v>
      </c>
      <c r="M50" s="3"/>
      <c r="N50" s="7">
        <f t="shared" si="3"/>
        <v>0</v>
      </c>
      <c r="O50" s="12"/>
      <c r="P50" s="8">
        <v>28703.77</v>
      </c>
      <c r="Q50" s="3"/>
      <c r="R50" s="7">
        <f t="shared" si="4"/>
        <v>9.1222790218730837E-3</v>
      </c>
      <c r="S50" s="3"/>
      <c r="T50" s="8"/>
      <c r="U50" s="3"/>
      <c r="V50" s="7">
        <f t="shared" si="5"/>
        <v>0</v>
      </c>
      <c r="W50" s="3"/>
      <c r="X50" s="8">
        <f t="shared" si="6"/>
        <v>28703.77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6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0</v>
      </c>
      <c r="E51" s="2"/>
      <c r="F51" s="6">
        <f t="shared" si="0"/>
        <v>0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SUM(OSRRefP22_7x_0)</f>
        <v>34.47</v>
      </c>
      <c r="Q51" s="2"/>
      <c r="R51" s="6">
        <f t="shared" si="4"/>
        <v>1.0954831295121343E-5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34.47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5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34.47</v>
      </c>
      <c r="Q52" s="3"/>
      <c r="R52" s="7">
        <f t="shared" si="4"/>
        <v>1.0954831295121343E-5</v>
      </c>
      <c r="S52" s="3"/>
      <c r="T52" s="8"/>
      <c r="U52" s="3"/>
      <c r="V52" s="7">
        <f t="shared" si="5"/>
        <v>0</v>
      </c>
      <c r="W52" s="3"/>
      <c r="X52" s="8">
        <f t="shared" si="6"/>
        <v>34.47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6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218.38</v>
      </c>
      <c r="E53" s="2"/>
      <c r="F53" s="6">
        <f t="shared" si="0"/>
        <v>4.8616533695467661E-4</v>
      </c>
      <c r="G53" s="2"/>
      <c r="H53" s="2">
        <f>SUM(OSRRefH22_8x_0)</f>
        <v>207.89</v>
      </c>
      <c r="I53" s="2"/>
      <c r="J53" s="6">
        <f t="shared" si="1"/>
        <v>0</v>
      </c>
      <c r="K53" s="2"/>
      <c r="L53" s="2">
        <f t="shared" si="2"/>
        <v>10.490000000000009</v>
      </c>
      <c r="M53" s="2"/>
      <c r="N53" s="6">
        <f t="shared" si="3"/>
        <v>5.0459377555438022E-2</v>
      </c>
      <c r="O53" s="14"/>
      <c r="P53" s="2">
        <f>SUM(OSRRefP22_8x_0)</f>
        <v>6751.12</v>
      </c>
      <c r="Q53" s="2"/>
      <c r="R53" s="6">
        <f t="shared" si="4"/>
        <v>2.1455578953617524E-3</v>
      </c>
      <c r="S53" s="2"/>
      <c r="T53" s="2">
        <f>SUM(OSRRefT22_8x_0)</f>
        <v>1922.13</v>
      </c>
      <c r="U53" s="2"/>
      <c r="V53" s="6">
        <f t="shared" si="5"/>
        <v>8.1301772444877587E-2</v>
      </c>
      <c r="W53" s="2"/>
      <c r="X53" s="2">
        <f t="shared" si="6"/>
        <v>4828.99</v>
      </c>
      <c r="Y53" s="2"/>
      <c r="Z53" s="6">
        <f t="shared" si="7"/>
        <v>2.5123118623610261</v>
      </c>
    </row>
    <row r="54" spans="1:26" s="69" customFormat="1" ht="15" hidden="1" customHeight="1" outlineLevel="2" x14ac:dyDescent="0.3">
      <c r="A54" s="25"/>
      <c r="B54" s="12" t="str">
        <f>CONCATENATE("          ","6351"," - ","EQUIPMENT RENTAL")</f>
        <v xml:space="preserve">          6351 - EQUIPMENT RENTAL</v>
      </c>
      <c r="C54" s="12"/>
      <c r="D54" s="8">
        <v>218.38</v>
      </c>
      <c r="E54" s="3"/>
      <c r="F54" s="7">
        <f t="shared" si="0"/>
        <v>4.8616533695467661E-4</v>
      </c>
      <c r="G54" s="3"/>
      <c r="H54" s="8">
        <v>207.89</v>
      </c>
      <c r="I54" s="3"/>
      <c r="J54" s="7">
        <f t="shared" si="1"/>
        <v>0</v>
      </c>
      <c r="K54" s="3"/>
      <c r="L54" s="8">
        <f t="shared" si="2"/>
        <v>10.490000000000009</v>
      </c>
      <c r="M54" s="3"/>
      <c r="N54" s="7">
        <f t="shared" si="3"/>
        <v>5.0459377555438022E-2</v>
      </c>
      <c r="O54" s="12"/>
      <c r="P54" s="8">
        <v>6751.12</v>
      </c>
      <c r="Q54" s="3"/>
      <c r="R54" s="7">
        <f t="shared" si="4"/>
        <v>2.1455578953617524E-3</v>
      </c>
      <c r="S54" s="3"/>
      <c r="T54" s="8">
        <v>1922.13</v>
      </c>
      <c r="U54" s="3"/>
      <c r="V54" s="7">
        <f t="shared" si="5"/>
        <v>8.1301772444877587E-2</v>
      </c>
      <c r="W54" s="3"/>
      <c r="X54" s="8">
        <f t="shared" si="6"/>
        <v>4828.99</v>
      </c>
      <c r="Y54" s="3"/>
      <c r="Z54" s="7">
        <f t="shared" si="7"/>
        <v>2.5123118623610261</v>
      </c>
    </row>
    <row r="55" spans="1:26" s="68" customFormat="1" ht="15" customHeight="1" outlineLevel="1" collapsed="1" x14ac:dyDescent="0.3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1889.4</v>
      </c>
      <c r="E55" s="2"/>
      <c r="F55" s="6">
        <f t="shared" ref="F55:F76" si="8">IF(D$12=0,0,D55/D$12)</f>
        <v>4.206249599973285E-3</v>
      </c>
      <c r="G55" s="2"/>
      <c r="H55" s="2">
        <f>SUM(OSRRefH22_9x_0)</f>
        <v>0</v>
      </c>
      <c r="I55" s="2"/>
      <c r="J55" s="6">
        <f t="shared" ref="J55:J76" si="9">IF(H$12=0,0,H55/H$12)</f>
        <v>0</v>
      </c>
      <c r="K55" s="2"/>
      <c r="L55" s="2">
        <f t="shared" ref="L55:L76" si="10">+D55-H55</f>
        <v>1889.4</v>
      </c>
      <c r="M55" s="2"/>
      <c r="N55" s="6">
        <f t="shared" ref="N55:N76" si="11">IF(H55=0,0,L55/H55)</f>
        <v>0</v>
      </c>
      <c r="O55" s="14"/>
      <c r="P55" s="2">
        <f>SUM(OSRRefP22_9x_0)</f>
        <v>9954.27</v>
      </c>
      <c r="Q55" s="2"/>
      <c r="R55" s="6">
        <f t="shared" ref="R55:R76" si="12">IF(P$12=0,0,P55/P$12)</f>
        <v>3.1635436181052376E-3</v>
      </c>
      <c r="S55" s="2"/>
      <c r="T55" s="2">
        <f>SUM(OSRRefT22_9x_0)</f>
        <v>3828.45</v>
      </c>
      <c r="U55" s="2"/>
      <c r="V55" s="6">
        <f t="shared" ref="V55:V76" si="13">IF(T$12=0,0,T55/T$12)</f>
        <v>0.16193481747675317</v>
      </c>
      <c r="W55" s="2"/>
      <c r="X55" s="2">
        <f t="shared" ref="X55:X76" si="14">+P55-T55</f>
        <v>6125.8200000000006</v>
      </c>
      <c r="Y55" s="2"/>
      <c r="Z55" s="6">
        <f t="shared" ref="Z55:Z76" si="15">IF(T55=0,0,X55/T55)</f>
        <v>1.6000783606942759</v>
      </c>
    </row>
    <row r="56" spans="1:26" s="69" customFormat="1" ht="15" hidden="1" customHeight="1" outlineLevel="2" x14ac:dyDescent="0.3">
      <c r="A56" s="25"/>
      <c r="B56" s="12" t="str">
        <f>CONCATENATE("          ","6279"," - ","GENERAL EXPENSE")</f>
        <v xml:space="preserve">          6279 - GENERAL EXPENSE</v>
      </c>
      <c r="C56" s="12"/>
      <c r="D56" s="8">
        <v>1889.4</v>
      </c>
      <c r="E56" s="3"/>
      <c r="F56" s="7">
        <f t="shared" si="8"/>
        <v>4.206249599973285E-3</v>
      </c>
      <c r="G56" s="3"/>
      <c r="H56" s="8"/>
      <c r="I56" s="3"/>
      <c r="J56" s="7">
        <f t="shared" si="9"/>
        <v>0</v>
      </c>
      <c r="K56" s="3"/>
      <c r="L56" s="8">
        <f t="shared" si="10"/>
        <v>1889.4</v>
      </c>
      <c r="M56" s="3"/>
      <c r="N56" s="7">
        <f t="shared" si="11"/>
        <v>0</v>
      </c>
      <c r="O56" s="12"/>
      <c r="P56" s="8">
        <v>9954.27</v>
      </c>
      <c r="Q56" s="3"/>
      <c r="R56" s="7">
        <f t="shared" si="12"/>
        <v>3.1635436181052376E-3</v>
      </c>
      <c r="S56" s="3"/>
      <c r="T56" s="8">
        <v>3828.45</v>
      </c>
      <c r="U56" s="3"/>
      <c r="V56" s="7">
        <f t="shared" si="13"/>
        <v>0.16193481747675317</v>
      </c>
      <c r="W56" s="3"/>
      <c r="X56" s="8">
        <f t="shared" si="14"/>
        <v>6125.8200000000006</v>
      </c>
      <c r="Y56" s="3"/>
      <c r="Z56" s="7">
        <f t="shared" si="15"/>
        <v>1.6000783606942759</v>
      </c>
    </row>
    <row r="57" spans="1:26" s="68" customFormat="1" ht="15" customHeight="1" outlineLevel="1" collapsed="1" x14ac:dyDescent="0.3">
      <c r="A57" s="26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36858.17</v>
      </c>
      <c r="E57" s="2"/>
      <c r="F57" s="6">
        <f t="shared" si="8"/>
        <v>8.2054971323302278E-2</v>
      </c>
      <c r="G57" s="2"/>
      <c r="H57" s="2">
        <f>SUM(OSRRefH22_10x_0)</f>
        <v>0</v>
      </c>
      <c r="I57" s="2"/>
      <c r="J57" s="6">
        <f t="shared" si="9"/>
        <v>0</v>
      </c>
      <c r="K57" s="2"/>
      <c r="L57" s="2">
        <f t="shared" si="10"/>
        <v>36858.17</v>
      </c>
      <c r="M57" s="2"/>
      <c r="N57" s="6">
        <f t="shared" si="11"/>
        <v>0</v>
      </c>
      <c r="O57" s="14"/>
      <c r="P57" s="2">
        <f>SUM(OSRRefP22_10x_0)</f>
        <v>245848.02</v>
      </c>
      <c r="Q57" s="2"/>
      <c r="R57" s="6">
        <f t="shared" si="12"/>
        <v>7.8132392902222736E-2</v>
      </c>
      <c r="S57" s="2"/>
      <c r="T57" s="2">
        <f>SUM(OSRRefT22_10x_0)</f>
        <v>1899.35</v>
      </c>
      <c r="U57" s="2"/>
      <c r="V57" s="6">
        <f t="shared" si="13"/>
        <v>8.0338229720767179E-2</v>
      </c>
      <c r="W57" s="2"/>
      <c r="X57" s="2">
        <f t="shared" si="14"/>
        <v>243948.66999999998</v>
      </c>
      <c r="Y57" s="2"/>
      <c r="Z57" s="6">
        <f t="shared" si="15"/>
        <v>128.43797614973542</v>
      </c>
    </row>
    <row r="58" spans="1:26" s="69" customFormat="1" ht="15" hidden="1" customHeight="1" outlineLevel="2" x14ac:dyDescent="0.3">
      <c r="A58" s="25"/>
      <c r="B58" s="12" t="str">
        <f>CONCATENATE("          ","6387"," - ","COMMISSION DUE HOUSING")</f>
        <v xml:space="preserve">          6387 - COMMISSION DUE HOUSING</v>
      </c>
      <c r="C58" s="12"/>
      <c r="D58" s="8">
        <v>36858.17</v>
      </c>
      <c r="E58" s="3"/>
      <c r="F58" s="7">
        <f t="shared" si="8"/>
        <v>8.2054971323302278E-2</v>
      </c>
      <c r="G58" s="3"/>
      <c r="H58" s="8"/>
      <c r="I58" s="3"/>
      <c r="J58" s="7">
        <f t="shared" si="9"/>
        <v>0</v>
      </c>
      <c r="K58" s="3"/>
      <c r="L58" s="8">
        <f t="shared" si="10"/>
        <v>36858.17</v>
      </c>
      <c r="M58" s="3"/>
      <c r="N58" s="7">
        <f t="shared" si="11"/>
        <v>0</v>
      </c>
      <c r="O58" s="12"/>
      <c r="P58" s="8">
        <v>245848.02</v>
      </c>
      <c r="Q58" s="3"/>
      <c r="R58" s="7">
        <f t="shared" si="12"/>
        <v>7.8132392902222736E-2</v>
      </c>
      <c r="S58" s="3"/>
      <c r="T58" s="8">
        <v>1899.35</v>
      </c>
      <c r="U58" s="3"/>
      <c r="V58" s="7">
        <f t="shared" si="13"/>
        <v>8.0338229720767179E-2</v>
      </c>
      <c r="W58" s="3"/>
      <c r="X58" s="8">
        <f t="shared" si="14"/>
        <v>243948.66999999998</v>
      </c>
      <c r="Y58" s="3"/>
      <c r="Z58" s="7">
        <f t="shared" si="15"/>
        <v>128.43797614973542</v>
      </c>
    </row>
    <row r="59" spans="1:26" s="68" customFormat="1" ht="15" customHeight="1" outlineLevel="1" collapsed="1" x14ac:dyDescent="0.3">
      <c r="A59" s="26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180.87</v>
      </c>
      <c r="E59" s="2"/>
      <c r="F59" s="6">
        <f t="shared" si="8"/>
        <v>4.0265923846044674E-4</v>
      </c>
      <c r="G59" s="2"/>
      <c r="H59" s="2">
        <f>SUM(OSRRefH22_11x_0)</f>
        <v>84.4</v>
      </c>
      <c r="I59" s="2"/>
      <c r="J59" s="6">
        <f t="shared" si="9"/>
        <v>0</v>
      </c>
      <c r="K59" s="2"/>
      <c r="L59" s="2">
        <f t="shared" si="10"/>
        <v>96.47</v>
      </c>
      <c r="M59" s="2"/>
      <c r="N59" s="6">
        <f t="shared" si="11"/>
        <v>1.1430094786729856</v>
      </c>
      <c r="O59" s="14"/>
      <c r="P59" s="2">
        <f>SUM(OSRRefP22_11x_0)</f>
        <v>2883.42</v>
      </c>
      <c r="Q59" s="2"/>
      <c r="R59" s="6">
        <f t="shared" si="12"/>
        <v>9.1637306797153427E-4</v>
      </c>
      <c r="S59" s="2"/>
      <c r="T59" s="2">
        <f>SUM(OSRRefT22_11x_0)</f>
        <v>1345.25</v>
      </c>
      <c r="U59" s="2"/>
      <c r="V59" s="6">
        <f t="shared" si="13"/>
        <v>5.6901046953885308E-2</v>
      </c>
      <c r="W59" s="2"/>
      <c r="X59" s="2">
        <f t="shared" si="14"/>
        <v>1538.17</v>
      </c>
      <c r="Y59" s="2"/>
      <c r="Z59" s="6">
        <f t="shared" si="15"/>
        <v>1.1434082884222263</v>
      </c>
    </row>
    <row r="60" spans="1:26" s="69" customFormat="1" ht="15" hidden="1" customHeight="1" outlineLevel="2" x14ac:dyDescent="0.3">
      <c r="A60" s="25"/>
      <c r="B60" s="12" t="str">
        <f>CONCATENATE("          ","6373"," - ","MAINTENANCE CONTRACTS")</f>
        <v xml:space="preserve">          6373 - MAINTENANCE CONTRACTS</v>
      </c>
      <c r="C60" s="12"/>
      <c r="D60" s="8">
        <v>87.37</v>
      </c>
      <c r="E60" s="3"/>
      <c r="F60" s="7">
        <f t="shared" si="8"/>
        <v>1.9450620702321687E-4</v>
      </c>
      <c r="G60" s="3"/>
      <c r="H60" s="8">
        <v>84.4</v>
      </c>
      <c r="I60" s="3"/>
      <c r="J60" s="7">
        <f t="shared" si="9"/>
        <v>0</v>
      </c>
      <c r="K60" s="3"/>
      <c r="L60" s="8">
        <f t="shared" si="10"/>
        <v>2.9699999999999989</v>
      </c>
      <c r="M60" s="3"/>
      <c r="N60" s="7">
        <f t="shared" si="11"/>
        <v>3.5189573459715622E-2</v>
      </c>
      <c r="O60" s="12"/>
      <c r="P60" s="8">
        <v>277.57</v>
      </c>
      <c r="Q60" s="3"/>
      <c r="R60" s="7">
        <f t="shared" si="12"/>
        <v>8.8213882291465951E-5</v>
      </c>
      <c r="S60" s="3"/>
      <c r="T60" s="8">
        <v>1326.25</v>
      </c>
      <c r="U60" s="3"/>
      <c r="V60" s="7">
        <f t="shared" si="13"/>
        <v>5.6097389721308594E-2</v>
      </c>
      <c r="W60" s="3"/>
      <c r="X60" s="8">
        <f t="shared" si="14"/>
        <v>-1048.68</v>
      </c>
      <c r="Y60" s="3"/>
      <c r="Z60" s="7">
        <f t="shared" si="15"/>
        <v>-0.79071065032987753</v>
      </c>
    </row>
    <row r="61" spans="1:26" s="69" customFormat="1" ht="15" hidden="1" customHeight="1" outlineLevel="2" x14ac:dyDescent="0.3">
      <c r="A61" s="25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93.5</v>
      </c>
      <c r="E61" s="3"/>
      <c r="F61" s="7">
        <f t="shared" si="8"/>
        <v>2.0815303143722989E-4</v>
      </c>
      <c r="G61" s="3"/>
      <c r="H61" s="8"/>
      <c r="I61" s="3"/>
      <c r="J61" s="7">
        <f t="shared" si="9"/>
        <v>0</v>
      </c>
      <c r="K61" s="3"/>
      <c r="L61" s="8">
        <f t="shared" si="10"/>
        <v>93.5</v>
      </c>
      <c r="M61" s="3"/>
      <c r="N61" s="7">
        <f t="shared" si="11"/>
        <v>0</v>
      </c>
      <c r="O61" s="12"/>
      <c r="P61" s="8">
        <v>2605.85</v>
      </c>
      <c r="Q61" s="3"/>
      <c r="R61" s="7">
        <f t="shared" si="12"/>
        <v>8.281591856800683E-4</v>
      </c>
      <c r="S61" s="3"/>
      <c r="T61" s="8">
        <v>19</v>
      </c>
      <c r="U61" s="3"/>
      <c r="V61" s="7">
        <f t="shared" si="13"/>
        <v>8.036572325767113E-4</v>
      </c>
      <c r="W61" s="3"/>
      <c r="X61" s="8">
        <f t="shared" si="14"/>
        <v>2586.85</v>
      </c>
      <c r="Y61" s="3"/>
      <c r="Z61" s="7">
        <f t="shared" si="15"/>
        <v>136.15</v>
      </c>
    </row>
    <row r="62" spans="1:26" s="68" customFormat="1" ht="15" customHeight="1" outlineLevel="1" collapsed="1" x14ac:dyDescent="0.3">
      <c r="A62" s="26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7599.119999999999</v>
      </c>
      <c r="E62" s="2"/>
      <c r="F62" s="6">
        <f t="shared" si="8"/>
        <v>1.691743170326505E-2</v>
      </c>
      <c r="G62" s="2"/>
      <c r="H62" s="2">
        <f>SUM(OSRRefH22_12x_0)</f>
        <v>5301.73</v>
      </c>
      <c r="I62" s="2"/>
      <c r="J62" s="6">
        <f t="shared" si="9"/>
        <v>0</v>
      </c>
      <c r="K62" s="2"/>
      <c r="L62" s="2">
        <f t="shared" si="10"/>
        <v>2297.3899999999994</v>
      </c>
      <c r="M62" s="2"/>
      <c r="N62" s="6">
        <f t="shared" si="11"/>
        <v>0.4333283664011558</v>
      </c>
      <c r="O62" s="14"/>
      <c r="P62" s="2">
        <f>SUM(OSRRefP22_12x_0)</f>
        <v>51760.88</v>
      </c>
      <c r="Q62" s="2"/>
      <c r="R62" s="6">
        <f t="shared" si="12"/>
        <v>1.6450006036757194E-2</v>
      </c>
      <c r="S62" s="2"/>
      <c r="T62" s="2">
        <f>SUM(OSRRefT22_12x_0)</f>
        <v>51458.790000000008</v>
      </c>
      <c r="U62" s="2"/>
      <c r="V62" s="6">
        <f t="shared" si="13"/>
        <v>2.1765909875340079</v>
      </c>
      <c r="W62" s="2"/>
      <c r="X62" s="2">
        <f t="shared" si="14"/>
        <v>302.08999999998923</v>
      </c>
      <c r="Y62" s="2"/>
      <c r="Z62" s="6">
        <f t="shared" si="15"/>
        <v>5.8705228008662695E-3</v>
      </c>
    </row>
    <row r="63" spans="1:26" s="69" customFormat="1" ht="15" hidden="1" customHeight="1" outlineLevel="2" x14ac:dyDescent="0.3">
      <c r="A63" s="25"/>
      <c r="B63" s="12" t="str">
        <f>CONCATENATE("          ","6282"," - ","JANITORIAL/EXTERMINATOR EXPENS")</f>
        <v xml:space="preserve">          6282 - JANITORIAL/EXTERMINATOR EXPENS</v>
      </c>
      <c r="C63" s="12"/>
      <c r="D63" s="8">
        <v>909.9</v>
      </c>
      <c r="E63" s="3"/>
      <c r="F63" s="7">
        <f t="shared" si="8"/>
        <v>2.0256518000506467E-3</v>
      </c>
      <c r="G63" s="3"/>
      <c r="H63" s="8">
        <v>417.32</v>
      </c>
      <c r="I63" s="3"/>
      <c r="J63" s="7">
        <f t="shared" si="9"/>
        <v>0</v>
      </c>
      <c r="K63" s="3"/>
      <c r="L63" s="8">
        <f t="shared" si="10"/>
        <v>492.58</v>
      </c>
      <c r="M63" s="3"/>
      <c r="N63" s="7">
        <f t="shared" si="11"/>
        <v>1.1803412249592637</v>
      </c>
      <c r="O63" s="12"/>
      <c r="P63" s="8">
        <v>4323.92</v>
      </c>
      <c r="Q63" s="3"/>
      <c r="R63" s="7">
        <f t="shared" si="12"/>
        <v>1.37417505464465E-3</v>
      </c>
      <c r="S63" s="3"/>
      <c r="T63" s="8">
        <v>3426.94</v>
      </c>
      <c r="U63" s="3"/>
      <c r="V63" s="7">
        <f t="shared" si="13"/>
        <v>0.14495184824244395</v>
      </c>
      <c r="W63" s="3"/>
      <c r="X63" s="8">
        <f t="shared" si="14"/>
        <v>896.98</v>
      </c>
      <c r="Y63" s="3"/>
      <c r="Z63" s="7">
        <f t="shared" si="15"/>
        <v>0.26174371305012634</v>
      </c>
    </row>
    <row r="64" spans="1:26" s="69" customFormat="1" ht="15" hidden="1" customHeight="1" outlineLevel="2" x14ac:dyDescent="0.3">
      <c r="A64" s="25"/>
      <c r="B64" s="12" t="str">
        <f>CONCATENATE("          ","6285"," - ","JANITORIAL SERVICES")</f>
        <v xml:space="preserve">          6285 - JANITORIAL SERVICES</v>
      </c>
      <c r="C64" s="12"/>
      <c r="D64" s="8">
        <v>4428.8599999999997</v>
      </c>
      <c r="E64" s="3"/>
      <c r="F64" s="7">
        <f t="shared" si="8"/>
        <v>9.8596859338084489E-3</v>
      </c>
      <c r="G64" s="3"/>
      <c r="H64" s="8">
        <v>4532.4799999999996</v>
      </c>
      <c r="I64" s="3"/>
      <c r="J64" s="7">
        <f t="shared" si="9"/>
        <v>0</v>
      </c>
      <c r="K64" s="3"/>
      <c r="L64" s="8">
        <f t="shared" si="10"/>
        <v>-103.61999999999989</v>
      </c>
      <c r="M64" s="3"/>
      <c r="N64" s="7">
        <f t="shared" si="11"/>
        <v>-2.2861656311776314E-2</v>
      </c>
      <c r="O64" s="12"/>
      <c r="P64" s="8">
        <v>40342.74</v>
      </c>
      <c r="Q64" s="3"/>
      <c r="R64" s="7">
        <f t="shared" si="12"/>
        <v>1.2821233266113827E-2</v>
      </c>
      <c r="S64" s="3"/>
      <c r="T64" s="8">
        <v>42489.55</v>
      </c>
      <c r="U64" s="3"/>
      <c r="V64" s="7">
        <f t="shared" si="13"/>
        <v>1.7972123245489371</v>
      </c>
      <c r="W64" s="3"/>
      <c r="X64" s="8">
        <f t="shared" si="14"/>
        <v>-2146.8100000000049</v>
      </c>
      <c r="Y64" s="3"/>
      <c r="Z64" s="7">
        <f t="shared" si="15"/>
        <v>-5.0525599823956824E-2</v>
      </c>
    </row>
    <row r="65" spans="1:26" s="69" customFormat="1" ht="15" hidden="1" customHeight="1" outlineLevel="2" x14ac:dyDescent="0.3">
      <c r="A65" s="25"/>
      <c r="B65" s="12" t="str">
        <f>CONCATENATE("          ","6286"," - ","LAUNDRY EXPENSE")</f>
        <v xml:space="preserve">          6286 - LAUNDRY EXPENSE</v>
      </c>
      <c r="C65" s="12"/>
      <c r="D65" s="8">
        <v>2260.36</v>
      </c>
      <c r="E65" s="3"/>
      <c r="F65" s="7">
        <f t="shared" si="8"/>
        <v>5.0320939694059571E-3</v>
      </c>
      <c r="G65" s="3"/>
      <c r="H65" s="8">
        <v>351.93</v>
      </c>
      <c r="I65" s="3"/>
      <c r="J65" s="7">
        <f t="shared" si="9"/>
        <v>0</v>
      </c>
      <c r="K65" s="3"/>
      <c r="L65" s="8">
        <f t="shared" si="10"/>
        <v>1908.43</v>
      </c>
      <c r="M65" s="3"/>
      <c r="N65" s="7">
        <f t="shared" si="11"/>
        <v>5.422754525047595</v>
      </c>
      <c r="O65" s="12"/>
      <c r="P65" s="8">
        <v>7094.22</v>
      </c>
      <c r="Q65" s="3"/>
      <c r="R65" s="7">
        <f t="shared" si="12"/>
        <v>2.2545977159987162E-3</v>
      </c>
      <c r="S65" s="3"/>
      <c r="T65" s="8">
        <v>5542.3</v>
      </c>
      <c r="U65" s="3"/>
      <c r="V65" s="7">
        <f t="shared" si="13"/>
        <v>0.23442681474262669</v>
      </c>
      <c r="W65" s="3"/>
      <c r="X65" s="8">
        <f t="shared" si="14"/>
        <v>1551.92</v>
      </c>
      <c r="Y65" s="3"/>
      <c r="Z65" s="7">
        <f t="shared" si="15"/>
        <v>0.28001371271854647</v>
      </c>
    </row>
    <row r="66" spans="1:26" s="68" customFormat="1" ht="15" customHeight="1" outlineLevel="1" collapsed="1" x14ac:dyDescent="0.3">
      <c r="A66" s="26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SUM(OSRRefD22_13x_0)</f>
        <v>8680.3499999999985</v>
      </c>
      <c r="E66" s="2"/>
      <c r="F66" s="6">
        <f t="shared" si="8"/>
        <v>1.9324504453862655E-2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8680.3499999999985</v>
      </c>
      <c r="M66" s="2"/>
      <c r="N66" s="6">
        <f t="shared" si="11"/>
        <v>0</v>
      </c>
      <c r="O66" s="14"/>
      <c r="P66" s="2">
        <f>SUM(OSRRefP22_13x_0)</f>
        <v>64401.079999999994</v>
      </c>
      <c r="Q66" s="2"/>
      <c r="R66" s="6">
        <f t="shared" si="12"/>
        <v>2.0467158880870705E-2</v>
      </c>
      <c r="S66" s="2"/>
      <c r="T66" s="2">
        <f>SUM(OSRRefT22_13x_0)</f>
        <v>10125.33</v>
      </c>
      <c r="U66" s="2"/>
      <c r="V66" s="6">
        <f t="shared" si="13"/>
        <v>0.42827866772241852</v>
      </c>
      <c r="W66" s="2"/>
      <c r="X66" s="2">
        <f t="shared" si="14"/>
        <v>54275.749999999993</v>
      </c>
      <c r="Y66" s="2"/>
      <c r="Z66" s="6">
        <f t="shared" si="15"/>
        <v>5.3603931921231203</v>
      </c>
    </row>
    <row r="67" spans="1:26" s="69" customFormat="1" ht="15" hidden="1" customHeight="1" outlineLevel="2" x14ac:dyDescent="0.3">
      <c r="A67" s="25"/>
      <c r="B67" s="12" t="str">
        <f>CONCATENATE("          ","6234"," - ","EXPENDABLE SUPPLIES &amp; EQUIPMEN")</f>
        <v xml:space="preserve">          6234 - EXPENDABLE SUPPLIES &amp; EQUIPMEN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21.98</v>
      </c>
      <c r="Q67" s="3"/>
      <c r="R67" s="7">
        <f t="shared" si="12"/>
        <v>6.9854131670080401E-6</v>
      </c>
      <c r="S67" s="3"/>
      <c r="T67" s="8"/>
      <c r="U67" s="3"/>
      <c r="V67" s="7">
        <f t="shared" si="13"/>
        <v>0</v>
      </c>
      <c r="W67" s="3"/>
      <c r="X67" s="8">
        <f t="shared" si="14"/>
        <v>21.98</v>
      </c>
      <c r="Y67" s="3"/>
      <c r="Z67" s="7">
        <f t="shared" si="15"/>
        <v>0</v>
      </c>
    </row>
    <row r="68" spans="1:26" s="69" customFormat="1" ht="15" hidden="1" customHeight="1" outlineLevel="2" x14ac:dyDescent="0.3">
      <c r="A68" s="25"/>
      <c r="B68" s="12" t="str">
        <f>CONCATENATE("          ","6235"," - ","COVID-19 EXPENSES")</f>
        <v xml:space="preserve">          6235 - COVID-19 EXPENSES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1375.08</v>
      </c>
      <c r="U68" s="3"/>
      <c r="V68" s="7">
        <f t="shared" si="13"/>
        <v>5.8162788809030738E-2</v>
      </c>
      <c r="W68" s="3"/>
      <c r="X68" s="8">
        <f t="shared" si="14"/>
        <v>-1375.08</v>
      </c>
      <c r="Y68" s="3"/>
      <c r="Z68" s="7">
        <f t="shared" si="15"/>
        <v>-1</v>
      </c>
    </row>
    <row r="69" spans="1:26" s="69" customFormat="1" ht="15" hidden="1" customHeight="1" outlineLevel="2" x14ac:dyDescent="0.3">
      <c r="A69" s="25"/>
      <c r="B69" s="12" t="str">
        <f>CONCATENATE("          ","6237"," - ","JANITORIAL SUPPLIES")</f>
        <v xml:space="preserve">          6237 - JANITORIAL SUPPLIES</v>
      </c>
      <c r="C69" s="12"/>
      <c r="D69" s="8">
        <v>1616.28</v>
      </c>
      <c r="E69" s="3"/>
      <c r="F69" s="7">
        <f t="shared" si="8"/>
        <v>3.5982201246135392E-3</v>
      </c>
      <c r="G69" s="3"/>
      <c r="H69" s="8"/>
      <c r="I69" s="3"/>
      <c r="J69" s="7">
        <f t="shared" si="9"/>
        <v>0</v>
      </c>
      <c r="K69" s="3"/>
      <c r="L69" s="8">
        <f t="shared" si="10"/>
        <v>1616.28</v>
      </c>
      <c r="M69" s="3"/>
      <c r="N69" s="7">
        <f t="shared" si="11"/>
        <v>0</v>
      </c>
      <c r="O69" s="12"/>
      <c r="P69" s="8">
        <v>10712.1</v>
      </c>
      <c r="Q69" s="3"/>
      <c r="R69" s="7">
        <f t="shared" si="12"/>
        <v>3.4043878246727403E-3</v>
      </c>
      <c r="S69" s="3"/>
      <c r="T69" s="8">
        <v>4689.93</v>
      </c>
      <c r="U69" s="3"/>
      <c r="V69" s="7">
        <f t="shared" si="13"/>
        <v>0.19837348235676294</v>
      </c>
      <c r="W69" s="3"/>
      <c r="X69" s="8">
        <f t="shared" si="14"/>
        <v>6022.17</v>
      </c>
      <c r="Y69" s="3"/>
      <c r="Z69" s="7">
        <f t="shared" si="15"/>
        <v>1.2840639412528545</v>
      </c>
    </row>
    <row r="70" spans="1:26" s="69" customFormat="1" ht="15" hidden="1" customHeight="1" outlineLevel="2" x14ac:dyDescent="0.3">
      <c r="A70" s="25"/>
      <c r="B70" s="12" t="str">
        <f>CONCATENATE("          ","6239"," - ","KITCHEN SUPPLIES")</f>
        <v xml:space="preserve">          6239 - KITCHEN SUPPLIES</v>
      </c>
      <c r="C70" s="12"/>
      <c r="D70" s="8">
        <v>1109.79</v>
      </c>
      <c r="E70" s="3"/>
      <c r="F70" s="7">
        <f t="shared" si="8"/>
        <v>2.4706540402002499E-3</v>
      </c>
      <c r="G70" s="3"/>
      <c r="H70" s="8"/>
      <c r="I70" s="3"/>
      <c r="J70" s="7">
        <f t="shared" si="9"/>
        <v>0</v>
      </c>
      <c r="K70" s="3"/>
      <c r="L70" s="8">
        <f t="shared" si="10"/>
        <v>1109.79</v>
      </c>
      <c r="M70" s="3"/>
      <c r="N70" s="7">
        <f t="shared" si="11"/>
        <v>0</v>
      </c>
      <c r="O70" s="12"/>
      <c r="P70" s="8">
        <v>8901.3799999999992</v>
      </c>
      <c r="Q70" s="3"/>
      <c r="R70" s="7">
        <f t="shared" si="12"/>
        <v>2.8289270726361247E-3</v>
      </c>
      <c r="S70" s="3"/>
      <c r="T70" s="8">
        <v>1031.07</v>
      </c>
      <c r="U70" s="3"/>
      <c r="V70" s="7">
        <f t="shared" si="13"/>
        <v>4.3611940146993135E-2</v>
      </c>
      <c r="W70" s="3"/>
      <c r="X70" s="8">
        <f t="shared" si="14"/>
        <v>7870.3099999999995</v>
      </c>
      <c r="Y70" s="3"/>
      <c r="Z70" s="7">
        <f t="shared" si="15"/>
        <v>7.6331480888785439</v>
      </c>
    </row>
    <row r="71" spans="1:26" s="69" customFormat="1" ht="15" hidden="1" customHeight="1" outlineLevel="2" x14ac:dyDescent="0.3">
      <c r="A71" s="25"/>
      <c r="B71" s="12" t="str">
        <f>CONCATENATE("          ","6241"," - ","OFFICE EXPENSE")</f>
        <v xml:space="preserve">          6241 - OFFICE EXPENSE</v>
      </c>
      <c r="C71" s="12"/>
      <c r="D71" s="8">
        <v>670.42</v>
      </c>
      <c r="E71" s="3"/>
      <c r="F71" s="7">
        <f t="shared" si="8"/>
        <v>1.4925128912956968E-3</v>
      </c>
      <c r="G71" s="3"/>
      <c r="H71" s="8"/>
      <c r="I71" s="3"/>
      <c r="J71" s="7">
        <f t="shared" si="9"/>
        <v>0</v>
      </c>
      <c r="K71" s="3"/>
      <c r="L71" s="8">
        <f t="shared" si="10"/>
        <v>670.42</v>
      </c>
      <c r="M71" s="3"/>
      <c r="N71" s="7">
        <f t="shared" si="11"/>
        <v>0</v>
      </c>
      <c r="O71" s="12"/>
      <c r="P71" s="8">
        <v>4254.41</v>
      </c>
      <c r="Q71" s="3"/>
      <c r="R71" s="7">
        <f t="shared" si="12"/>
        <v>1.3520842416674557E-3</v>
      </c>
      <c r="S71" s="3"/>
      <c r="T71" s="8">
        <v>19.7</v>
      </c>
      <c r="U71" s="3"/>
      <c r="V71" s="7">
        <f t="shared" si="13"/>
        <v>8.3326565693480064E-4</v>
      </c>
      <c r="W71" s="3"/>
      <c r="X71" s="8">
        <f t="shared" si="14"/>
        <v>4234.71</v>
      </c>
      <c r="Y71" s="3"/>
      <c r="Z71" s="7">
        <f t="shared" si="15"/>
        <v>214.95989847715737</v>
      </c>
    </row>
    <row r="72" spans="1:26" s="69" customFormat="1" ht="15" hidden="1" customHeight="1" outlineLevel="2" x14ac:dyDescent="0.3">
      <c r="A72" s="25"/>
      <c r="B72" s="12" t="str">
        <f>CONCATENATE("          ","6243"," - ","PAPER SUPPLIES")</f>
        <v xml:space="preserve">          6243 - PAPER SUPPLIES</v>
      </c>
      <c r="C72" s="12"/>
      <c r="D72" s="8">
        <v>5204.4799999999996</v>
      </c>
      <c r="E72" s="3"/>
      <c r="F72" s="7">
        <f t="shared" si="8"/>
        <v>1.1586398813416408E-2</v>
      </c>
      <c r="G72" s="3"/>
      <c r="H72" s="8"/>
      <c r="I72" s="3"/>
      <c r="J72" s="7">
        <f t="shared" si="9"/>
        <v>0</v>
      </c>
      <c r="K72" s="3"/>
      <c r="L72" s="8">
        <f t="shared" si="10"/>
        <v>5204.4799999999996</v>
      </c>
      <c r="M72" s="3"/>
      <c r="N72" s="7">
        <f t="shared" si="11"/>
        <v>0</v>
      </c>
      <c r="O72" s="12"/>
      <c r="P72" s="8">
        <v>38059.39</v>
      </c>
      <c r="Q72" s="3"/>
      <c r="R72" s="7">
        <f t="shared" si="12"/>
        <v>1.2095567062524756E-2</v>
      </c>
      <c r="S72" s="3"/>
      <c r="T72" s="8">
        <v>3009.55</v>
      </c>
      <c r="U72" s="3"/>
      <c r="V72" s="7">
        <f t="shared" si="13"/>
        <v>0.12729719075269691</v>
      </c>
      <c r="W72" s="3"/>
      <c r="X72" s="8">
        <f t="shared" si="14"/>
        <v>35049.839999999997</v>
      </c>
      <c r="Y72" s="3"/>
      <c r="Z72" s="7">
        <f t="shared" si="15"/>
        <v>11.646206243458323</v>
      </c>
    </row>
    <row r="73" spans="1:26" s="69" customFormat="1" ht="15" hidden="1" customHeight="1" outlineLevel="2" x14ac:dyDescent="0.3">
      <c r="A73" s="25"/>
      <c r="B73" s="12" t="str">
        <f>CONCATENATE("          ","6247"," - ","STORE SUPPLIES")</f>
        <v xml:space="preserve">          6247 - STORE SUPPLIES</v>
      </c>
      <c r="C73" s="12"/>
      <c r="D73" s="8">
        <v>79.38</v>
      </c>
      <c r="E73" s="3"/>
      <c r="F73" s="7">
        <f t="shared" si="8"/>
        <v>1.7671858433676265E-4</v>
      </c>
      <c r="G73" s="3"/>
      <c r="H73" s="8"/>
      <c r="I73" s="3"/>
      <c r="J73" s="7">
        <f t="shared" si="9"/>
        <v>0</v>
      </c>
      <c r="K73" s="3"/>
      <c r="L73" s="8">
        <f t="shared" si="10"/>
        <v>79.38</v>
      </c>
      <c r="M73" s="3"/>
      <c r="N73" s="7">
        <f t="shared" si="11"/>
        <v>0</v>
      </c>
      <c r="O73" s="12"/>
      <c r="P73" s="8">
        <v>581.41999999999996</v>
      </c>
      <c r="Q73" s="3"/>
      <c r="R73" s="7">
        <f t="shared" si="12"/>
        <v>1.8477975084448656E-4</v>
      </c>
      <c r="S73" s="3"/>
      <c r="T73" s="8"/>
      <c r="U73" s="3"/>
      <c r="V73" s="7">
        <f t="shared" si="13"/>
        <v>0</v>
      </c>
      <c r="W73" s="3"/>
      <c r="X73" s="8">
        <f t="shared" si="14"/>
        <v>581.41999999999996</v>
      </c>
      <c r="Y73" s="3"/>
      <c r="Z73" s="7">
        <f t="shared" si="15"/>
        <v>0</v>
      </c>
    </row>
    <row r="74" spans="1:26" s="69" customFormat="1" ht="15" hidden="1" customHeight="1" outlineLevel="2" x14ac:dyDescent="0.3">
      <c r="A74" s="25"/>
      <c r="B74" s="12" t="str">
        <f>CONCATENATE("          ","6248"," - ","UNIFORMS")</f>
        <v xml:space="preserve">          6248 - UNIFORMS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1870.4</v>
      </c>
      <c r="Q74" s="3"/>
      <c r="R74" s="7">
        <f t="shared" si="12"/>
        <v>5.9442751535813639E-4</v>
      </c>
      <c r="S74" s="3"/>
      <c r="T74" s="8"/>
      <c r="U74" s="3"/>
      <c r="V74" s="7">
        <f t="shared" si="13"/>
        <v>0</v>
      </c>
      <c r="W74" s="3"/>
      <c r="X74" s="8">
        <f t="shared" si="14"/>
        <v>1870.4</v>
      </c>
      <c r="Y74" s="3"/>
      <c r="Z74" s="7">
        <f t="shared" si="15"/>
        <v>0</v>
      </c>
    </row>
    <row r="75" spans="1:26" s="68" customFormat="1" ht="15" customHeight="1" outlineLevel="1" collapsed="1" x14ac:dyDescent="0.3">
      <c r="A75" s="26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SUM(OSRRefD22_14x_0)</f>
        <v>164</v>
      </c>
      <c r="E75" s="2"/>
      <c r="F75" s="6">
        <f t="shared" si="8"/>
        <v>3.6510264337653159E-4</v>
      </c>
      <c r="G75" s="2"/>
      <c r="H75" s="2">
        <f>SUM(OSRRefH22_14x_0)</f>
        <v>89</v>
      </c>
      <c r="I75" s="2"/>
      <c r="J75" s="6">
        <f t="shared" si="9"/>
        <v>0</v>
      </c>
      <c r="K75" s="2"/>
      <c r="L75" s="2">
        <f t="shared" si="10"/>
        <v>75</v>
      </c>
      <c r="M75" s="2"/>
      <c r="N75" s="6">
        <f t="shared" si="11"/>
        <v>0.84269662921348309</v>
      </c>
      <c r="O75" s="14"/>
      <c r="P75" s="2">
        <f>SUM(OSRRefP22_14x_0)</f>
        <v>1776</v>
      </c>
      <c r="Q75" s="2"/>
      <c r="R75" s="6">
        <f t="shared" si="12"/>
        <v>5.6442646881739217E-4</v>
      </c>
      <c r="S75" s="2"/>
      <c r="T75" s="2">
        <f>SUM(OSRRefT22_14x_0)</f>
        <v>1187</v>
      </c>
      <c r="U75" s="2"/>
      <c r="V75" s="6">
        <f t="shared" si="13"/>
        <v>5.0207428161502962E-2</v>
      </c>
      <c r="W75" s="2"/>
      <c r="X75" s="2">
        <f t="shared" si="14"/>
        <v>589</v>
      </c>
      <c r="Y75" s="2"/>
      <c r="Z75" s="6">
        <f t="shared" si="15"/>
        <v>0.4962089300758214</v>
      </c>
    </row>
    <row r="76" spans="1:26" s="69" customFormat="1" ht="15" hidden="1" customHeight="1" outlineLevel="2" x14ac:dyDescent="0.3">
      <c r="A76" s="25"/>
      <c r="B76" s="12" t="str">
        <f>CONCATENATE("          ","6309"," - ","TELEPHONE")</f>
        <v xml:space="preserve">          6309 - TELEPHONE</v>
      </c>
      <c r="C76" s="12"/>
      <c r="D76" s="8">
        <v>164</v>
      </c>
      <c r="E76" s="3"/>
      <c r="F76" s="7">
        <f t="shared" si="8"/>
        <v>3.6510264337653159E-4</v>
      </c>
      <c r="G76" s="3"/>
      <c r="H76" s="8">
        <v>89</v>
      </c>
      <c r="I76" s="3"/>
      <c r="J76" s="7">
        <f t="shared" si="9"/>
        <v>0</v>
      </c>
      <c r="K76" s="3"/>
      <c r="L76" s="8">
        <f t="shared" si="10"/>
        <v>75</v>
      </c>
      <c r="M76" s="3"/>
      <c r="N76" s="7">
        <f t="shared" si="11"/>
        <v>0.84269662921348309</v>
      </c>
      <c r="O76" s="12"/>
      <c r="P76" s="8">
        <v>1776</v>
      </c>
      <c r="Q76" s="3"/>
      <c r="R76" s="7">
        <f t="shared" si="12"/>
        <v>5.6442646881739217E-4</v>
      </c>
      <c r="S76" s="3"/>
      <c r="T76" s="8">
        <v>1187</v>
      </c>
      <c r="U76" s="3"/>
      <c r="V76" s="7">
        <f t="shared" si="13"/>
        <v>5.0207428161502962E-2</v>
      </c>
      <c r="W76" s="3"/>
      <c r="X76" s="8">
        <f t="shared" si="14"/>
        <v>589</v>
      </c>
      <c r="Y76" s="3"/>
      <c r="Z76" s="7">
        <f t="shared" si="15"/>
        <v>0.4962089300758214</v>
      </c>
    </row>
    <row r="77" spans="1:26" s="64" customFormat="1" ht="15" customHeight="1" x14ac:dyDescent="0.3">
      <c r="A77" s="36"/>
      <c r="B77" s="36"/>
      <c r="C77" s="36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3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62" customFormat="1" ht="15" customHeight="1" x14ac:dyDescent="0.3">
      <c r="A78" s="11"/>
      <c r="B78" s="28" t="s">
        <v>290</v>
      </c>
      <c r="C78" s="11"/>
      <c r="D78" s="5">
        <f>SUM(0)</f>
        <v>0</v>
      </c>
      <c r="E78" s="5"/>
      <c r="F78" s="13">
        <f>IF(D$12=0,0,D78/D$12)</f>
        <v>0</v>
      </c>
      <c r="G78" s="5"/>
      <c r="H78" s="5">
        <f>SUM(0)</f>
        <v>0</v>
      </c>
      <c r="I78" s="5"/>
      <c r="J78" s="13">
        <f>IF(H$12=0,0,H78/H$12)</f>
        <v>0</v>
      </c>
      <c r="K78" s="5"/>
      <c r="L78" s="5">
        <f>+D78-H78</f>
        <v>0</v>
      </c>
      <c r="M78" s="5"/>
      <c r="N78" s="13">
        <f>IF(H78=0,0,L78/H78)</f>
        <v>0</v>
      </c>
      <c r="O78" s="11"/>
      <c r="P78" s="5">
        <f>SUM(0)</f>
        <v>0</v>
      </c>
      <c r="Q78" s="5"/>
      <c r="R78" s="13">
        <f>IF(P$12=0,0,P78/P$12)</f>
        <v>0</v>
      </c>
      <c r="S78" s="5"/>
      <c r="T78" s="5">
        <f>SUM(0)</f>
        <v>0</v>
      </c>
      <c r="U78" s="5"/>
      <c r="V78" s="13">
        <f>IF(T$12=0,0,T78/T$12)</f>
        <v>0</v>
      </c>
      <c r="W78" s="5"/>
      <c r="X78" s="5">
        <f>+P78-T78</f>
        <v>0</v>
      </c>
      <c r="Y78" s="5"/>
      <c r="Z78" s="13">
        <f>IF(T78=0,0,X78/T78)</f>
        <v>0</v>
      </c>
    </row>
    <row r="79" spans="1:26" ht="15" customHeight="1" x14ac:dyDescent="0.3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2" customFormat="1" ht="15" customHeight="1" x14ac:dyDescent="0.3">
      <c r="A80" s="11"/>
      <c r="B80" s="27" t="s">
        <v>291</v>
      </c>
      <c r="C80" s="27"/>
      <c r="D80" s="22">
        <f>+D21-D23+D78</f>
        <v>166090.72000000006</v>
      </c>
      <c r="E80" s="15"/>
      <c r="F80" s="21">
        <f>IF(D$12=0,0,D80/D$12)</f>
        <v>0.36975707873360597</v>
      </c>
      <c r="G80" s="15"/>
      <c r="H80" s="22">
        <f>+H21-H23+H78</f>
        <v>-47743.71</v>
      </c>
      <c r="I80" s="15"/>
      <c r="J80" s="21">
        <f>IF(H$12=0,0,H80/H$12)</f>
        <v>0</v>
      </c>
      <c r="K80" s="17"/>
      <c r="L80" s="22">
        <f>+D80-H80</f>
        <v>213834.43000000005</v>
      </c>
      <c r="M80" s="17"/>
      <c r="N80" s="21">
        <f>IF(H80=0,0,L80/H80)</f>
        <v>-4.4787979400846742</v>
      </c>
      <c r="O80" s="28"/>
      <c r="P80" s="22">
        <f>+P21-P23+P78</f>
        <v>1103066.2700000005</v>
      </c>
      <c r="Q80" s="15"/>
      <c r="R80" s="21">
        <f>IF(P$12=0,0,P80/P$12)</f>
        <v>0.35056295025206774</v>
      </c>
      <c r="S80" s="15"/>
      <c r="T80" s="22">
        <f>+T21-T23+T78</f>
        <v>-464041.48999999993</v>
      </c>
      <c r="U80" s="15"/>
      <c r="V80" s="21">
        <f>IF(T$12=0,0,T80/T$12)</f>
        <v>-19.6279105081144</v>
      </c>
      <c r="W80" s="17"/>
      <c r="X80" s="22">
        <f>+P80-T80</f>
        <v>1567107.7600000005</v>
      </c>
      <c r="Y80" s="17"/>
      <c r="Z80" s="21">
        <f>IF(T80=0,0,X80/T80)</f>
        <v>-3.3770854412177687</v>
      </c>
    </row>
    <row r="81" spans="1:26" ht="15" customHeight="1" x14ac:dyDescent="0.3">
      <c r="A81" s="10"/>
      <c r="B81" s="11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x14ac:dyDescent="0.3">
      <c r="A82" s="48"/>
      <c r="B82" s="11" t="s">
        <v>292</v>
      </c>
      <c r="C82" s="11"/>
      <c r="D82" s="5">
        <v>38841.06</v>
      </c>
      <c r="E82" s="5"/>
      <c r="F82" s="13">
        <f>IF(D$12=0,0,D82/D$12)</f>
        <v>8.6469351692356491E-2</v>
      </c>
      <c r="G82" s="5"/>
      <c r="H82" s="5">
        <v>190.45</v>
      </c>
      <c r="I82" s="5"/>
      <c r="J82" s="13">
        <f>IF(H$12=0,0,H82/H$12)</f>
        <v>0</v>
      </c>
      <c r="K82" s="5"/>
      <c r="L82" s="5">
        <f>+D82-H82</f>
        <v>38650.61</v>
      </c>
      <c r="M82" s="5"/>
      <c r="N82" s="13">
        <f>IF(H82=0,0,L82/H82)</f>
        <v>202.94360724599633</v>
      </c>
      <c r="O82" s="11"/>
      <c r="P82" s="5">
        <v>375533.85</v>
      </c>
      <c r="Q82" s="5"/>
      <c r="R82" s="13">
        <f>IF(P$12=0,0,P82/P$12)</f>
        <v>0.11934754779104741</v>
      </c>
      <c r="S82" s="5"/>
      <c r="T82" s="5">
        <v>4872.3999999999996</v>
      </c>
      <c r="U82" s="5"/>
      <c r="V82" s="13">
        <f>IF(T$12=0,0,T82/T$12)</f>
        <v>0.20609155263193513</v>
      </c>
      <c r="W82" s="5"/>
      <c r="X82" s="5">
        <f>+P82-T82</f>
        <v>370661.44999999995</v>
      </c>
      <c r="Y82" s="5"/>
      <c r="Z82" s="13">
        <f>IF(T82=0,0,X82/T82)</f>
        <v>76.073690583695921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7" t="s">
        <v>293</v>
      </c>
      <c r="C84" s="27"/>
      <c r="D84" s="34">
        <f>+D80-D82</f>
        <v>127249.66000000006</v>
      </c>
      <c r="E84" s="15"/>
      <c r="F84" s="33">
        <f>IF(D$12=0,0,D84/D$12)</f>
        <v>0.28328772704124949</v>
      </c>
      <c r="G84" s="15"/>
      <c r="H84" s="34">
        <f>+H80-H82</f>
        <v>-47934.159999999996</v>
      </c>
      <c r="I84" s="15"/>
      <c r="J84" s="33">
        <f>IF(H$12=0,0,H84/H$12)</f>
        <v>0</v>
      </c>
      <c r="K84" s="17"/>
      <c r="L84" s="34">
        <f>D84-H84</f>
        <v>175183.82000000007</v>
      </c>
      <c r="M84" s="17"/>
      <c r="N84" s="33">
        <f>IF(H84=0,0,L84/H84)</f>
        <v>-3.6546759137950904</v>
      </c>
      <c r="O84" s="28"/>
      <c r="P84" s="34">
        <f>+P80-P82</f>
        <v>727532.42000000051</v>
      </c>
      <c r="Q84" s="15"/>
      <c r="R84" s="33">
        <f>IF(P$12=0,0,P84/P$12)</f>
        <v>0.23121540246102035</v>
      </c>
      <c r="S84" s="15"/>
      <c r="T84" s="34">
        <f>+T80-T82</f>
        <v>-468913.88999999996</v>
      </c>
      <c r="U84" s="15"/>
      <c r="V84" s="33">
        <f>IF(T$12=0,0,T84/T$12)</f>
        <v>-19.834002060746336</v>
      </c>
      <c r="W84" s="17"/>
      <c r="X84" s="34">
        <f>P84-T84</f>
        <v>1196446.3100000005</v>
      </c>
      <c r="Y84" s="17"/>
      <c r="Z84" s="33">
        <f>IF(T84=0,0,X84/T84)</f>
        <v>-2.5515266992837442</v>
      </c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11"/>
      <c r="B87" s="27" t="s">
        <v>296</v>
      </c>
      <c r="C87" s="27"/>
      <c r="D87" s="31">
        <f>SUM(D84:D86)</f>
        <v>127249.66000000006</v>
      </c>
      <c r="E87" s="15"/>
      <c r="F87" s="32">
        <f>IF(D$12=0,0,D87/D$12)</f>
        <v>0.28328772704124949</v>
      </c>
      <c r="G87" s="15"/>
      <c r="H87" s="31">
        <f>SUM(H84:H86)</f>
        <v>-47934.159999999996</v>
      </c>
      <c r="I87" s="15"/>
      <c r="J87" s="32">
        <f>IF(H$12=0,0,H87/H$12)</f>
        <v>0</v>
      </c>
      <c r="K87" s="17"/>
      <c r="L87" s="31">
        <f>+D87-H87</f>
        <v>175183.82000000007</v>
      </c>
      <c r="M87" s="17"/>
      <c r="N87" s="32">
        <f>IF(H87=0,0,L87/H87)</f>
        <v>-3.6546759137950904</v>
      </c>
      <c r="O87" s="28"/>
      <c r="P87" s="31">
        <f>SUM(P84:P86)</f>
        <v>727532.42000000051</v>
      </c>
      <c r="Q87" s="15"/>
      <c r="R87" s="32">
        <f>IF(P$12=0,0,P87/P$12)</f>
        <v>0.23121540246102035</v>
      </c>
      <c r="S87" s="15"/>
      <c r="T87" s="31">
        <f>SUM(T84:T86)</f>
        <v>-468913.88999999996</v>
      </c>
      <c r="U87" s="15"/>
      <c r="V87" s="32">
        <f>IF(T$12=0,0,T87/T$12)</f>
        <v>-19.834002060746336</v>
      </c>
      <c r="W87" s="17"/>
      <c r="X87" s="31">
        <f>+P87-T87</f>
        <v>1196446.3100000005</v>
      </c>
      <c r="Y87" s="17"/>
      <c r="Z87" s="32">
        <f>IF(T87=0,0,X87/T87)</f>
        <v>-2.5515266992837442</v>
      </c>
    </row>
    <row r="88" spans="1:26" ht="15" customHeight="1" x14ac:dyDescent="0.3">
      <c r="A88" s="10"/>
      <c r="C88" s="10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A89" s="10"/>
      <c r="B89" s="56">
        <v>44663.03859679398</v>
      </c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7" t="s">
        <v>297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8"/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6A06F-7A73-B04C-5F25-9A1822950DCF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","435"," - ","Ground Floor Coffee House")</f>
        <v>Department 435 - Ground Floor Coffee House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2285.98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2285.98</v>
      </c>
      <c r="M12" s="5"/>
      <c r="N12" s="13">
        <f>IF(H12=0,0,L12/H12)</f>
        <v>0</v>
      </c>
      <c r="O12" s="11"/>
      <c r="P12" s="5">
        <f>SUM(OSRRefP13x_0)</f>
        <v>2285.98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2285.98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","4055"," - ","TAXABLE SALES-FOOD")</f>
        <v xml:space="preserve">          4055 - TAXABLE SALES-FOOD</v>
      </c>
      <c r="C13" s="12"/>
      <c r="D13" s="3">
        <f>--541.27</f>
        <v>541.27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541.27</v>
      </c>
      <c r="M13" s="3"/>
      <c r="N13" s="20">
        <f>IF(H13=0,0,L13/H13)</f>
        <v>0</v>
      </c>
      <c r="O13" s="12"/>
      <c r="P13" s="3">
        <f>--541.27</f>
        <v>541.27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541.27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","4155"," - ","NON-TAXABLE SALES-FOOD")</f>
        <v xml:space="preserve">          4155 - NON-TAXABLE SALES-FOOD</v>
      </c>
      <c r="C14" s="12"/>
      <c r="D14" s="3">
        <f>--1744.71</f>
        <v>1744.71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1744.71</v>
      </c>
      <c r="M14" s="3"/>
      <c r="N14" s="20">
        <f>IF(H14=0,0,L14/H14)</f>
        <v>0</v>
      </c>
      <c r="O14" s="12"/>
      <c r="P14" s="3">
        <f>--1744.71</f>
        <v>1744.71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1744.71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287</v>
      </c>
      <c r="C16" s="11"/>
      <c r="D16" s="5">
        <f>SUM(0)</f>
        <v>0</v>
      </c>
      <c r="E16" s="5"/>
      <c r="F16" s="13">
        <f>IF(D$12=0,0,D16/D$12)</f>
        <v>0</v>
      </c>
      <c r="G16" s="5"/>
      <c r="H16" s="5">
        <f>SUM(0)</f>
        <v>0</v>
      </c>
      <c r="I16" s="5"/>
      <c r="J16" s="13">
        <f>IF(H$12=0,0,H16/H$12)</f>
        <v>0</v>
      </c>
      <c r="K16" s="5"/>
      <c r="L16" s="5">
        <f>+D16-H16</f>
        <v>0</v>
      </c>
      <c r="M16" s="5"/>
      <c r="N16" s="13">
        <f>IF(H16=0,0,L16/H16)</f>
        <v>0</v>
      </c>
      <c r="O16" s="11"/>
      <c r="P16" s="5">
        <f>SUM(0)</f>
        <v>0</v>
      </c>
      <c r="Q16" s="5"/>
      <c r="R16" s="13">
        <f>IF(P$12=0,0,P16/P$12)</f>
        <v>0</v>
      </c>
      <c r="S16" s="5"/>
      <c r="T16" s="5">
        <f>SUM(0)</f>
        <v>0</v>
      </c>
      <c r="U16" s="5"/>
      <c r="V16" s="13">
        <f>IF(T$12=0,0,T16/T$12)</f>
        <v>0</v>
      </c>
      <c r="W16" s="5"/>
      <c r="X16" s="5">
        <f>+P16-T16</f>
        <v>0</v>
      </c>
      <c r="Y16" s="5"/>
      <c r="Z16" s="13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>
        <f>D12-D16</f>
        <v>2285.98</v>
      </c>
      <c r="E18" s="15"/>
      <c r="F18" s="21">
        <f>IF(D$12=0,0,D18/D$12)</f>
        <v>1</v>
      </c>
      <c r="G18" s="15"/>
      <c r="H18" s="22">
        <f>H12-H16</f>
        <v>0</v>
      </c>
      <c r="I18" s="15"/>
      <c r="J18" s="21">
        <f>IF(H$12=0,0,H18/H$12)</f>
        <v>0</v>
      </c>
      <c r="K18" s="17"/>
      <c r="L18" s="22">
        <f>+D18-H18</f>
        <v>2285.98</v>
      </c>
      <c r="M18" s="17"/>
      <c r="N18" s="21">
        <f>IF(H18=0,0,L18/H18)</f>
        <v>0</v>
      </c>
      <c r="O18" s="28"/>
      <c r="P18" s="22">
        <f>P12-P16</f>
        <v>2285.98</v>
      </c>
      <c r="Q18" s="15"/>
      <c r="R18" s="21">
        <f>IF(P$12=0,0,P18/P$12)</f>
        <v>1</v>
      </c>
      <c r="S18" s="15"/>
      <c r="T18" s="22">
        <f>T12-T16</f>
        <v>0</v>
      </c>
      <c r="U18" s="15"/>
      <c r="V18" s="21">
        <f>IF(T$12=0,0,T18/T$12)</f>
        <v>0</v>
      </c>
      <c r="W18" s="17"/>
      <c r="X18" s="22">
        <f>+P18-T18</f>
        <v>2285.98</v>
      </c>
      <c r="Y18" s="17"/>
      <c r="Z18" s="21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cm="1">
        <f t="array" ref="D20">SUM(OSRRefD22x_0)</f>
        <v>0</v>
      </c>
      <c r="E20" s="23"/>
      <c r="F20" s="35">
        <f t="shared" ref="F20:F26" si="0">IF(D$12=0,0,D20/D$12)</f>
        <v>0</v>
      </c>
      <c r="G20" s="23"/>
      <c r="H20" s="23" cm="1">
        <f t="array" ref="H20">SUM(OSRRefH22x_0)</f>
        <v>0</v>
      </c>
      <c r="I20" s="23"/>
      <c r="J20" s="35">
        <f t="shared" ref="J20:J26" si="1">IF(H$12=0,0,H20/H$12)</f>
        <v>0</v>
      </c>
      <c r="K20" s="5"/>
      <c r="L20" s="23">
        <f t="shared" ref="L20:L26" si="2">+D20-H20</f>
        <v>0</v>
      </c>
      <c r="M20" s="5"/>
      <c r="N20" s="35">
        <f t="shared" ref="N20:N26" si="3">IF(H20=0,0,L20/H20)</f>
        <v>0</v>
      </c>
      <c r="O20" s="11"/>
      <c r="P20" s="23" cm="1">
        <f t="array" ref="P20">SUM(OSRRefP22x_0)</f>
        <v>0.28000000000000003</v>
      </c>
      <c r="Q20" s="23"/>
      <c r="R20" s="35">
        <f t="shared" ref="R20:R26" si="4">IF(P$12=0,0,P20/P$12)</f>
        <v>1.2248576103028025E-4</v>
      </c>
      <c r="S20" s="23"/>
      <c r="T20" s="23" cm="1">
        <f t="array" ref="T20">SUM(OSRRefT22x_0)</f>
        <v>178.69</v>
      </c>
      <c r="U20" s="23"/>
      <c r="V20" s="35">
        <f t="shared" ref="V20:V26" si="5">IF(T$12=0,0,T20/T$12)</f>
        <v>0</v>
      </c>
      <c r="W20" s="5"/>
      <c r="X20" s="23">
        <f t="shared" ref="X20:X26" si="6">+P20-T20</f>
        <v>-178.41</v>
      </c>
      <c r="Y20" s="5"/>
      <c r="Z20" s="35">
        <f t="shared" ref="Z20:Z26" si="7">IF(T20=0,0,X20/T20)</f>
        <v>-0.99843304046113379</v>
      </c>
    </row>
    <row r="21" spans="1:26" s="68" customFormat="1" ht="15" customHeight="1" outlineLevel="1" collapsed="1" x14ac:dyDescent="0.3">
      <c r="A21" s="26"/>
      <c r="B21" s="14" t="str">
        <f>CONCATENATE("     ","Bad Debts/Over/Short                              ")</f>
        <v xml:space="preserve">     Bad Debts/Over/Short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0</v>
      </c>
      <c r="Y21" s="2"/>
      <c r="Z21" s="6">
        <f t="shared" si="7"/>
        <v>0</v>
      </c>
    </row>
    <row r="22" spans="1:26" s="69" customFormat="1" ht="15" hidden="1" customHeight="1" outlineLevel="2" x14ac:dyDescent="0.3">
      <c r="A22" s="25"/>
      <c r="B22" s="12" t="str">
        <f>CONCATENATE("          ","6272"," - ","CASH (OVER/SHORT)")</f>
        <v xml:space="preserve">          6272 - CASH (OVER/SHORT)</v>
      </c>
      <c r="C22" s="12"/>
      <c r="D22" s="8">
        <v>0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0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68" customFormat="1" ht="15" customHeight="1" outlineLevel="1" collapsed="1" x14ac:dyDescent="0.3">
      <c r="A23" s="26"/>
      <c r="B23" s="14" t="str">
        <f>CONCATENATE("     ","Bank/card Fees                                    ")</f>
        <v xml:space="preserve">     Bank/card Fees                                    </v>
      </c>
      <c r="C23" s="14"/>
      <c r="D23" s="2">
        <f>SUM(OSRRefD22_1x_0)</f>
        <v>0</v>
      </c>
      <c r="E23" s="2"/>
      <c r="F23" s="6">
        <f t="shared" si="0"/>
        <v>0</v>
      </c>
      <c r="G23" s="2"/>
      <c r="H23" s="2">
        <f>SUM(OSRRefH22_1x_0)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SUM(OSRRefP22_1x_0)</f>
        <v>0.28000000000000003</v>
      </c>
      <c r="Q23" s="2"/>
      <c r="R23" s="6">
        <f t="shared" si="4"/>
        <v>1.2248576103028025E-4</v>
      </c>
      <c r="S23" s="2"/>
      <c r="T23" s="2">
        <f>SUM(OSRRefT22_1x_0)</f>
        <v>0</v>
      </c>
      <c r="U23" s="2"/>
      <c r="V23" s="6">
        <f t="shared" si="5"/>
        <v>0</v>
      </c>
      <c r="W23" s="2"/>
      <c r="X23" s="2">
        <f t="shared" si="6"/>
        <v>0.28000000000000003</v>
      </c>
      <c r="Y23" s="2"/>
      <c r="Z23" s="6">
        <f t="shared" si="7"/>
        <v>0</v>
      </c>
    </row>
    <row r="24" spans="1:26" s="69" customFormat="1" ht="15" hidden="1" customHeight="1" outlineLevel="2" x14ac:dyDescent="0.3">
      <c r="A24" s="25"/>
      <c r="B24" s="12" t="str">
        <f>CONCATENATE("          ","6381"," - ","BANK/CREDIT CARD FEES")</f>
        <v xml:space="preserve">          6381 - BANK/CREDIT CARD FEES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>
        <v>0.28000000000000003</v>
      </c>
      <c r="Q24" s="3"/>
      <c r="R24" s="7">
        <f t="shared" si="4"/>
        <v>1.2248576103028025E-4</v>
      </c>
      <c r="S24" s="3"/>
      <c r="T24" s="8"/>
      <c r="U24" s="3"/>
      <c r="V24" s="7">
        <f t="shared" si="5"/>
        <v>0</v>
      </c>
      <c r="W24" s="3"/>
      <c r="X24" s="8">
        <f t="shared" si="6"/>
        <v>0.28000000000000003</v>
      </c>
      <c r="Y24" s="3"/>
      <c r="Z24" s="7">
        <f t="shared" si="7"/>
        <v>0</v>
      </c>
    </row>
    <row r="25" spans="1:26" s="68" customFormat="1" ht="15" customHeight="1" outlineLevel="1" collapsed="1" x14ac:dyDescent="0.3">
      <c r="A25" s="26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SUM(OSRRefD22_2x_0)</f>
        <v>0</v>
      </c>
      <c r="E25" s="2"/>
      <c r="F25" s="6">
        <f t="shared" si="0"/>
        <v>0</v>
      </c>
      <c r="G25" s="2"/>
      <c r="H25" s="2">
        <f>SUM(OSRRefH22_2x_0)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SUM(OSRRefP22_2x_0)</f>
        <v>0</v>
      </c>
      <c r="Q25" s="2"/>
      <c r="R25" s="6">
        <f t="shared" si="4"/>
        <v>0</v>
      </c>
      <c r="S25" s="2"/>
      <c r="T25" s="2">
        <f>SUM(OSRRefT22_2x_0)</f>
        <v>178.69</v>
      </c>
      <c r="U25" s="2"/>
      <c r="V25" s="6">
        <f t="shared" si="5"/>
        <v>0</v>
      </c>
      <c r="W25" s="2"/>
      <c r="X25" s="2">
        <f t="shared" si="6"/>
        <v>-178.69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5"/>
      <c r="B26" s="12" t="str">
        <f>CONCATENATE("          ","6309"," - ","TELEPHONE")</f>
        <v xml:space="preserve">          6309 - TELEPHONE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178.69</v>
      </c>
      <c r="U26" s="3"/>
      <c r="V26" s="7">
        <f t="shared" si="5"/>
        <v>0</v>
      </c>
      <c r="W26" s="3"/>
      <c r="X26" s="8">
        <f t="shared" si="6"/>
        <v>-178.69</v>
      </c>
      <c r="Y26" s="3"/>
      <c r="Z26" s="7">
        <f t="shared" si="7"/>
        <v>-1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7" t="s">
        <v>291</v>
      </c>
      <c r="C30" s="27"/>
      <c r="D30" s="22">
        <f>+D18-D20+D28</f>
        <v>2285.98</v>
      </c>
      <c r="E30" s="15"/>
      <c r="F30" s="21">
        <f>IF(D$12=0,0,D30/D$12)</f>
        <v>1</v>
      </c>
      <c r="G30" s="15"/>
      <c r="H30" s="22">
        <f>+H18-H20+H28</f>
        <v>0</v>
      </c>
      <c r="I30" s="15"/>
      <c r="J30" s="21">
        <f>IF(H$12=0,0,H30/H$12)</f>
        <v>0</v>
      </c>
      <c r="K30" s="17"/>
      <c r="L30" s="22">
        <f>+D30-H30</f>
        <v>2285.98</v>
      </c>
      <c r="M30" s="17"/>
      <c r="N30" s="21">
        <f>IF(H30=0,0,L30/H30)</f>
        <v>0</v>
      </c>
      <c r="O30" s="28"/>
      <c r="P30" s="22">
        <f>+P18-P20+P28</f>
        <v>2285.6999999999998</v>
      </c>
      <c r="Q30" s="15"/>
      <c r="R30" s="21">
        <f>IF(P$12=0,0,P30/P$12)</f>
        <v>0.99987751423896964</v>
      </c>
      <c r="S30" s="15"/>
      <c r="T30" s="22">
        <f>+T18-T20+T28</f>
        <v>-178.69</v>
      </c>
      <c r="U30" s="15"/>
      <c r="V30" s="21">
        <f>IF(T$12=0,0,T30/T$12)</f>
        <v>0</v>
      </c>
      <c r="W30" s="17"/>
      <c r="X30" s="22">
        <f>+P30-T30</f>
        <v>2464.39</v>
      </c>
      <c r="Y30" s="17"/>
      <c r="Z30" s="21">
        <f>IF(T30=0,0,X30/T30)</f>
        <v>-13.791426492808775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>
        <v>272.83</v>
      </c>
      <c r="E32" s="5"/>
      <c r="F32" s="13">
        <f>IF(D$12=0,0,D32/D$12)</f>
        <v>0.11934925064961198</v>
      </c>
      <c r="G32" s="5"/>
      <c r="H32" s="5"/>
      <c r="I32" s="5"/>
      <c r="J32" s="13">
        <f>IF(H$12=0,0,H32/H$12)</f>
        <v>0</v>
      </c>
      <c r="K32" s="5"/>
      <c r="L32" s="5">
        <f>+D32-H32</f>
        <v>272.83</v>
      </c>
      <c r="M32" s="5"/>
      <c r="N32" s="13">
        <f>IF(H32=0,0,L32/H32)</f>
        <v>0</v>
      </c>
      <c r="O32" s="11"/>
      <c r="P32" s="5">
        <v>272.83</v>
      </c>
      <c r="Q32" s="5"/>
      <c r="R32" s="13">
        <f>IF(P$12=0,0,P32/P$12)</f>
        <v>0.11934925064961198</v>
      </c>
      <c r="S32" s="5"/>
      <c r="T32" s="5"/>
      <c r="U32" s="5"/>
      <c r="V32" s="13">
        <f>IF(T$12=0,0,T32/T$12)</f>
        <v>0</v>
      </c>
      <c r="W32" s="5"/>
      <c r="X32" s="5">
        <f>+P32-T32</f>
        <v>272.83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7" t="s">
        <v>293</v>
      </c>
      <c r="C34" s="27"/>
      <c r="D34" s="34">
        <f>+D30-D32</f>
        <v>2013.15</v>
      </c>
      <c r="E34" s="15"/>
      <c r="F34" s="33">
        <f>IF(D$12=0,0,D34/D$12)</f>
        <v>0.88065074935038801</v>
      </c>
      <c r="G34" s="15"/>
      <c r="H34" s="34">
        <f>+H30-H32</f>
        <v>0</v>
      </c>
      <c r="I34" s="15"/>
      <c r="J34" s="33">
        <f>IF(H$12=0,0,H34/H$12)</f>
        <v>0</v>
      </c>
      <c r="K34" s="17"/>
      <c r="L34" s="34">
        <f>D34-H34</f>
        <v>2013.15</v>
      </c>
      <c r="M34" s="17"/>
      <c r="N34" s="33">
        <f>IF(H34=0,0,L34/H34)</f>
        <v>0</v>
      </c>
      <c r="O34" s="28"/>
      <c r="P34" s="34">
        <f>+P30-P32</f>
        <v>2012.87</v>
      </c>
      <c r="Q34" s="15"/>
      <c r="R34" s="33">
        <f>IF(P$12=0,0,P34/P$12)</f>
        <v>0.88052826358935765</v>
      </c>
      <c r="S34" s="15"/>
      <c r="T34" s="34">
        <f>+T30-T32</f>
        <v>-178.69</v>
      </c>
      <c r="U34" s="15"/>
      <c r="V34" s="33">
        <f>IF(T$12=0,0,T34/T$12)</f>
        <v>0</v>
      </c>
      <c r="W34" s="17"/>
      <c r="X34" s="34">
        <f>P34-T34</f>
        <v>2191.56</v>
      </c>
      <c r="Y34" s="17"/>
      <c r="Z34" s="33">
        <f>IF(T34=0,0,X34/T34)</f>
        <v>-12.264592310705691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7" t="s">
        <v>296</v>
      </c>
      <c r="C37" s="27"/>
      <c r="D37" s="31">
        <f>SUM(D34:D36)</f>
        <v>2013.15</v>
      </c>
      <c r="E37" s="15"/>
      <c r="F37" s="32">
        <f>IF(D$12=0,0,D37/D$12)</f>
        <v>0.88065074935038801</v>
      </c>
      <c r="G37" s="15"/>
      <c r="H37" s="31">
        <f>SUM(H34:H36)</f>
        <v>0</v>
      </c>
      <c r="I37" s="15"/>
      <c r="J37" s="32">
        <f>IF(H$12=0,0,H37/H$12)</f>
        <v>0</v>
      </c>
      <c r="K37" s="17"/>
      <c r="L37" s="31">
        <f>+D37-H37</f>
        <v>2013.15</v>
      </c>
      <c r="M37" s="17"/>
      <c r="N37" s="32">
        <f>IF(H37=0,0,L37/H37)</f>
        <v>0</v>
      </c>
      <c r="O37" s="28"/>
      <c r="P37" s="31">
        <f>SUM(P34:P36)</f>
        <v>2012.87</v>
      </c>
      <c r="Q37" s="15"/>
      <c r="R37" s="32">
        <f>IF(P$12=0,0,P37/P$12)</f>
        <v>0.88052826358935765</v>
      </c>
      <c r="S37" s="15"/>
      <c r="T37" s="31">
        <f>SUM(T34:T36)</f>
        <v>-178.69</v>
      </c>
      <c r="U37" s="15"/>
      <c r="V37" s="32">
        <f>IF(T$12=0,0,T37/T$12)</f>
        <v>0</v>
      </c>
      <c r="W37" s="17"/>
      <c r="X37" s="31">
        <f>+P37-T37</f>
        <v>2191.56</v>
      </c>
      <c r="Y37" s="17"/>
      <c r="Z37" s="32">
        <f>IF(T37=0,0,X37/T37)</f>
        <v>-12.264592310705691</v>
      </c>
    </row>
    <row r="38" spans="1:26" ht="15" customHeight="1" x14ac:dyDescent="0.3">
      <c r="A38" s="10"/>
      <c r="C38" s="10"/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6">
        <v>44663.03859679398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7" t="s">
        <v>297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8"/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78A67-727E-8E04-8A78-04B81412C947}">
  <sheetPr>
    <tabColor rgb="FF92D050"/>
    <outlinePr summaryBelow="0" summaryRight="0"/>
  </sheetPr>
  <dimension ref="A2:Z9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","444"," - ","Parkside Dining Hall")</f>
        <v>Department 444 - Parkside Dining Hall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676101.7</v>
      </c>
      <c r="E12" s="5"/>
      <c r="F12" s="13"/>
      <c r="G12" s="5"/>
      <c r="H12" s="5">
        <f>SUM(OSRRefH13x_0)</f>
        <v>91796.739999999991</v>
      </c>
      <c r="I12" s="5"/>
      <c r="J12" s="13"/>
      <c r="K12" s="5"/>
      <c r="L12" s="5">
        <f>+D12-H12</f>
        <v>584304.96</v>
      </c>
      <c r="M12" s="5"/>
      <c r="N12" s="13">
        <f>IF(H12=0,0,L12/H12)</f>
        <v>6.3652038187848508</v>
      </c>
      <c r="O12" s="11"/>
      <c r="P12" s="5">
        <f>SUM(OSRRefP13x_0)</f>
        <v>4525571.5999999996</v>
      </c>
      <c r="Q12" s="5"/>
      <c r="R12" s="13"/>
      <c r="S12" s="5"/>
      <c r="T12" s="5">
        <f>SUM(OSRRefT13x_0)</f>
        <v>827548.19</v>
      </c>
      <c r="U12" s="5"/>
      <c r="V12" s="13"/>
      <c r="W12" s="5"/>
      <c r="X12" s="5">
        <f>+P12-T12</f>
        <v>3698023.4099999997</v>
      </c>
      <c r="Y12" s="5"/>
      <c r="Z12" s="13">
        <f>IF(T12=0,0,X12/T12)</f>
        <v>4.4686502305080262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--199.6</f>
        <v>199.6</v>
      </c>
      <c r="E13" s="3"/>
      <c r="F13" s="20"/>
      <c r="G13" s="3"/>
      <c r="H13" s="3">
        <f>--163.51</f>
        <v>163.51</v>
      </c>
      <c r="I13" s="3"/>
      <c r="J13" s="20"/>
      <c r="K13" s="3"/>
      <c r="L13" s="3">
        <f>+D13-H13</f>
        <v>36.090000000000003</v>
      </c>
      <c r="M13" s="3"/>
      <c r="N13" s="20">
        <f>IF(H13=0,0,L13/H13)</f>
        <v>0.22072044523270751</v>
      </c>
      <c r="O13" s="12"/>
      <c r="P13" s="3">
        <f>--946.3</f>
        <v>946.3</v>
      </c>
      <c r="Q13" s="3"/>
      <c r="R13" s="20"/>
      <c r="S13" s="3"/>
      <c r="T13" s="3">
        <f>--706.07</f>
        <v>706.07</v>
      </c>
      <c r="U13" s="3"/>
      <c r="V13" s="20"/>
      <c r="W13" s="3"/>
      <c r="X13" s="3">
        <f>+P13-T13</f>
        <v>240.2299999999999</v>
      </c>
      <c r="Y13" s="3"/>
      <c r="Z13" s="20">
        <f>IF(T13=0,0,X13/T13)</f>
        <v>0.34023538742617571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--671884.24</f>
        <v>671884.24</v>
      </c>
      <c r="E14" s="3"/>
      <c r="F14" s="20"/>
      <c r="G14" s="3"/>
      <c r="H14" s="3">
        <f>--86462.44</f>
        <v>86462.44</v>
      </c>
      <c r="I14" s="3"/>
      <c r="J14" s="20"/>
      <c r="K14" s="3"/>
      <c r="L14" s="3">
        <f>+D14-H14</f>
        <v>585421.80000000005</v>
      </c>
      <c r="M14" s="3"/>
      <c r="N14" s="20">
        <f>IF(H14=0,0,L14/H14)</f>
        <v>6.770822104951006</v>
      </c>
      <c r="O14" s="12"/>
      <c r="P14" s="3">
        <f>--4502868.99</f>
        <v>4502868.99</v>
      </c>
      <c r="Q14" s="3"/>
      <c r="R14" s="20"/>
      <c r="S14" s="3"/>
      <c r="T14" s="3">
        <f>--791165.03</f>
        <v>791165.03</v>
      </c>
      <c r="U14" s="3"/>
      <c r="V14" s="20"/>
      <c r="W14" s="3"/>
      <c r="X14" s="3">
        <f>+P14-T14</f>
        <v>3711703.96</v>
      </c>
      <c r="Y14" s="3"/>
      <c r="Z14" s="20">
        <f>IF(T14=0,0,X14/T14)</f>
        <v>4.6914408742256972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--4017.86</f>
        <v>4017.86</v>
      </c>
      <c r="E15" s="3"/>
      <c r="F15" s="20"/>
      <c r="G15" s="3"/>
      <c r="H15" s="3">
        <f>--5170.79</f>
        <v>5170.79</v>
      </c>
      <c r="I15" s="3"/>
      <c r="J15" s="20"/>
      <c r="K15" s="3"/>
      <c r="L15" s="3">
        <f>+D15-H15</f>
        <v>-1152.9299999999998</v>
      </c>
      <c r="M15" s="3"/>
      <c r="N15" s="20">
        <f>IF(H15=0,0,L15/H15)</f>
        <v>-0.22296979765180946</v>
      </c>
      <c r="O15" s="12"/>
      <c r="P15" s="3">
        <f>--21756.31</f>
        <v>21756.31</v>
      </c>
      <c r="Q15" s="3"/>
      <c r="R15" s="20"/>
      <c r="S15" s="3"/>
      <c r="T15" s="3">
        <f>--35677.09</f>
        <v>35677.089999999997</v>
      </c>
      <c r="U15" s="3"/>
      <c r="V15" s="20"/>
      <c r="W15" s="3"/>
      <c r="X15" s="3">
        <f>+P15-T15</f>
        <v>-13920.779999999995</v>
      </c>
      <c r="Y15" s="3"/>
      <c r="Z15" s="20">
        <f>IF(T15=0,0,X15/T15)</f>
        <v>-0.39018821322030461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8" t="s">
        <v>287</v>
      </c>
      <c r="C17" s="11"/>
      <c r="D17" s="5">
        <f>SUM(OSRRefD16x_0)</f>
        <v>158820.76999999999</v>
      </c>
      <c r="E17" s="5"/>
      <c r="F17" s="13">
        <f>IF(D$12=0,0,D17/D$12)</f>
        <v>0.23490662721303615</v>
      </c>
      <c r="G17" s="5"/>
      <c r="H17" s="5">
        <f>SUM(OSRRefH16x_0)</f>
        <v>43894.04</v>
      </c>
      <c r="I17" s="5"/>
      <c r="J17" s="13">
        <f>IF(H$12=0,0,H17/H$12)</f>
        <v>0.47816556448518766</v>
      </c>
      <c r="K17" s="5"/>
      <c r="L17" s="5">
        <f>+D17-H17</f>
        <v>114926.72999999998</v>
      </c>
      <c r="M17" s="5"/>
      <c r="N17" s="13">
        <f>IF(H17=0,0,L17/H17)</f>
        <v>2.6182764220381625</v>
      </c>
      <c r="O17" s="11"/>
      <c r="P17" s="5">
        <f>SUM(OSRRefP16x_0)</f>
        <v>1084689.43</v>
      </c>
      <c r="Q17" s="5"/>
      <c r="R17" s="13">
        <f>IF(P$12=0,0,P17/P$12)</f>
        <v>0.23968009477521027</v>
      </c>
      <c r="S17" s="5"/>
      <c r="T17" s="5">
        <f>SUM(OSRRefT16x_0)</f>
        <v>343660.45</v>
      </c>
      <c r="U17" s="5"/>
      <c r="V17" s="13">
        <f>IF(T$12=0,0,T17/T$12)</f>
        <v>0.41527545362645291</v>
      </c>
      <c r="W17" s="5"/>
      <c r="X17" s="5">
        <f>+P17-T17</f>
        <v>741028.98</v>
      </c>
      <c r="Y17" s="5"/>
      <c r="Z17" s="13">
        <f>IF(T17=0,0,X17/T17)</f>
        <v>2.1562824002587435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151246.76999999999</v>
      </c>
      <c r="E18" s="3"/>
      <c r="F18" s="20">
        <f>IF(D$12=0,0,D18/D$12)</f>
        <v>0.22370417054120703</v>
      </c>
      <c r="G18" s="3"/>
      <c r="H18" s="3">
        <v>38259.040000000001</v>
      </c>
      <c r="I18" s="3"/>
      <c r="J18" s="20">
        <f>IF(H$12=0,0,H18/H$12)</f>
        <v>0.41677994229424709</v>
      </c>
      <c r="K18" s="3"/>
      <c r="L18" s="3">
        <f>+D18-H18</f>
        <v>112987.72999999998</v>
      </c>
      <c r="M18" s="3"/>
      <c r="N18" s="20">
        <f>IF(H18=0,0,L18/H18)</f>
        <v>2.9532296157979911</v>
      </c>
      <c r="O18" s="12"/>
      <c r="P18" s="3">
        <v>1087946.43</v>
      </c>
      <c r="Q18" s="3"/>
      <c r="R18" s="20">
        <f>IF(P$12=0,0,P18/P$12)</f>
        <v>0.24039978286941699</v>
      </c>
      <c r="S18" s="3"/>
      <c r="T18" s="3">
        <v>358847.15</v>
      </c>
      <c r="U18" s="3"/>
      <c r="V18" s="20">
        <f>IF(T$12=0,0,T18/T$12)</f>
        <v>0.43362689247136177</v>
      </c>
      <c r="W18" s="3"/>
      <c r="X18" s="3">
        <f>+P18-T18</f>
        <v>729099.27999999991</v>
      </c>
      <c r="Y18" s="3"/>
      <c r="Z18" s="20">
        <f>IF(T18=0,0,X18/T18)</f>
        <v>2.0317822783321531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7574</v>
      </c>
      <c r="E19" s="3"/>
      <c r="F19" s="20">
        <f>IF(D$12=0,0,D19/D$12)</f>
        <v>1.1202456671829106E-2</v>
      </c>
      <c r="G19" s="3"/>
      <c r="H19" s="3">
        <v>5635</v>
      </c>
      <c r="I19" s="3"/>
      <c r="J19" s="20">
        <f>IF(H$12=0,0,H19/H$12)</f>
        <v>6.1385622190940556E-2</v>
      </c>
      <c r="K19" s="3"/>
      <c r="L19" s="3">
        <f>+D19-H19</f>
        <v>1939</v>
      </c>
      <c r="M19" s="3"/>
      <c r="N19" s="20">
        <f>IF(H19=0,0,L19/H19)</f>
        <v>0.34409937888198761</v>
      </c>
      <c r="O19" s="12"/>
      <c r="P19" s="3">
        <v>-3257</v>
      </c>
      <c r="Q19" s="3"/>
      <c r="R19" s="20">
        <f>IF(P$12=0,0,P19/P$12)</f>
        <v>-7.1968809420670755E-4</v>
      </c>
      <c r="S19" s="3"/>
      <c r="T19" s="3">
        <v>-15186.7</v>
      </c>
      <c r="U19" s="3"/>
      <c r="V19" s="20">
        <f>IF(T$12=0,0,T19/T$12)</f>
        <v>-1.8351438844908842E-2</v>
      </c>
      <c r="W19" s="3"/>
      <c r="X19" s="3">
        <f>+P19-T19</f>
        <v>11929.7</v>
      </c>
      <c r="Y19" s="3"/>
      <c r="Z19" s="20">
        <f>IF(T19=0,0,X19/T19)</f>
        <v>-0.78553602823523216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7" t="s">
        <v>288</v>
      </c>
      <c r="C21" s="27"/>
      <c r="D21" s="22">
        <f>D12-D17</f>
        <v>517280.92999999993</v>
      </c>
      <c r="E21" s="15"/>
      <c r="F21" s="21">
        <f>IF(D$12=0,0,D21/D$12)</f>
        <v>0.76509337278696377</v>
      </c>
      <c r="G21" s="15"/>
      <c r="H21" s="22">
        <f>H12-H17</f>
        <v>47902.69999999999</v>
      </c>
      <c r="I21" s="15"/>
      <c r="J21" s="21">
        <f>IF(H$12=0,0,H21/H$12)</f>
        <v>0.52183443551481234</v>
      </c>
      <c r="K21" s="17"/>
      <c r="L21" s="22">
        <f>+D21-H21</f>
        <v>469378.22999999992</v>
      </c>
      <c r="M21" s="17"/>
      <c r="N21" s="21">
        <f>IF(H21=0,0,L21/H21)</f>
        <v>9.7985756543994391</v>
      </c>
      <c r="O21" s="28"/>
      <c r="P21" s="22">
        <f>P12-P17</f>
        <v>3440882.17</v>
      </c>
      <c r="Q21" s="15"/>
      <c r="R21" s="21">
        <f>IF(P$12=0,0,P21/P$12)</f>
        <v>0.76031990522478976</v>
      </c>
      <c r="S21" s="15"/>
      <c r="T21" s="22">
        <f>T12-T17</f>
        <v>483887.73999999993</v>
      </c>
      <c r="U21" s="15"/>
      <c r="V21" s="21">
        <f>IF(T$12=0,0,T21/T$12)</f>
        <v>0.58472454637354709</v>
      </c>
      <c r="W21" s="17"/>
      <c r="X21" s="22">
        <f>+P21-T21</f>
        <v>2956994.43</v>
      </c>
      <c r="Y21" s="17"/>
      <c r="Z21" s="21">
        <f>IF(T21=0,0,X21/T21)</f>
        <v>6.1109100015635871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8" t="s">
        <v>289</v>
      </c>
      <c r="C23" s="11"/>
      <c r="D23" s="23" cm="1">
        <f t="array" ref="D23">SUM(OSRRefD22x_0)</f>
        <v>220502.02000000002</v>
      </c>
      <c r="E23" s="23"/>
      <c r="F23" s="35">
        <f t="shared" ref="F23:F54" si="0">IF(D$12=0,0,D23/D$12)</f>
        <v>0.32613735477961381</v>
      </c>
      <c r="G23" s="23"/>
      <c r="H23" s="23" cm="1">
        <f t="array" ref="H23">SUM(OSRRefH22x_0)</f>
        <v>116953.97</v>
      </c>
      <c r="I23" s="23"/>
      <c r="J23" s="35">
        <f t="shared" ref="J23:J54" si="1">IF(H$12=0,0,H23/H$12)</f>
        <v>1.2740536319699372</v>
      </c>
      <c r="K23" s="5"/>
      <c r="L23" s="23">
        <f t="shared" ref="L23:L54" si="2">+D23-H23</f>
        <v>103548.05000000002</v>
      </c>
      <c r="M23" s="5"/>
      <c r="N23" s="35">
        <f t="shared" ref="N23:N54" si="3">IF(H23=0,0,L23/H23)</f>
        <v>0.88537439130967521</v>
      </c>
      <c r="O23" s="11"/>
      <c r="P23" s="23" cm="1">
        <f t="array" ref="P23">SUM(OSRRefP22x_0)</f>
        <v>1679912.6200000003</v>
      </c>
      <c r="Q23" s="23"/>
      <c r="R23" s="35">
        <f t="shared" ref="R23:R54" si="4">IF(P$12=0,0,P23/P$12)</f>
        <v>0.37120451701614898</v>
      </c>
      <c r="S23" s="23"/>
      <c r="T23" s="23" cm="1">
        <f t="array" ref="T23">SUM(OSRRefT22x_0)</f>
        <v>1036285.3200000001</v>
      </c>
      <c r="U23" s="23"/>
      <c r="V23" s="35">
        <f t="shared" ref="V23:V54" si="5">IF(T$12=0,0,T23/T$12)</f>
        <v>1.2522356190519854</v>
      </c>
      <c r="W23" s="5"/>
      <c r="X23" s="23">
        <f t="shared" ref="X23:X54" si="6">+P23-T23</f>
        <v>643627.30000000028</v>
      </c>
      <c r="Y23" s="5"/>
      <c r="Z23" s="35">
        <f t="shared" ref="Z23:Z54" si="7">IF(T23=0,0,X23/T23)</f>
        <v>0.62109082081757194</v>
      </c>
    </row>
    <row r="24" spans="1:26" s="68" customFormat="1" ht="15" customHeight="1" outlineLevel="1" collapsed="1" x14ac:dyDescent="0.3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28495.360000000001</v>
      </c>
      <c r="E24" s="2"/>
      <c r="F24" s="6">
        <f t="shared" si="0"/>
        <v>4.2146558720381866E-2</v>
      </c>
      <c r="G24" s="2"/>
      <c r="H24" s="2">
        <f>SUM(OSRRefH22_0x_0)</f>
        <v>31027.86</v>
      </c>
      <c r="I24" s="2"/>
      <c r="J24" s="6">
        <f t="shared" si="1"/>
        <v>0.33800612091453358</v>
      </c>
      <c r="K24" s="2"/>
      <c r="L24" s="2">
        <f t="shared" si="2"/>
        <v>-2532.5</v>
      </c>
      <c r="M24" s="2"/>
      <c r="N24" s="6">
        <f t="shared" si="3"/>
        <v>-8.1620195527503339E-2</v>
      </c>
      <c r="O24" s="14"/>
      <c r="P24" s="2">
        <f>SUM(OSRRefP22_0x_0)</f>
        <v>269790.56</v>
      </c>
      <c r="Q24" s="2"/>
      <c r="R24" s="6">
        <f t="shared" si="4"/>
        <v>5.9614692650095301E-2</v>
      </c>
      <c r="S24" s="2"/>
      <c r="T24" s="2">
        <f>SUM(OSRRefT22_0x_0)</f>
        <v>276985.28999999998</v>
      </c>
      <c r="U24" s="2"/>
      <c r="V24" s="6">
        <f t="shared" si="5"/>
        <v>0.33470593416438987</v>
      </c>
      <c r="W24" s="2"/>
      <c r="X24" s="2">
        <f t="shared" si="6"/>
        <v>-7194.7299999999814</v>
      </c>
      <c r="Y24" s="2"/>
      <c r="Z24" s="6">
        <f t="shared" si="7"/>
        <v>-2.5975133914151117E-2</v>
      </c>
    </row>
    <row r="25" spans="1:26" s="69" customFormat="1" ht="15" hidden="1" customHeight="1" outlineLevel="2" x14ac:dyDescent="0.3">
      <c r="A25" s="25"/>
      <c r="B25" s="12" t="str">
        <f>CONCATENATE("          ","6111"," - ","F.I.C.A.")</f>
        <v xml:space="preserve">          6111 - F.I.C.A.</v>
      </c>
      <c r="C25" s="12"/>
      <c r="D25" s="8">
        <v>4408.5600000000004</v>
      </c>
      <c r="E25" s="3"/>
      <c r="F25" s="7">
        <f t="shared" si="0"/>
        <v>6.5205574841773074E-3</v>
      </c>
      <c r="G25" s="3"/>
      <c r="H25" s="8">
        <v>3344.8</v>
      </c>
      <c r="I25" s="3"/>
      <c r="J25" s="7">
        <f t="shared" si="1"/>
        <v>3.6437023798448619E-2</v>
      </c>
      <c r="K25" s="3"/>
      <c r="L25" s="8">
        <f t="shared" si="2"/>
        <v>1063.7600000000002</v>
      </c>
      <c r="M25" s="3"/>
      <c r="N25" s="7">
        <f t="shared" si="3"/>
        <v>0.31803396316670657</v>
      </c>
      <c r="O25" s="12"/>
      <c r="P25" s="8">
        <v>41605.800000000003</v>
      </c>
      <c r="Q25" s="3"/>
      <c r="R25" s="7">
        <f t="shared" si="4"/>
        <v>9.1934906079046471E-3</v>
      </c>
      <c r="S25" s="3"/>
      <c r="T25" s="8">
        <v>31466.33</v>
      </c>
      <c r="U25" s="3"/>
      <c r="V25" s="7">
        <f t="shared" si="5"/>
        <v>3.8023562108207863E-2</v>
      </c>
      <c r="W25" s="3"/>
      <c r="X25" s="8">
        <f t="shared" si="6"/>
        <v>10139.470000000001</v>
      </c>
      <c r="Y25" s="3"/>
      <c r="Z25" s="7">
        <f t="shared" si="7"/>
        <v>0.32223236710477521</v>
      </c>
    </row>
    <row r="26" spans="1:26" s="69" customFormat="1" ht="15" hidden="1" customHeight="1" outlineLevel="2" x14ac:dyDescent="0.3">
      <c r="A26" s="25"/>
      <c r="B26" s="12" t="str">
        <f>CONCATENATE("          ","6112"," - ","COMPENSATION INSURANCE")</f>
        <v xml:space="preserve">          6112 - COMPENSATION INSURANCE</v>
      </c>
      <c r="C26" s="12"/>
      <c r="D26" s="8">
        <v>4192.41</v>
      </c>
      <c r="E26" s="3"/>
      <c r="F26" s="7">
        <f t="shared" si="0"/>
        <v>6.2008570604096987E-3</v>
      </c>
      <c r="G26" s="3"/>
      <c r="H26" s="8">
        <v>2358.86</v>
      </c>
      <c r="I26" s="3"/>
      <c r="J26" s="7">
        <f t="shared" si="1"/>
        <v>2.569655523714677E-2</v>
      </c>
      <c r="K26" s="3"/>
      <c r="L26" s="8">
        <f t="shared" si="2"/>
        <v>1833.5499999999997</v>
      </c>
      <c r="M26" s="3"/>
      <c r="N26" s="7">
        <f t="shared" si="3"/>
        <v>0.77730344318865874</v>
      </c>
      <c r="O26" s="12"/>
      <c r="P26" s="8">
        <v>27710.99</v>
      </c>
      <c r="Q26" s="3"/>
      <c r="R26" s="7">
        <f t="shared" si="4"/>
        <v>6.1232022049988125E-3</v>
      </c>
      <c r="S26" s="3"/>
      <c r="T26" s="8">
        <v>22044.080000000002</v>
      </c>
      <c r="U26" s="3"/>
      <c r="V26" s="7">
        <f t="shared" si="5"/>
        <v>2.6637820330439009E-2</v>
      </c>
      <c r="W26" s="3"/>
      <c r="X26" s="8">
        <f t="shared" si="6"/>
        <v>5666.91</v>
      </c>
      <c r="Y26" s="3"/>
      <c r="Z26" s="7">
        <f t="shared" si="7"/>
        <v>0.25707173989569987</v>
      </c>
    </row>
    <row r="27" spans="1:26" s="69" customFormat="1" ht="15" hidden="1" customHeight="1" outlineLevel="2" x14ac:dyDescent="0.3">
      <c r="A27" s="25"/>
      <c r="B27" s="12" t="str">
        <f>CONCATENATE("          ","6113"," - ","GROUP INSURANCE")</f>
        <v xml:space="preserve">          6113 - GROUP INSURANCE</v>
      </c>
      <c r="C27" s="12"/>
      <c r="D27" s="8">
        <v>12913.95</v>
      </c>
      <c r="E27" s="3"/>
      <c r="F27" s="7">
        <f t="shared" si="0"/>
        <v>1.9100602764347437E-2</v>
      </c>
      <c r="G27" s="3"/>
      <c r="H27" s="8">
        <v>17691.580000000002</v>
      </c>
      <c r="I27" s="3"/>
      <c r="J27" s="7">
        <f t="shared" si="1"/>
        <v>0.19272558045089622</v>
      </c>
      <c r="K27" s="3"/>
      <c r="L27" s="8">
        <f t="shared" si="2"/>
        <v>-4777.630000000001</v>
      </c>
      <c r="M27" s="3"/>
      <c r="N27" s="7">
        <f t="shared" si="3"/>
        <v>-0.27005106383940836</v>
      </c>
      <c r="O27" s="12"/>
      <c r="P27" s="8">
        <v>130529.85</v>
      </c>
      <c r="Q27" s="3"/>
      <c r="R27" s="7">
        <f t="shared" si="4"/>
        <v>2.8842732263919989E-2</v>
      </c>
      <c r="S27" s="3"/>
      <c r="T27" s="8">
        <v>156078.54</v>
      </c>
      <c r="U27" s="3"/>
      <c r="V27" s="7">
        <f t="shared" si="5"/>
        <v>0.18860356639774659</v>
      </c>
      <c r="W27" s="3"/>
      <c r="X27" s="8">
        <f t="shared" si="6"/>
        <v>-25548.690000000002</v>
      </c>
      <c r="Y27" s="3"/>
      <c r="Z27" s="7">
        <f t="shared" si="7"/>
        <v>-0.16369124160182433</v>
      </c>
    </row>
    <row r="28" spans="1:26" s="69" customFormat="1" ht="15" hidden="1" customHeight="1" outlineLevel="2" x14ac:dyDescent="0.3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8">
        <v>302.79000000000002</v>
      </c>
      <c r="E28" s="3"/>
      <c r="F28" s="7">
        <f t="shared" si="0"/>
        <v>4.4784682541102919E-4</v>
      </c>
      <c r="G28" s="3"/>
      <c r="H28" s="8">
        <v>147.01</v>
      </c>
      <c r="I28" s="3"/>
      <c r="J28" s="7">
        <f t="shared" si="1"/>
        <v>1.6014729934853897E-3</v>
      </c>
      <c r="K28" s="3"/>
      <c r="L28" s="8">
        <f t="shared" si="2"/>
        <v>155.78000000000003</v>
      </c>
      <c r="M28" s="3"/>
      <c r="N28" s="7">
        <f t="shared" si="3"/>
        <v>1.0596558057275018</v>
      </c>
      <c r="O28" s="12"/>
      <c r="P28" s="8">
        <v>2001.34</v>
      </c>
      <c r="Q28" s="3"/>
      <c r="R28" s="7">
        <f t="shared" si="4"/>
        <v>4.4222922028236173E-4</v>
      </c>
      <c r="S28" s="3"/>
      <c r="T28" s="8">
        <v>1415.26</v>
      </c>
      <c r="U28" s="3"/>
      <c r="V28" s="7">
        <f t="shared" si="5"/>
        <v>1.7101843942163659E-3</v>
      </c>
      <c r="W28" s="3"/>
      <c r="X28" s="8">
        <f t="shared" si="6"/>
        <v>586.07999999999993</v>
      </c>
      <c r="Y28" s="3"/>
      <c r="Z28" s="7">
        <f t="shared" si="7"/>
        <v>0.41411472096999841</v>
      </c>
    </row>
    <row r="29" spans="1:26" s="69" customFormat="1" ht="15" hidden="1" customHeight="1" outlineLevel="2" x14ac:dyDescent="0.3">
      <c r="A29" s="25"/>
      <c r="B29" s="12" t="str">
        <f>CONCATENATE("          ","6115"," - ","P.E.R.S.")</f>
        <v xml:space="preserve">          6115 - P.E.R.S.</v>
      </c>
      <c r="C29" s="12"/>
      <c r="D29" s="8">
        <v>1163.51</v>
      </c>
      <c r="E29" s="3"/>
      <c r="F29" s="7">
        <f t="shared" si="0"/>
        <v>1.7209097388750836E-3</v>
      </c>
      <c r="G29" s="3"/>
      <c r="H29" s="8">
        <v>1457.5</v>
      </c>
      <c r="I29" s="3"/>
      <c r="J29" s="7">
        <f t="shared" si="1"/>
        <v>1.5877470158526329E-2</v>
      </c>
      <c r="K29" s="3"/>
      <c r="L29" s="8">
        <f t="shared" si="2"/>
        <v>-293.99</v>
      </c>
      <c r="M29" s="3"/>
      <c r="N29" s="7">
        <f t="shared" si="3"/>
        <v>-0.20170840480274443</v>
      </c>
      <c r="O29" s="12"/>
      <c r="P29" s="8">
        <v>12870.09</v>
      </c>
      <c r="Q29" s="3"/>
      <c r="R29" s="7">
        <f t="shared" si="4"/>
        <v>2.8438595469354637E-3</v>
      </c>
      <c r="S29" s="3"/>
      <c r="T29" s="8">
        <v>14641.56</v>
      </c>
      <c r="U29" s="3"/>
      <c r="V29" s="7">
        <f t="shared" si="5"/>
        <v>1.7692697750930977E-2</v>
      </c>
      <c r="W29" s="3"/>
      <c r="X29" s="8">
        <f t="shared" si="6"/>
        <v>-1771.4699999999993</v>
      </c>
      <c r="Y29" s="3"/>
      <c r="Z29" s="7">
        <f t="shared" si="7"/>
        <v>-0.1209891568931179</v>
      </c>
    </row>
    <row r="30" spans="1:26" s="69" customFormat="1" ht="15" hidden="1" customHeight="1" outlineLevel="2" x14ac:dyDescent="0.3">
      <c r="A30" s="25"/>
      <c r="B30" s="12" t="str">
        <f>CONCATENATE("          ","6117"," - ","RETIREMENT STAFF HOURLY")</f>
        <v xml:space="preserve">          6117 - RETIREMENT STAFF HOURLY</v>
      </c>
      <c r="C30" s="12"/>
      <c r="D30" s="8">
        <v>509.94</v>
      </c>
      <c r="E30" s="3"/>
      <c r="F30" s="7">
        <f t="shared" si="0"/>
        <v>7.5423564235972196E-4</v>
      </c>
      <c r="G30" s="3"/>
      <c r="H30" s="8">
        <v>719.11</v>
      </c>
      <c r="I30" s="3"/>
      <c r="J30" s="7">
        <f t="shared" si="1"/>
        <v>7.8337204567395322E-3</v>
      </c>
      <c r="K30" s="3"/>
      <c r="L30" s="8">
        <f t="shared" si="2"/>
        <v>-209.17000000000002</v>
      </c>
      <c r="M30" s="3"/>
      <c r="N30" s="7">
        <f t="shared" si="3"/>
        <v>-0.29087344078096539</v>
      </c>
      <c r="O30" s="12"/>
      <c r="P30" s="8">
        <v>4607.3100000000004</v>
      </c>
      <c r="Q30" s="3"/>
      <c r="R30" s="7">
        <f t="shared" si="4"/>
        <v>1.0180614532758693E-3</v>
      </c>
      <c r="S30" s="3"/>
      <c r="T30" s="8">
        <v>4936.6099999999997</v>
      </c>
      <c r="U30" s="3"/>
      <c r="V30" s="7">
        <f t="shared" si="5"/>
        <v>5.9653444471916492E-3</v>
      </c>
      <c r="W30" s="3"/>
      <c r="X30" s="8">
        <f t="shared" si="6"/>
        <v>-329.29999999999927</v>
      </c>
      <c r="Y30" s="3"/>
      <c r="Z30" s="7">
        <f t="shared" si="7"/>
        <v>-6.6705694798657234E-2</v>
      </c>
    </row>
    <row r="31" spans="1:26" s="69" customFormat="1" ht="15" hidden="1" customHeight="1" outlineLevel="2" x14ac:dyDescent="0.3">
      <c r="A31" s="25"/>
      <c r="B31" s="12" t="str">
        <f>CONCATENATE("          ","6118"," - ","VACATION")</f>
        <v xml:space="preserve">          6118 - VACATION</v>
      </c>
      <c r="C31" s="12"/>
      <c r="D31" s="8">
        <v>2337.8000000000002</v>
      </c>
      <c r="E31" s="3"/>
      <c r="F31" s="7">
        <f t="shared" si="0"/>
        <v>3.4577638245843791E-3</v>
      </c>
      <c r="G31" s="3"/>
      <c r="H31" s="8">
        <v>2606.96</v>
      </c>
      <c r="I31" s="3"/>
      <c r="J31" s="7">
        <f t="shared" si="1"/>
        <v>2.8399265594834851E-2</v>
      </c>
      <c r="K31" s="3"/>
      <c r="L31" s="8">
        <f t="shared" si="2"/>
        <v>-269.15999999999985</v>
      </c>
      <c r="M31" s="3"/>
      <c r="N31" s="7">
        <f t="shared" si="3"/>
        <v>-0.1032466934667198</v>
      </c>
      <c r="O31" s="12"/>
      <c r="P31" s="8">
        <v>24808.13</v>
      </c>
      <c r="Q31" s="3"/>
      <c r="R31" s="7">
        <f t="shared" si="4"/>
        <v>5.4817672092515347E-3</v>
      </c>
      <c r="S31" s="3"/>
      <c r="T31" s="8">
        <v>23853.82</v>
      </c>
      <c r="U31" s="3"/>
      <c r="V31" s="7">
        <f t="shared" si="5"/>
        <v>2.8824689955517881E-2</v>
      </c>
      <c r="W31" s="3"/>
      <c r="X31" s="8">
        <f t="shared" si="6"/>
        <v>954.31000000000131</v>
      </c>
      <c r="Y31" s="3"/>
      <c r="Z31" s="7">
        <f t="shared" si="7"/>
        <v>4.0006590139441037E-2</v>
      </c>
    </row>
    <row r="32" spans="1:26" s="69" customFormat="1" ht="15" hidden="1" customHeight="1" outlineLevel="2" x14ac:dyDescent="0.3">
      <c r="A32" s="25"/>
      <c r="B32" s="12" t="str">
        <f>CONCATENATE("          ","6119"," - ","SICK LEAVE")</f>
        <v xml:space="preserve">          6119 - SICK LEAVE</v>
      </c>
      <c r="C32" s="12"/>
      <c r="D32" s="8">
        <v>1746.2</v>
      </c>
      <c r="E32" s="3"/>
      <c r="F32" s="7">
        <f t="shared" si="0"/>
        <v>2.5827475363543683E-3</v>
      </c>
      <c r="G32" s="3"/>
      <c r="H32" s="8">
        <v>1633.22</v>
      </c>
      <c r="I32" s="3"/>
      <c r="J32" s="7">
        <f t="shared" si="1"/>
        <v>1.7791699356643823E-2</v>
      </c>
      <c r="K32" s="3"/>
      <c r="L32" s="8">
        <f t="shared" si="2"/>
        <v>112.98000000000002</v>
      </c>
      <c r="M32" s="3"/>
      <c r="N32" s="7">
        <f t="shared" si="3"/>
        <v>6.9176228554634414E-2</v>
      </c>
      <c r="O32" s="12"/>
      <c r="P32" s="8">
        <v>17203.62</v>
      </c>
      <c r="Q32" s="3"/>
      <c r="R32" s="7">
        <f t="shared" si="4"/>
        <v>3.8014247747179607E-3</v>
      </c>
      <c r="S32" s="3"/>
      <c r="T32" s="8">
        <v>14965.42</v>
      </c>
      <c r="U32" s="3"/>
      <c r="V32" s="7">
        <f t="shared" si="5"/>
        <v>1.8084046561687241E-2</v>
      </c>
      <c r="W32" s="3"/>
      <c r="X32" s="8">
        <f t="shared" si="6"/>
        <v>2238.1999999999989</v>
      </c>
      <c r="Y32" s="3"/>
      <c r="Z32" s="7">
        <f t="shared" si="7"/>
        <v>0.14955811464028398</v>
      </c>
    </row>
    <row r="33" spans="1:26" s="69" customFormat="1" ht="15" hidden="1" customHeight="1" outlineLevel="2" x14ac:dyDescent="0.3">
      <c r="A33" s="25"/>
      <c r="B33" s="12" t="str">
        <f>CONCATENATE("          ","6156"," - ","EMPLOYEE MEALS")</f>
        <v xml:space="preserve">          6156 - EMPLOYEE MEALS</v>
      </c>
      <c r="C33" s="12"/>
      <c r="D33" s="8">
        <v>920.2</v>
      </c>
      <c r="E33" s="3"/>
      <c r="F33" s="7">
        <f t="shared" si="0"/>
        <v>1.361037843862839E-3</v>
      </c>
      <c r="G33" s="3"/>
      <c r="H33" s="8">
        <v>1068.82</v>
      </c>
      <c r="I33" s="3"/>
      <c r="J33" s="7">
        <f t="shared" si="1"/>
        <v>1.1643332867812082E-2</v>
      </c>
      <c r="K33" s="3"/>
      <c r="L33" s="8">
        <f t="shared" si="2"/>
        <v>-148.61999999999989</v>
      </c>
      <c r="M33" s="3"/>
      <c r="N33" s="7">
        <f t="shared" si="3"/>
        <v>-0.13905054171890488</v>
      </c>
      <c r="O33" s="12"/>
      <c r="P33" s="8">
        <v>8453.43</v>
      </c>
      <c r="Q33" s="3"/>
      <c r="R33" s="7">
        <f t="shared" si="4"/>
        <v>1.8679253688086608E-3</v>
      </c>
      <c r="S33" s="3"/>
      <c r="T33" s="8">
        <v>7583.67</v>
      </c>
      <c r="U33" s="3"/>
      <c r="V33" s="7">
        <f t="shared" si="5"/>
        <v>9.1640222184523178E-3</v>
      </c>
      <c r="W33" s="3"/>
      <c r="X33" s="8">
        <f t="shared" si="6"/>
        <v>869.76000000000022</v>
      </c>
      <c r="Y33" s="3"/>
      <c r="Z33" s="7">
        <f t="shared" si="7"/>
        <v>0.11468853470681084</v>
      </c>
    </row>
    <row r="34" spans="1:26" s="68" customFormat="1" ht="15" customHeight="1" outlineLevel="1" collapsed="1" x14ac:dyDescent="0.3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115281.98000000001</v>
      </c>
      <c r="E34" s="2"/>
      <c r="F34" s="6">
        <f t="shared" si="0"/>
        <v>0.17050982122955766</v>
      </c>
      <c r="G34" s="2"/>
      <c r="H34" s="2">
        <f>SUM(OSRRefH22_1x_0)</f>
        <v>54784.21</v>
      </c>
      <c r="I34" s="2"/>
      <c r="J34" s="6">
        <f t="shared" si="1"/>
        <v>0.59679908022877504</v>
      </c>
      <c r="K34" s="2"/>
      <c r="L34" s="2">
        <f t="shared" si="2"/>
        <v>60497.770000000011</v>
      </c>
      <c r="M34" s="2"/>
      <c r="N34" s="6">
        <f t="shared" si="3"/>
        <v>1.10429209438267</v>
      </c>
      <c r="O34" s="14"/>
      <c r="P34" s="2">
        <f>SUM(OSRRefP22_1x_0)</f>
        <v>829983.90999999992</v>
      </c>
      <c r="Q34" s="2"/>
      <c r="R34" s="6">
        <f t="shared" si="4"/>
        <v>0.18339869155975788</v>
      </c>
      <c r="S34" s="2"/>
      <c r="T34" s="2">
        <f>SUM(OSRRefT22_1x_0)</f>
        <v>484184.99</v>
      </c>
      <c r="U34" s="2"/>
      <c r="V34" s="6">
        <f t="shared" si="5"/>
        <v>0.5850837399571861</v>
      </c>
      <c r="W34" s="2"/>
      <c r="X34" s="2">
        <f t="shared" si="6"/>
        <v>345798.91999999993</v>
      </c>
      <c r="Y34" s="2"/>
      <c r="Z34" s="6">
        <f t="shared" si="7"/>
        <v>0.71418760833540074</v>
      </c>
    </row>
    <row r="35" spans="1:26" s="69" customFormat="1" ht="15" hidden="1" customHeight="1" outlineLevel="2" x14ac:dyDescent="0.3">
      <c r="A35" s="25"/>
      <c r="B35" s="12" t="str">
        <f>CONCATENATE("          ","6002"," - ","STAFF SALARIES")</f>
        <v xml:space="preserve">          6002 - STAFF SALARIES</v>
      </c>
      <c r="C35" s="12"/>
      <c r="D35" s="8">
        <v>12189.06</v>
      </c>
      <c r="E35" s="3"/>
      <c r="F35" s="7">
        <f t="shared" si="0"/>
        <v>1.8028441579129296E-2</v>
      </c>
      <c r="G35" s="3"/>
      <c r="H35" s="8">
        <v>14347.27</v>
      </c>
      <c r="I35" s="3"/>
      <c r="J35" s="7">
        <f t="shared" si="1"/>
        <v>0.15629389453263812</v>
      </c>
      <c r="K35" s="3"/>
      <c r="L35" s="8">
        <f t="shared" si="2"/>
        <v>-2158.2100000000009</v>
      </c>
      <c r="M35" s="3"/>
      <c r="N35" s="7">
        <f t="shared" si="3"/>
        <v>-0.15042652713721849</v>
      </c>
      <c r="O35" s="12"/>
      <c r="P35" s="8">
        <v>142258.07999999999</v>
      </c>
      <c r="Q35" s="3"/>
      <c r="R35" s="7">
        <f t="shared" si="4"/>
        <v>3.1434278931748647E-2</v>
      </c>
      <c r="S35" s="3"/>
      <c r="T35" s="8">
        <v>137079.89000000001</v>
      </c>
      <c r="U35" s="3"/>
      <c r="V35" s="7">
        <f t="shared" si="5"/>
        <v>0.1656458097020308</v>
      </c>
      <c r="W35" s="3"/>
      <c r="X35" s="8">
        <f t="shared" si="6"/>
        <v>5178.1899999999732</v>
      </c>
      <c r="Y35" s="3"/>
      <c r="Z35" s="7">
        <f t="shared" si="7"/>
        <v>3.7774979247502845E-2</v>
      </c>
    </row>
    <row r="36" spans="1:26" s="69" customFormat="1" ht="15" hidden="1" customHeight="1" outlineLevel="2" x14ac:dyDescent="0.3">
      <c r="A36" s="25"/>
      <c r="B36" s="12" t="str">
        <f>CONCATENATE("          ","6004"," - ","STAFF HOURLY")</f>
        <v xml:space="preserve">          6004 - STAFF HOURLY</v>
      </c>
      <c r="C36" s="12"/>
      <c r="D36" s="8">
        <v>21492.16</v>
      </c>
      <c r="E36" s="3"/>
      <c r="F36" s="7">
        <f t="shared" si="0"/>
        <v>3.1788353734356831E-2</v>
      </c>
      <c r="G36" s="3"/>
      <c r="H36" s="8">
        <v>17885.939999999999</v>
      </c>
      <c r="I36" s="3"/>
      <c r="J36" s="7">
        <f t="shared" si="1"/>
        <v>0.19484286696891415</v>
      </c>
      <c r="K36" s="3"/>
      <c r="L36" s="8">
        <f t="shared" si="2"/>
        <v>3606.2200000000012</v>
      </c>
      <c r="M36" s="3"/>
      <c r="N36" s="7">
        <f t="shared" si="3"/>
        <v>0.20162317440402916</v>
      </c>
      <c r="O36" s="12"/>
      <c r="P36" s="8">
        <v>250055.86</v>
      </c>
      <c r="Q36" s="3"/>
      <c r="R36" s="7">
        <f t="shared" si="4"/>
        <v>5.5253983828252771E-2</v>
      </c>
      <c r="S36" s="3"/>
      <c r="T36" s="8">
        <v>140441.98000000001</v>
      </c>
      <c r="U36" s="3"/>
      <c r="V36" s="7">
        <f t="shared" si="5"/>
        <v>0.16970852174783926</v>
      </c>
      <c r="W36" s="3"/>
      <c r="X36" s="8">
        <f t="shared" si="6"/>
        <v>109613.87999999998</v>
      </c>
      <c r="Y36" s="3"/>
      <c r="Z36" s="7">
        <f t="shared" si="7"/>
        <v>0.78049227161280388</v>
      </c>
    </row>
    <row r="37" spans="1:26" s="69" customFormat="1" ht="15" hidden="1" customHeight="1" outlineLevel="2" x14ac:dyDescent="0.3">
      <c r="A37" s="25"/>
      <c r="B37" s="12" t="str">
        <f>CONCATENATE("          ","6005"," - ","TEMPORARY WAGES-HOURLY")</f>
        <v xml:space="preserve">          6005 - TEMPORARY WAGES-HOURLY</v>
      </c>
      <c r="C37" s="12"/>
      <c r="D37" s="8">
        <v>12810.28</v>
      </c>
      <c r="E37" s="3"/>
      <c r="F37" s="7">
        <f t="shared" si="0"/>
        <v>1.8947267844467781E-2</v>
      </c>
      <c r="G37" s="3"/>
      <c r="H37" s="8">
        <v>8953.15</v>
      </c>
      <c r="I37" s="3"/>
      <c r="J37" s="7">
        <f t="shared" si="1"/>
        <v>9.7532330668823317E-2</v>
      </c>
      <c r="K37" s="3"/>
      <c r="L37" s="8">
        <f t="shared" si="2"/>
        <v>3857.130000000001</v>
      </c>
      <c r="M37" s="3"/>
      <c r="N37" s="7">
        <f t="shared" si="3"/>
        <v>0.4308126190223554</v>
      </c>
      <c r="O37" s="12"/>
      <c r="P37" s="8">
        <v>150404.26</v>
      </c>
      <c r="Q37" s="3"/>
      <c r="R37" s="7">
        <f t="shared" si="4"/>
        <v>3.323431232421558E-2</v>
      </c>
      <c r="S37" s="3"/>
      <c r="T37" s="8">
        <v>89359.19</v>
      </c>
      <c r="U37" s="3"/>
      <c r="V37" s="7">
        <f t="shared" si="5"/>
        <v>0.10798064823270292</v>
      </c>
      <c r="W37" s="3"/>
      <c r="X37" s="8">
        <f t="shared" si="6"/>
        <v>61045.070000000007</v>
      </c>
      <c r="Y37" s="3"/>
      <c r="Z37" s="7">
        <f t="shared" si="7"/>
        <v>0.68314260682085415</v>
      </c>
    </row>
    <row r="38" spans="1:26" s="69" customFormat="1" ht="15" hidden="1" customHeight="1" outlineLevel="2" x14ac:dyDescent="0.3">
      <c r="A38" s="25"/>
      <c r="B38" s="12" t="str">
        <f>CONCATENATE("          ","6006"," - ","TEMPORARY PART TIME")</f>
        <v xml:space="preserve">          6006 - TEMPORARY PART TIME</v>
      </c>
      <c r="C38" s="12"/>
      <c r="D38" s="8">
        <v>1540.2</v>
      </c>
      <c r="E38" s="3"/>
      <c r="F38" s="7">
        <f t="shared" si="0"/>
        <v>2.2780596469436478E-3</v>
      </c>
      <c r="G38" s="3"/>
      <c r="H38" s="8">
        <v>717.96</v>
      </c>
      <c r="I38" s="3"/>
      <c r="J38" s="7">
        <f t="shared" si="1"/>
        <v>7.8211927787413815E-3</v>
      </c>
      <c r="K38" s="3"/>
      <c r="L38" s="8">
        <f t="shared" si="2"/>
        <v>822.24</v>
      </c>
      <c r="M38" s="3"/>
      <c r="N38" s="7">
        <f t="shared" si="3"/>
        <v>1.1452448604379073</v>
      </c>
      <c r="O38" s="12"/>
      <c r="P38" s="8">
        <v>2184.8000000000002</v>
      </c>
      <c r="Q38" s="3"/>
      <c r="R38" s="7">
        <f t="shared" si="4"/>
        <v>4.8276774584673468E-4</v>
      </c>
      <c r="S38" s="3"/>
      <c r="T38" s="8">
        <v>1326.96</v>
      </c>
      <c r="U38" s="3"/>
      <c r="V38" s="7">
        <f t="shared" si="5"/>
        <v>1.6034836593624838E-3</v>
      </c>
      <c r="W38" s="3"/>
      <c r="X38" s="8">
        <f t="shared" si="6"/>
        <v>857.84000000000015</v>
      </c>
      <c r="Y38" s="3"/>
      <c r="Z38" s="7">
        <f t="shared" si="7"/>
        <v>0.64647012720805463</v>
      </c>
    </row>
    <row r="39" spans="1:26" s="69" customFormat="1" ht="15" hidden="1" customHeight="1" outlineLevel="2" x14ac:dyDescent="0.3">
      <c r="A39" s="25"/>
      <c r="B39" s="12" t="str">
        <f>CONCATENATE("          ","6007"," - ","STUDENT HOURLY")</f>
        <v xml:space="preserve">          6007 - STUDENT HOURLY</v>
      </c>
      <c r="C39" s="12"/>
      <c r="D39" s="8">
        <v>52906.65</v>
      </c>
      <c r="E39" s="3"/>
      <c r="F39" s="7">
        <f t="shared" si="0"/>
        <v>7.8252502545105282E-2</v>
      </c>
      <c r="G39" s="3"/>
      <c r="H39" s="8">
        <v>12879.89</v>
      </c>
      <c r="I39" s="3"/>
      <c r="J39" s="7">
        <f t="shared" si="1"/>
        <v>0.14030879527965809</v>
      </c>
      <c r="K39" s="3"/>
      <c r="L39" s="8">
        <f t="shared" si="2"/>
        <v>40026.76</v>
      </c>
      <c r="M39" s="3"/>
      <c r="N39" s="7">
        <f t="shared" si="3"/>
        <v>3.107694242730334</v>
      </c>
      <c r="O39" s="12"/>
      <c r="P39" s="8">
        <v>207668.73</v>
      </c>
      <c r="Q39" s="3"/>
      <c r="R39" s="7">
        <f t="shared" si="4"/>
        <v>4.5887845416035411E-2</v>
      </c>
      <c r="S39" s="3"/>
      <c r="T39" s="8">
        <v>105346.09</v>
      </c>
      <c r="U39" s="3"/>
      <c r="V39" s="7">
        <f t="shared" si="5"/>
        <v>0.12729903982993426</v>
      </c>
      <c r="W39" s="3"/>
      <c r="X39" s="8">
        <f t="shared" si="6"/>
        <v>102322.64000000001</v>
      </c>
      <c r="Y39" s="3"/>
      <c r="Z39" s="7">
        <f t="shared" si="7"/>
        <v>0.97129983656726149</v>
      </c>
    </row>
    <row r="40" spans="1:26" s="69" customFormat="1" ht="15" hidden="1" customHeight="1" outlineLevel="2" x14ac:dyDescent="0.3">
      <c r="A40" s="25"/>
      <c r="B40" s="12" t="str">
        <f>CONCATENATE("          ","6008"," - ","STUDENT HOURLY-FICA EXEMPT")</f>
        <v xml:space="preserve">          6008 - STUDENT HOURLY-FICA EXEMPT</v>
      </c>
      <c r="C40" s="12"/>
      <c r="D40" s="8">
        <v>14343.63</v>
      </c>
      <c r="E40" s="3"/>
      <c r="F40" s="7">
        <f t="shared" si="0"/>
        <v>2.1215195879554807E-2</v>
      </c>
      <c r="G40" s="3"/>
      <c r="H40" s="8"/>
      <c r="I40" s="3"/>
      <c r="J40" s="7">
        <f t="shared" si="1"/>
        <v>0</v>
      </c>
      <c r="K40" s="3"/>
      <c r="L40" s="8">
        <f t="shared" si="2"/>
        <v>14343.63</v>
      </c>
      <c r="M40" s="3"/>
      <c r="N40" s="7">
        <f t="shared" si="3"/>
        <v>0</v>
      </c>
      <c r="O40" s="12"/>
      <c r="P40" s="8">
        <v>77412.179999999993</v>
      </c>
      <c r="Q40" s="3"/>
      <c r="R40" s="7">
        <f t="shared" si="4"/>
        <v>1.7105503313658767E-2</v>
      </c>
      <c r="S40" s="3"/>
      <c r="T40" s="8">
        <v>10630.88</v>
      </c>
      <c r="U40" s="3"/>
      <c r="V40" s="7">
        <f t="shared" si="5"/>
        <v>1.2846236785316394E-2</v>
      </c>
      <c r="W40" s="3"/>
      <c r="X40" s="8">
        <f t="shared" si="6"/>
        <v>66781.299999999988</v>
      </c>
      <c r="Y40" s="3"/>
      <c r="Z40" s="7">
        <f t="shared" si="7"/>
        <v>6.2818223891154821</v>
      </c>
    </row>
    <row r="41" spans="1:26" s="68" customFormat="1" ht="15" customHeight="1" outlineLevel="1" collapsed="1" x14ac:dyDescent="0.3">
      <c r="A41" s="26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42.16</v>
      </c>
      <c r="E41" s="2"/>
      <c r="F41" s="6">
        <f t="shared" si="0"/>
        <v>6.2357482609494996E-5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42.16</v>
      </c>
      <c r="M41" s="2"/>
      <c r="N41" s="6">
        <f t="shared" si="3"/>
        <v>0</v>
      </c>
      <c r="O41" s="14"/>
      <c r="P41" s="2">
        <f>SUM(OSRRefP22_2x_0)</f>
        <v>1079.8499999999999</v>
      </c>
      <c r="Q41" s="2"/>
      <c r="R41" s="6">
        <f t="shared" si="4"/>
        <v>2.3861074256343662E-4</v>
      </c>
      <c r="S41" s="2"/>
      <c r="T41" s="2">
        <f>SUM(OSRRefT22_2x_0)</f>
        <v>1240.42</v>
      </c>
      <c r="U41" s="2"/>
      <c r="V41" s="6">
        <f t="shared" si="5"/>
        <v>1.4989096888726205E-3</v>
      </c>
      <c r="W41" s="2"/>
      <c r="X41" s="2">
        <f t="shared" si="6"/>
        <v>-160.57000000000016</v>
      </c>
      <c r="Y41" s="2"/>
      <c r="Z41" s="6">
        <f t="shared" si="7"/>
        <v>-0.12944809016300943</v>
      </c>
    </row>
    <row r="42" spans="1:26" s="69" customFormat="1" ht="15" hidden="1" customHeight="1" outlineLevel="2" x14ac:dyDescent="0.3">
      <c r="A42" s="25"/>
      <c r="B42" s="12" t="str">
        <f>CONCATENATE("          ","6362"," - ","ADVERTISING EXPENSE")</f>
        <v xml:space="preserve">          6362 - ADVERTISING EXPENSE</v>
      </c>
      <c r="C42" s="12"/>
      <c r="D42" s="8">
        <v>42.16</v>
      </c>
      <c r="E42" s="3"/>
      <c r="F42" s="7">
        <f t="shared" si="0"/>
        <v>6.2357482609494996E-5</v>
      </c>
      <c r="G42" s="3"/>
      <c r="H42" s="8"/>
      <c r="I42" s="3"/>
      <c r="J42" s="7">
        <f t="shared" si="1"/>
        <v>0</v>
      </c>
      <c r="K42" s="3"/>
      <c r="L42" s="8">
        <f t="shared" si="2"/>
        <v>42.16</v>
      </c>
      <c r="M42" s="3"/>
      <c r="N42" s="7">
        <f t="shared" si="3"/>
        <v>0</v>
      </c>
      <c r="O42" s="12"/>
      <c r="P42" s="8">
        <v>1079.8499999999999</v>
      </c>
      <c r="Q42" s="3"/>
      <c r="R42" s="7">
        <f t="shared" si="4"/>
        <v>2.3861074256343662E-4</v>
      </c>
      <c r="S42" s="3"/>
      <c r="T42" s="8">
        <v>1240.42</v>
      </c>
      <c r="U42" s="3"/>
      <c r="V42" s="7">
        <f t="shared" si="5"/>
        <v>1.4989096888726205E-3</v>
      </c>
      <c r="W42" s="3"/>
      <c r="X42" s="8">
        <f t="shared" si="6"/>
        <v>-160.57000000000016</v>
      </c>
      <c r="Y42" s="3"/>
      <c r="Z42" s="7">
        <f t="shared" si="7"/>
        <v>-0.12944809016300943</v>
      </c>
    </row>
    <row r="43" spans="1:26" s="68" customFormat="1" ht="15" customHeight="1" outlineLevel="1" collapsed="1" x14ac:dyDescent="0.3">
      <c r="A43" s="26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SUM(OSRRefP22_3x_0)</f>
        <v>0</v>
      </c>
      <c r="Q43" s="2"/>
      <c r="R43" s="6">
        <f t="shared" si="4"/>
        <v>0</v>
      </c>
      <c r="S43" s="2"/>
      <c r="T43" s="2">
        <f>SUM(OSRRefT22_3x_0)</f>
        <v>23.8</v>
      </c>
      <c r="U43" s="2"/>
      <c r="V43" s="6">
        <f t="shared" si="5"/>
        <v>2.875965446797727E-5</v>
      </c>
      <c r="W43" s="2"/>
      <c r="X43" s="2">
        <f t="shared" si="6"/>
        <v>-23.8</v>
      </c>
      <c r="Y43" s="2"/>
      <c r="Z43" s="6">
        <f t="shared" si="7"/>
        <v>-1</v>
      </c>
    </row>
    <row r="44" spans="1:26" s="69" customFormat="1" ht="15" hidden="1" customHeight="1" outlineLevel="2" x14ac:dyDescent="0.3">
      <c r="A44" s="25"/>
      <c r="B44" s="12" t="str">
        <f>CONCATENATE("          ","6272"," - ","CASH (OVER/SHORT)")</f>
        <v xml:space="preserve">          6272 - CASH (OVER/SHORT)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0</v>
      </c>
      <c r="Q44" s="3"/>
      <c r="R44" s="7">
        <f t="shared" si="4"/>
        <v>0</v>
      </c>
      <c r="S44" s="3"/>
      <c r="T44" s="8">
        <v>23.8</v>
      </c>
      <c r="U44" s="3"/>
      <c r="V44" s="7">
        <f t="shared" si="5"/>
        <v>2.875965446797727E-5</v>
      </c>
      <c r="W44" s="3"/>
      <c r="X44" s="8">
        <f t="shared" si="6"/>
        <v>-23.8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6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65.34</v>
      </c>
      <c r="E45" s="2"/>
      <c r="F45" s="6">
        <f t="shared" si="0"/>
        <v>9.6642265505322657E-5</v>
      </c>
      <c r="G45" s="2"/>
      <c r="H45" s="2">
        <f>SUM(OSRRefH22_4x_0)</f>
        <v>78.08</v>
      </c>
      <c r="I45" s="2"/>
      <c r="J45" s="6">
        <f t="shared" si="1"/>
        <v>8.505748679092526E-4</v>
      </c>
      <c r="K45" s="2"/>
      <c r="L45" s="2">
        <f t="shared" si="2"/>
        <v>-12.739999999999995</v>
      </c>
      <c r="M45" s="2"/>
      <c r="N45" s="6">
        <f t="shared" si="3"/>
        <v>-0.16316598360655732</v>
      </c>
      <c r="O45" s="14"/>
      <c r="P45" s="2">
        <f>SUM(OSRRefP22_4x_0)</f>
        <v>490.33</v>
      </c>
      <c r="Q45" s="2"/>
      <c r="R45" s="6">
        <f t="shared" si="4"/>
        <v>1.0834653461233495E-4</v>
      </c>
      <c r="S45" s="2"/>
      <c r="T45" s="2">
        <f>SUM(OSRRefT22_4x_0)</f>
        <v>267</v>
      </c>
      <c r="U45" s="2"/>
      <c r="V45" s="6">
        <f t="shared" si="5"/>
        <v>3.2263982113235005E-4</v>
      </c>
      <c r="W45" s="2"/>
      <c r="X45" s="2">
        <f t="shared" si="6"/>
        <v>223.32999999999998</v>
      </c>
      <c r="Y45" s="2"/>
      <c r="Z45" s="6">
        <f t="shared" si="7"/>
        <v>0.83644194756554302</v>
      </c>
    </row>
    <row r="46" spans="1:26" s="69" customFormat="1" ht="15" hidden="1" customHeight="1" outlineLevel="2" x14ac:dyDescent="0.3">
      <c r="A46" s="25"/>
      <c r="B46" s="12" t="str">
        <f>CONCATENATE("          ","6381"," - ","BANK/CREDIT CARD FEES")</f>
        <v xml:space="preserve">          6381 - BANK/CREDIT CARD FEES</v>
      </c>
      <c r="C46" s="12"/>
      <c r="D46" s="8">
        <v>65.34</v>
      </c>
      <c r="E46" s="3"/>
      <c r="F46" s="7">
        <f t="shared" si="0"/>
        <v>9.6642265505322657E-5</v>
      </c>
      <c r="G46" s="3"/>
      <c r="H46" s="8">
        <v>78.08</v>
      </c>
      <c r="I46" s="3"/>
      <c r="J46" s="7">
        <f t="shared" si="1"/>
        <v>8.505748679092526E-4</v>
      </c>
      <c r="K46" s="3"/>
      <c r="L46" s="8">
        <f t="shared" si="2"/>
        <v>-12.739999999999995</v>
      </c>
      <c r="M46" s="3"/>
      <c r="N46" s="7">
        <f t="shared" si="3"/>
        <v>-0.16316598360655732</v>
      </c>
      <c r="O46" s="12"/>
      <c r="P46" s="8">
        <v>490.33</v>
      </c>
      <c r="Q46" s="3"/>
      <c r="R46" s="7">
        <f t="shared" si="4"/>
        <v>1.0834653461233495E-4</v>
      </c>
      <c r="S46" s="3"/>
      <c r="T46" s="8">
        <v>267</v>
      </c>
      <c r="U46" s="3"/>
      <c r="V46" s="7">
        <f t="shared" si="5"/>
        <v>3.2263982113235005E-4</v>
      </c>
      <c r="W46" s="3"/>
      <c r="X46" s="8">
        <f t="shared" si="6"/>
        <v>223.32999999999998</v>
      </c>
      <c r="Y46" s="3"/>
      <c r="Z46" s="7">
        <f t="shared" si="7"/>
        <v>0.83644194756554302</v>
      </c>
    </row>
    <row r="47" spans="1:26" s="68" customFormat="1" ht="15" customHeight="1" outlineLevel="1" collapsed="1" x14ac:dyDescent="0.3">
      <c r="A47" s="26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4.0453973122682582E-4</v>
      </c>
      <c r="G47" s="2"/>
      <c r="H47" s="2">
        <f>SUM(OSRRefH22_5x_0)</f>
        <v>272.74</v>
      </c>
      <c r="I47" s="2"/>
      <c r="J47" s="6">
        <f t="shared" si="1"/>
        <v>2.9711294758397741E-3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2461.59</v>
      </c>
      <c r="Q47" s="2"/>
      <c r="R47" s="6">
        <f t="shared" si="4"/>
        <v>5.4392908069336482E-4</v>
      </c>
      <c r="S47" s="2"/>
      <c r="T47" s="2">
        <f>SUM(OSRRefT22_5x_0)</f>
        <v>2190.44</v>
      </c>
      <c r="U47" s="2"/>
      <c r="V47" s="6">
        <f t="shared" si="5"/>
        <v>2.6469032576821902E-3</v>
      </c>
      <c r="W47" s="2"/>
      <c r="X47" s="2">
        <f t="shared" si="6"/>
        <v>271.15000000000009</v>
      </c>
      <c r="Y47" s="2"/>
      <c r="Z47" s="6">
        <f t="shared" si="7"/>
        <v>0.12378791475685254</v>
      </c>
    </row>
    <row r="48" spans="1:26" s="69" customFormat="1" ht="15" hidden="1" customHeight="1" outlineLevel="2" x14ac:dyDescent="0.3">
      <c r="A48" s="25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273.51</v>
      </c>
      <c r="E48" s="3"/>
      <c r="F48" s="7">
        <f t="shared" si="0"/>
        <v>4.0453973122682582E-4</v>
      </c>
      <c r="G48" s="3"/>
      <c r="H48" s="8">
        <v>272.74</v>
      </c>
      <c r="I48" s="3"/>
      <c r="J48" s="7">
        <f t="shared" si="1"/>
        <v>2.9711294758397741E-3</v>
      </c>
      <c r="K48" s="3"/>
      <c r="L48" s="8">
        <f t="shared" si="2"/>
        <v>0.76999999999998181</v>
      </c>
      <c r="M48" s="3"/>
      <c r="N48" s="7">
        <f t="shared" si="3"/>
        <v>2.8232015839260165E-3</v>
      </c>
      <c r="O48" s="12"/>
      <c r="P48" s="8">
        <v>2461.59</v>
      </c>
      <c r="Q48" s="3"/>
      <c r="R48" s="7">
        <f t="shared" si="4"/>
        <v>5.4392908069336482E-4</v>
      </c>
      <c r="S48" s="3"/>
      <c r="T48" s="8">
        <v>2190.44</v>
      </c>
      <c r="U48" s="3"/>
      <c r="V48" s="7">
        <f t="shared" si="5"/>
        <v>2.6469032576821902E-3</v>
      </c>
      <c r="W48" s="3"/>
      <c r="X48" s="8">
        <f t="shared" si="6"/>
        <v>271.15000000000009</v>
      </c>
      <c r="Y48" s="3"/>
      <c r="Z48" s="7">
        <f t="shared" si="7"/>
        <v>0.12378791475685254</v>
      </c>
    </row>
    <row r="49" spans="1:26" s="68" customFormat="1" ht="15" customHeight="1" outlineLevel="1" collapsed="1" x14ac:dyDescent="0.3">
      <c r="A49" s="26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2396.61</v>
      </c>
      <c r="E49" s="2"/>
      <c r="F49" s="6">
        <f t="shared" si="0"/>
        <v>3.5447477798088664E-3</v>
      </c>
      <c r="G49" s="2"/>
      <c r="H49" s="2">
        <f>SUM(OSRRefH22_6x_0)</f>
        <v>7337.33</v>
      </c>
      <c r="I49" s="2"/>
      <c r="J49" s="6">
        <f t="shared" si="1"/>
        <v>7.9930180527108055E-2</v>
      </c>
      <c r="K49" s="2"/>
      <c r="L49" s="2">
        <f t="shared" si="2"/>
        <v>-4940.7199999999993</v>
      </c>
      <c r="M49" s="2"/>
      <c r="N49" s="6">
        <f t="shared" si="3"/>
        <v>-0.67336756013427224</v>
      </c>
      <c r="O49" s="14"/>
      <c r="P49" s="2">
        <f>SUM(OSRRefP22_6x_0)</f>
        <v>18727.79</v>
      </c>
      <c r="Q49" s="2"/>
      <c r="R49" s="6">
        <f t="shared" si="4"/>
        <v>4.1382153803510707E-3</v>
      </c>
      <c r="S49" s="2"/>
      <c r="T49" s="2">
        <f>SUM(OSRRefT22_6x_0)</f>
        <v>50979.76</v>
      </c>
      <c r="U49" s="2"/>
      <c r="V49" s="6">
        <f t="shared" si="5"/>
        <v>6.1603373212622221E-2</v>
      </c>
      <c r="W49" s="2"/>
      <c r="X49" s="2">
        <f t="shared" si="6"/>
        <v>-32251.97</v>
      </c>
      <c r="Y49" s="2"/>
      <c r="Z49" s="6">
        <f t="shared" si="7"/>
        <v>-0.63264264092259359</v>
      </c>
    </row>
    <row r="50" spans="1:26" s="69" customFormat="1" ht="15" hidden="1" customHeight="1" outlineLevel="2" x14ac:dyDescent="0.3">
      <c r="A50" s="25"/>
      <c r="B50" s="12" t="str">
        <f>CONCATENATE("          ","6399"," - ","DONATION-ON CAMPUS")</f>
        <v xml:space="preserve">          6399 - DONATION-ON CAMPUS</v>
      </c>
      <c r="C50" s="12"/>
      <c r="D50" s="8">
        <v>2396.61</v>
      </c>
      <c r="E50" s="3"/>
      <c r="F50" s="7">
        <f t="shared" si="0"/>
        <v>3.5447477798088664E-3</v>
      </c>
      <c r="G50" s="3"/>
      <c r="H50" s="8">
        <v>7337.33</v>
      </c>
      <c r="I50" s="3"/>
      <c r="J50" s="7">
        <f t="shared" si="1"/>
        <v>7.9930180527108055E-2</v>
      </c>
      <c r="K50" s="3"/>
      <c r="L50" s="8">
        <f t="shared" si="2"/>
        <v>-4940.7199999999993</v>
      </c>
      <c r="M50" s="3"/>
      <c r="N50" s="7">
        <f t="shared" si="3"/>
        <v>-0.67336756013427224</v>
      </c>
      <c r="O50" s="12"/>
      <c r="P50" s="8">
        <v>18727.79</v>
      </c>
      <c r="Q50" s="3"/>
      <c r="R50" s="7">
        <f t="shared" si="4"/>
        <v>4.1382153803510707E-3</v>
      </c>
      <c r="S50" s="3"/>
      <c r="T50" s="8">
        <v>50979.76</v>
      </c>
      <c r="U50" s="3"/>
      <c r="V50" s="7">
        <f t="shared" si="5"/>
        <v>6.1603373212622221E-2</v>
      </c>
      <c r="W50" s="3"/>
      <c r="X50" s="8">
        <f t="shared" si="6"/>
        <v>-32251.97</v>
      </c>
      <c r="Y50" s="3"/>
      <c r="Z50" s="7">
        <f t="shared" si="7"/>
        <v>-0.63264264092259359</v>
      </c>
    </row>
    <row r="51" spans="1:26" s="68" customFormat="1" ht="15" customHeight="1" outlineLevel="1" collapsed="1" x14ac:dyDescent="0.3">
      <c r="A51" s="26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0</v>
      </c>
      <c r="E51" s="2"/>
      <c r="F51" s="6">
        <f t="shared" si="0"/>
        <v>0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SUM(OSRRefP22_7x_0)</f>
        <v>200.77</v>
      </c>
      <c r="Q51" s="2"/>
      <c r="R51" s="6">
        <f t="shared" si="4"/>
        <v>4.4363456762014335E-5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200.77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5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200.77</v>
      </c>
      <c r="Q52" s="3"/>
      <c r="R52" s="7">
        <f t="shared" si="4"/>
        <v>4.4363456762014335E-5</v>
      </c>
      <c r="S52" s="3"/>
      <c r="T52" s="8"/>
      <c r="U52" s="3"/>
      <c r="V52" s="7">
        <f t="shared" si="5"/>
        <v>0</v>
      </c>
      <c r="W52" s="3"/>
      <c r="X52" s="8">
        <f t="shared" si="6"/>
        <v>200.77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6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271.74</v>
      </c>
      <c r="E53" s="2"/>
      <c r="F53" s="6">
        <f t="shared" si="0"/>
        <v>4.0192178188577256E-4</v>
      </c>
      <c r="G53" s="2"/>
      <c r="H53" s="2">
        <f>SUM(OSRRefH22_8x_0)</f>
        <v>508.47</v>
      </c>
      <c r="I53" s="2"/>
      <c r="J53" s="6">
        <f t="shared" si="1"/>
        <v>5.5390855927999194E-3</v>
      </c>
      <c r="K53" s="2"/>
      <c r="L53" s="2">
        <f t="shared" si="2"/>
        <v>-236.73000000000002</v>
      </c>
      <c r="M53" s="2"/>
      <c r="N53" s="6">
        <f t="shared" si="3"/>
        <v>-0.46557319015871146</v>
      </c>
      <c r="O53" s="14"/>
      <c r="P53" s="2">
        <f>SUM(OSRRefP22_8x_0)</f>
        <v>2868.25</v>
      </c>
      <c r="Q53" s="2"/>
      <c r="R53" s="6">
        <f t="shared" si="4"/>
        <v>6.3378734301762019E-4</v>
      </c>
      <c r="S53" s="2"/>
      <c r="T53" s="2">
        <f>SUM(OSRRefT22_8x_0)</f>
        <v>2611.79</v>
      </c>
      <c r="U53" s="2"/>
      <c r="V53" s="6">
        <f t="shared" si="5"/>
        <v>3.1560578967612754E-3</v>
      </c>
      <c r="W53" s="2"/>
      <c r="X53" s="2">
        <f t="shared" si="6"/>
        <v>256.46000000000004</v>
      </c>
      <c r="Y53" s="2"/>
      <c r="Z53" s="6">
        <f t="shared" si="7"/>
        <v>9.819319317403008E-2</v>
      </c>
    </row>
    <row r="54" spans="1:26" s="69" customFormat="1" ht="15" hidden="1" customHeight="1" outlineLevel="2" x14ac:dyDescent="0.3">
      <c r="A54" s="25"/>
      <c r="B54" s="12" t="str">
        <f>CONCATENATE("          ","6351"," - ","EQUIPMENT RENTAL")</f>
        <v xml:space="preserve">          6351 - EQUIPMENT RENTAL</v>
      </c>
      <c r="C54" s="12"/>
      <c r="D54" s="8">
        <v>271.74</v>
      </c>
      <c r="E54" s="3"/>
      <c r="F54" s="7">
        <f t="shared" si="0"/>
        <v>4.0192178188577256E-4</v>
      </c>
      <c r="G54" s="3"/>
      <c r="H54" s="8">
        <v>508.47</v>
      </c>
      <c r="I54" s="3"/>
      <c r="J54" s="7">
        <f t="shared" si="1"/>
        <v>5.5390855927999194E-3</v>
      </c>
      <c r="K54" s="3"/>
      <c r="L54" s="8">
        <f t="shared" si="2"/>
        <v>-236.73000000000002</v>
      </c>
      <c r="M54" s="3"/>
      <c r="N54" s="7">
        <f t="shared" si="3"/>
        <v>-0.46557319015871146</v>
      </c>
      <c r="O54" s="12"/>
      <c r="P54" s="8">
        <v>2868.25</v>
      </c>
      <c r="Q54" s="3"/>
      <c r="R54" s="7">
        <f t="shared" si="4"/>
        <v>6.3378734301762019E-4</v>
      </c>
      <c r="S54" s="3"/>
      <c r="T54" s="8">
        <v>2611.79</v>
      </c>
      <c r="U54" s="3"/>
      <c r="V54" s="7">
        <f t="shared" si="5"/>
        <v>3.1560578967612754E-3</v>
      </c>
      <c r="W54" s="3"/>
      <c r="X54" s="8">
        <f t="shared" si="6"/>
        <v>256.46000000000004</v>
      </c>
      <c r="Y54" s="3"/>
      <c r="Z54" s="7">
        <f t="shared" si="7"/>
        <v>9.819319317403008E-2</v>
      </c>
    </row>
    <row r="55" spans="1:26" s="68" customFormat="1" ht="15" customHeight="1" outlineLevel="1" collapsed="1" x14ac:dyDescent="0.3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0</v>
      </c>
      <c r="E55" s="2"/>
      <c r="F55" s="6">
        <f t="shared" ref="F55:F81" si="8">IF(D$12=0,0,D55/D$12)</f>
        <v>0</v>
      </c>
      <c r="G55" s="2"/>
      <c r="H55" s="2">
        <f>SUM(OSRRefH22_9x_0)</f>
        <v>0</v>
      </c>
      <c r="I55" s="2"/>
      <c r="J55" s="6">
        <f t="shared" ref="J55:J81" si="9">IF(H$12=0,0,H55/H$12)</f>
        <v>0</v>
      </c>
      <c r="K55" s="2"/>
      <c r="L55" s="2">
        <f t="shared" ref="L55:L81" si="10">+D55-H55</f>
        <v>0</v>
      </c>
      <c r="M55" s="2"/>
      <c r="N55" s="6">
        <f t="shared" ref="N55:N81" si="11">IF(H55=0,0,L55/H55)</f>
        <v>0</v>
      </c>
      <c r="O55" s="14"/>
      <c r="P55" s="2">
        <f>SUM(OSRRefP22_9x_0)</f>
        <v>1926.18</v>
      </c>
      <c r="Q55" s="2"/>
      <c r="R55" s="6">
        <f t="shared" ref="R55:R81" si="12">IF(P$12=0,0,P55/P$12)</f>
        <v>4.2562137344153393E-4</v>
      </c>
      <c r="S55" s="2"/>
      <c r="T55" s="2">
        <f>SUM(OSRRefT22_9x_0)</f>
        <v>1888.78</v>
      </c>
      <c r="U55" s="2"/>
      <c r="V55" s="6">
        <f t="shared" ref="V55:V81" si="13">IF(T$12=0,0,T55/T$12)</f>
        <v>2.2823806792447942E-3</v>
      </c>
      <c r="W55" s="2"/>
      <c r="X55" s="2">
        <f t="shared" ref="X55:X81" si="14">+P55-T55</f>
        <v>37.400000000000091</v>
      </c>
      <c r="Y55" s="2"/>
      <c r="Z55" s="6">
        <f t="shared" ref="Z55:Z81" si="15">IF(T55=0,0,X55/T55)</f>
        <v>1.9801141477567581E-2</v>
      </c>
    </row>
    <row r="56" spans="1:26" s="69" customFormat="1" ht="15" hidden="1" customHeight="1" outlineLevel="2" x14ac:dyDescent="0.3">
      <c r="A56" s="25"/>
      <c r="B56" s="12" t="str">
        <f>CONCATENATE("          ","6279"," - ","GENERAL EXPENSE")</f>
        <v xml:space="preserve">          6279 - GENERAL EXPENSE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1926.18</v>
      </c>
      <c r="Q56" s="3"/>
      <c r="R56" s="7">
        <f t="shared" si="12"/>
        <v>4.2562137344153393E-4</v>
      </c>
      <c r="S56" s="3"/>
      <c r="T56" s="8">
        <v>1888.78</v>
      </c>
      <c r="U56" s="3"/>
      <c r="V56" s="7">
        <f t="shared" si="13"/>
        <v>2.2823806792447942E-3</v>
      </c>
      <c r="W56" s="3"/>
      <c r="X56" s="8">
        <f t="shared" si="14"/>
        <v>37.400000000000091</v>
      </c>
      <c r="Y56" s="3"/>
      <c r="Z56" s="7">
        <f t="shared" si="15"/>
        <v>1.9801141477567581E-2</v>
      </c>
    </row>
    <row r="57" spans="1:26" s="68" customFormat="1" ht="15" customHeight="1" outlineLevel="1" collapsed="1" x14ac:dyDescent="0.3">
      <c r="A57" s="26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54140.57</v>
      </c>
      <c r="E57" s="2"/>
      <c r="F57" s="6">
        <f t="shared" si="8"/>
        <v>8.0077553421326997E-2</v>
      </c>
      <c r="G57" s="2"/>
      <c r="H57" s="2">
        <f>SUM(OSRRefH22_10x_0)</f>
        <v>6756.75</v>
      </c>
      <c r="I57" s="2"/>
      <c r="J57" s="6">
        <f t="shared" si="9"/>
        <v>7.3605555055658842E-2</v>
      </c>
      <c r="K57" s="2"/>
      <c r="L57" s="2">
        <f t="shared" si="10"/>
        <v>47383.82</v>
      </c>
      <c r="M57" s="2"/>
      <c r="N57" s="6">
        <f t="shared" si="11"/>
        <v>7.0128123728123724</v>
      </c>
      <c r="O57" s="14"/>
      <c r="P57" s="2">
        <f>SUM(OSRRefP22_10x_0)</f>
        <v>356927.76</v>
      </c>
      <c r="Q57" s="2"/>
      <c r="R57" s="6">
        <f t="shared" si="12"/>
        <v>7.886910020382841E-2</v>
      </c>
      <c r="S57" s="2"/>
      <c r="T57" s="2">
        <f>SUM(OSRRefT22_10x_0)</f>
        <v>57113.25</v>
      </c>
      <c r="U57" s="2"/>
      <c r="V57" s="6">
        <f t="shared" si="13"/>
        <v>6.9015014098453897E-2</v>
      </c>
      <c r="W57" s="2"/>
      <c r="X57" s="2">
        <f t="shared" si="14"/>
        <v>299814.51</v>
      </c>
      <c r="Y57" s="2"/>
      <c r="Z57" s="6">
        <f t="shared" si="15"/>
        <v>5.2494738086170898</v>
      </c>
    </row>
    <row r="58" spans="1:26" s="69" customFormat="1" ht="15" hidden="1" customHeight="1" outlineLevel="2" x14ac:dyDescent="0.3">
      <c r="A58" s="25"/>
      <c r="B58" s="12" t="str">
        <f>CONCATENATE("          ","6387"," - ","COMMISSION DUE HOUSING")</f>
        <v xml:space="preserve">          6387 - COMMISSION DUE HOUSING</v>
      </c>
      <c r="C58" s="12"/>
      <c r="D58" s="8">
        <v>54140.57</v>
      </c>
      <c r="E58" s="3"/>
      <c r="F58" s="7">
        <f t="shared" si="8"/>
        <v>8.0077553421326997E-2</v>
      </c>
      <c r="G58" s="3"/>
      <c r="H58" s="8">
        <v>6756.75</v>
      </c>
      <c r="I58" s="3"/>
      <c r="J58" s="7">
        <f t="shared" si="9"/>
        <v>7.3605555055658842E-2</v>
      </c>
      <c r="K58" s="3"/>
      <c r="L58" s="8">
        <f t="shared" si="10"/>
        <v>47383.82</v>
      </c>
      <c r="M58" s="3"/>
      <c r="N58" s="7">
        <f t="shared" si="11"/>
        <v>7.0128123728123724</v>
      </c>
      <c r="O58" s="12"/>
      <c r="P58" s="8">
        <v>356927.76</v>
      </c>
      <c r="Q58" s="3"/>
      <c r="R58" s="7">
        <f t="shared" si="12"/>
        <v>7.886910020382841E-2</v>
      </c>
      <c r="S58" s="3"/>
      <c r="T58" s="8">
        <v>57113.25</v>
      </c>
      <c r="U58" s="3"/>
      <c r="V58" s="7">
        <f t="shared" si="13"/>
        <v>6.9015014098453897E-2</v>
      </c>
      <c r="W58" s="3"/>
      <c r="X58" s="8">
        <f t="shared" si="14"/>
        <v>299814.51</v>
      </c>
      <c r="Y58" s="3"/>
      <c r="Z58" s="7">
        <f t="shared" si="15"/>
        <v>5.2494738086170898</v>
      </c>
    </row>
    <row r="59" spans="1:26" s="68" customFormat="1" ht="15" customHeight="1" outlineLevel="1" collapsed="1" x14ac:dyDescent="0.3">
      <c r="A59" s="26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3790.76</v>
      </c>
      <c r="E59" s="2"/>
      <c r="F59" s="6">
        <f t="shared" si="8"/>
        <v>5.6067896294300108E-3</v>
      </c>
      <c r="G59" s="2"/>
      <c r="H59" s="2">
        <f>SUM(OSRRefH22_11x_0)</f>
        <v>84.9</v>
      </c>
      <c r="I59" s="2"/>
      <c r="J59" s="6">
        <f t="shared" si="9"/>
        <v>9.2486944525480984E-4</v>
      </c>
      <c r="K59" s="2"/>
      <c r="L59" s="2">
        <f t="shared" si="10"/>
        <v>3705.86</v>
      </c>
      <c r="M59" s="2"/>
      <c r="N59" s="6">
        <f t="shared" si="11"/>
        <v>43.649705535924618</v>
      </c>
      <c r="O59" s="14"/>
      <c r="P59" s="2">
        <f>SUM(OSRRefP22_11x_0)</f>
        <v>5920</v>
      </c>
      <c r="Q59" s="2"/>
      <c r="R59" s="6">
        <f t="shared" si="12"/>
        <v>1.3081220502621151E-3</v>
      </c>
      <c r="S59" s="2"/>
      <c r="T59" s="2">
        <f>SUM(OSRRefT22_11x_0)</f>
        <v>3438.85</v>
      </c>
      <c r="U59" s="2"/>
      <c r="V59" s="6">
        <f t="shared" si="13"/>
        <v>4.1554679734119174E-3</v>
      </c>
      <c r="W59" s="2"/>
      <c r="X59" s="2">
        <f t="shared" si="14"/>
        <v>2481.15</v>
      </c>
      <c r="Y59" s="2"/>
      <c r="Z59" s="6">
        <f t="shared" si="15"/>
        <v>0.72150573592916245</v>
      </c>
    </row>
    <row r="60" spans="1:26" s="69" customFormat="1" ht="15" hidden="1" customHeight="1" outlineLevel="2" x14ac:dyDescent="0.3">
      <c r="A60" s="25"/>
      <c r="B60" s="12" t="str">
        <f>CONCATENATE("          ","6373"," - ","MAINTENANCE CONTRACTS")</f>
        <v xml:space="preserve">          6373 - MAINTENANCE CONTRACTS</v>
      </c>
      <c r="C60" s="12"/>
      <c r="D60" s="8">
        <v>3697.26</v>
      </c>
      <c r="E60" s="3"/>
      <c r="F60" s="7">
        <f t="shared" si="8"/>
        <v>5.4684968252557281E-3</v>
      </c>
      <c r="G60" s="3"/>
      <c r="H60" s="8">
        <v>84.9</v>
      </c>
      <c r="I60" s="3"/>
      <c r="J60" s="7">
        <f t="shared" si="9"/>
        <v>9.2486944525480984E-4</v>
      </c>
      <c r="K60" s="3"/>
      <c r="L60" s="8">
        <f t="shared" si="10"/>
        <v>3612.36</v>
      </c>
      <c r="M60" s="3"/>
      <c r="N60" s="7">
        <f t="shared" si="11"/>
        <v>42.548409893992932</v>
      </c>
      <c r="O60" s="12"/>
      <c r="P60" s="8">
        <v>3981.97</v>
      </c>
      <c r="Q60" s="3"/>
      <c r="R60" s="7">
        <f t="shared" si="12"/>
        <v>8.7988222305443139E-4</v>
      </c>
      <c r="S60" s="3"/>
      <c r="T60" s="8">
        <v>1683.83</v>
      </c>
      <c r="U60" s="3"/>
      <c r="V60" s="7">
        <f t="shared" si="13"/>
        <v>2.034721385832528E-3</v>
      </c>
      <c r="W60" s="3"/>
      <c r="X60" s="8">
        <f t="shared" si="14"/>
        <v>2298.14</v>
      </c>
      <c r="Y60" s="3"/>
      <c r="Z60" s="7">
        <f t="shared" si="15"/>
        <v>1.3648289910501654</v>
      </c>
    </row>
    <row r="61" spans="1:26" s="69" customFormat="1" ht="15" hidden="1" customHeight="1" outlineLevel="2" x14ac:dyDescent="0.3">
      <c r="A61" s="25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93.5</v>
      </c>
      <c r="E61" s="3"/>
      <c r="F61" s="7">
        <f t="shared" si="8"/>
        <v>1.3829280417428325E-4</v>
      </c>
      <c r="G61" s="3"/>
      <c r="H61" s="8"/>
      <c r="I61" s="3"/>
      <c r="J61" s="7">
        <f t="shared" si="9"/>
        <v>0</v>
      </c>
      <c r="K61" s="3"/>
      <c r="L61" s="8">
        <f t="shared" si="10"/>
        <v>93.5</v>
      </c>
      <c r="M61" s="3"/>
      <c r="N61" s="7">
        <f t="shared" si="11"/>
        <v>0</v>
      </c>
      <c r="O61" s="12"/>
      <c r="P61" s="8">
        <v>1938.03</v>
      </c>
      <c r="Q61" s="3"/>
      <c r="R61" s="7">
        <f t="shared" si="12"/>
        <v>4.2823982720768361E-4</v>
      </c>
      <c r="S61" s="3"/>
      <c r="T61" s="8">
        <v>1755.02</v>
      </c>
      <c r="U61" s="3"/>
      <c r="V61" s="7">
        <f t="shared" si="13"/>
        <v>2.1207465875793894E-3</v>
      </c>
      <c r="W61" s="3"/>
      <c r="X61" s="8">
        <f t="shared" si="14"/>
        <v>183.01</v>
      </c>
      <c r="Y61" s="3"/>
      <c r="Z61" s="7">
        <f t="shared" si="15"/>
        <v>0.10427801392576723</v>
      </c>
    </row>
    <row r="62" spans="1:26" s="68" customFormat="1" ht="15" customHeight="1" outlineLevel="1" collapsed="1" x14ac:dyDescent="0.3">
      <c r="A62" s="26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7544.0300000000007</v>
      </c>
      <c r="E62" s="2"/>
      <c r="F62" s="6">
        <f t="shared" si="8"/>
        <v>1.1158129021122121E-2</v>
      </c>
      <c r="G62" s="2"/>
      <c r="H62" s="2">
        <f>SUM(OSRRefH22_12x_0)</f>
        <v>8494.9599999999991</v>
      </c>
      <c r="I62" s="2"/>
      <c r="J62" s="6">
        <f t="shared" si="9"/>
        <v>9.2540976945368641E-2</v>
      </c>
      <c r="K62" s="2"/>
      <c r="L62" s="2">
        <f t="shared" si="10"/>
        <v>-950.92999999999847</v>
      </c>
      <c r="M62" s="2"/>
      <c r="N62" s="6">
        <f t="shared" si="11"/>
        <v>-0.1119404917739458</v>
      </c>
      <c r="O62" s="14"/>
      <c r="P62" s="2">
        <f>SUM(OSRRefP22_12x_0)</f>
        <v>60007.78</v>
      </c>
      <c r="Q62" s="2"/>
      <c r="R62" s="6">
        <f t="shared" si="12"/>
        <v>1.3259712872513166E-2</v>
      </c>
      <c r="S62" s="2"/>
      <c r="T62" s="2">
        <f>SUM(OSRRefT22_12x_0)</f>
        <v>46749.600000000006</v>
      </c>
      <c r="U62" s="2"/>
      <c r="V62" s="6">
        <f t="shared" si="13"/>
        <v>5.6491695063703794E-2</v>
      </c>
      <c r="W62" s="2"/>
      <c r="X62" s="2">
        <f t="shared" si="14"/>
        <v>13258.179999999993</v>
      </c>
      <c r="Y62" s="2"/>
      <c r="Z62" s="6">
        <f t="shared" si="15"/>
        <v>0.2835998596779436</v>
      </c>
    </row>
    <row r="63" spans="1:26" s="69" customFormat="1" ht="15" hidden="1" customHeight="1" outlineLevel="2" x14ac:dyDescent="0.3">
      <c r="A63" s="25"/>
      <c r="B63" s="12" t="str">
        <f>CONCATENATE("          ","6282"," - ","JANITORIAL/EXTERMINATOR EXPENS")</f>
        <v xml:space="preserve">          6282 - JANITORIAL/EXTERMINATOR EXPENS</v>
      </c>
      <c r="C63" s="12"/>
      <c r="D63" s="8">
        <v>459.25</v>
      </c>
      <c r="E63" s="3"/>
      <c r="F63" s="7">
        <f t="shared" si="8"/>
        <v>6.7926171462074421E-4</v>
      </c>
      <c r="G63" s="3"/>
      <c r="H63" s="8">
        <v>421.34</v>
      </c>
      <c r="I63" s="3"/>
      <c r="J63" s="7">
        <f t="shared" si="9"/>
        <v>4.5899233458617378E-3</v>
      </c>
      <c r="K63" s="3"/>
      <c r="L63" s="8">
        <f t="shared" si="10"/>
        <v>37.910000000000025</v>
      </c>
      <c r="M63" s="3"/>
      <c r="N63" s="7">
        <f t="shared" si="11"/>
        <v>8.9974842170218894E-2</v>
      </c>
      <c r="O63" s="12"/>
      <c r="P63" s="8">
        <v>5036.8</v>
      </c>
      <c r="Q63" s="3"/>
      <c r="R63" s="7">
        <f t="shared" si="12"/>
        <v>1.1129643822230103E-3</v>
      </c>
      <c r="S63" s="3"/>
      <c r="T63" s="8">
        <v>3238.76</v>
      </c>
      <c r="U63" s="3"/>
      <c r="V63" s="7">
        <f t="shared" si="13"/>
        <v>3.9136814497775655E-3</v>
      </c>
      <c r="W63" s="3"/>
      <c r="X63" s="8">
        <f t="shared" si="14"/>
        <v>1798.04</v>
      </c>
      <c r="Y63" s="3"/>
      <c r="Z63" s="7">
        <f t="shared" si="15"/>
        <v>0.55516308710741147</v>
      </c>
    </row>
    <row r="64" spans="1:26" s="69" customFormat="1" ht="15" hidden="1" customHeight="1" outlineLevel="2" x14ac:dyDescent="0.3">
      <c r="A64" s="25"/>
      <c r="B64" s="12" t="str">
        <f>CONCATENATE("          ","6284"," - ","TRASH REMOVAL EXPENSE")</f>
        <v xml:space="preserve">          6284 - TRASH REMOVAL EXPENSE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/>
      <c r="Q64" s="3"/>
      <c r="R64" s="7">
        <f t="shared" si="12"/>
        <v>0</v>
      </c>
      <c r="S64" s="3"/>
      <c r="T64" s="8">
        <v>282.75</v>
      </c>
      <c r="U64" s="3"/>
      <c r="V64" s="7">
        <f t="shared" si="13"/>
        <v>3.4167194541262909E-4</v>
      </c>
      <c r="W64" s="3"/>
      <c r="X64" s="8">
        <f t="shared" si="14"/>
        <v>-282.75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5"/>
      <c r="B65" s="12" t="str">
        <f>CONCATENATE("          ","6285"," - ","JANITORIAL SERVICES")</f>
        <v xml:space="preserve">          6285 - JANITORIAL SERVICES</v>
      </c>
      <c r="C65" s="12"/>
      <c r="D65" s="8">
        <v>5163.43</v>
      </c>
      <c r="E65" s="3"/>
      <c r="F65" s="7">
        <f t="shared" si="8"/>
        <v>7.6370611107766783E-3</v>
      </c>
      <c r="G65" s="3"/>
      <c r="H65" s="8">
        <v>7547.32</v>
      </c>
      <c r="I65" s="3"/>
      <c r="J65" s="7">
        <f t="shared" si="9"/>
        <v>8.2217734529570444E-2</v>
      </c>
      <c r="K65" s="3"/>
      <c r="L65" s="8">
        <f t="shared" si="10"/>
        <v>-2383.8899999999994</v>
      </c>
      <c r="M65" s="3"/>
      <c r="N65" s="7">
        <f t="shared" si="11"/>
        <v>-0.31585913940312582</v>
      </c>
      <c r="O65" s="12"/>
      <c r="P65" s="8">
        <v>44834.71</v>
      </c>
      <c r="Q65" s="3"/>
      <c r="R65" s="7">
        <f t="shared" si="12"/>
        <v>9.9069717513694845E-3</v>
      </c>
      <c r="S65" s="3"/>
      <c r="T65" s="8">
        <v>36686.61</v>
      </c>
      <c r="U65" s="3"/>
      <c r="V65" s="7">
        <f t="shared" si="13"/>
        <v>4.4331690218547881E-2</v>
      </c>
      <c r="W65" s="3"/>
      <c r="X65" s="8">
        <f t="shared" si="14"/>
        <v>8148.0999999999985</v>
      </c>
      <c r="Y65" s="3"/>
      <c r="Z65" s="7">
        <f t="shared" si="15"/>
        <v>0.22210010682371575</v>
      </c>
    </row>
    <row r="66" spans="1:26" s="69" customFormat="1" ht="15" hidden="1" customHeight="1" outlineLevel="2" x14ac:dyDescent="0.3">
      <c r="A66" s="25"/>
      <c r="B66" s="12" t="str">
        <f>CONCATENATE("          ","6286"," - ","LAUNDRY EXPENSE")</f>
        <v xml:space="preserve">          6286 - LAUNDRY EXPENSE</v>
      </c>
      <c r="C66" s="12"/>
      <c r="D66" s="8">
        <v>1921.35</v>
      </c>
      <c r="E66" s="3"/>
      <c r="F66" s="7">
        <f t="shared" si="8"/>
        <v>2.8418061957246965E-3</v>
      </c>
      <c r="G66" s="3"/>
      <c r="H66" s="8">
        <v>526.29999999999995</v>
      </c>
      <c r="I66" s="3"/>
      <c r="J66" s="7">
        <f t="shared" si="9"/>
        <v>5.7333190699364704E-3</v>
      </c>
      <c r="K66" s="3"/>
      <c r="L66" s="8">
        <f t="shared" si="10"/>
        <v>1395.05</v>
      </c>
      <c r="M66" s="3"/>
      <c r="N66" s="7">
        <f t="shared" si="11"/>
        <v>2.650674520235607</v>
      </c>
      <c r="O66" s="12"/>
      <c r="P66" s="8">
        <v>10136.27</v>
      </c>
      <c r="Q66" s="3"/>
      <c r="R66" s="7">
        <f t="shared" si="12"/>
        <v>2.2397767389206705E-3</v>
      </c>
      <c r="S66" s="3"/>
      <c r="T66" s="8">
        <v>6541.48</v>
      </c>
      <c r="U66" s="3"/>
      <c r="V66" s="7">
        <f t="shared" si="13"/>
        <v>7.9046514499657109E-3</v>
      </c>
      <c r="W66" s="3"/>
      <c r="X66" s="8">
        <f t="shared" si="14"/>
        <v>3594.7900000000009</v>
      </c>
      <c r="Y66" s="3"/>
      <c r="Z66" s="7">
        <f t="shared" si="15"/>
        <v>0.54953771929288187</v>
      </c>
    </row>
    <row r="67" spans="1:26" s="68" customFormat="1" ht="15" customHeight="1" outlineLevel="1" collapsed="1" x14ac:dyDescent="0.3">
      <c r="A67" s="26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2">
        <f>SUM(OSRRefD22_13x_0)</f>
        <v>0</v>
      </c>
      <c r="E67" s="2"/>
      <c r="F67" s="6">
        <f t="shared" si="8"/>
        <v>0</v>
      </c>
      <c r="G67" s="2"/>
      <c r="H67" s="2">
        <f>SUM(OSRRefH22_13x_0)</f>
        <v>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SUM(OSRRefP22_13x_0)</f>
        <v>0</v>
      </c>
      <c r="Q67" s="2"/>
      <c r="R67" s="6">
        <f t="shared" si="12"/>
        <v>0</v>
      </c>
      <c r="S67" s="2"/>
      <c r="T67" s="2">
        <f>SUM(OSRRefT22_13x_0)</f>
        <v>795</v>
      </c>
      <c r="U67" s="2"/>
      <c r="V67" s="6">
        <f t="shared" si="13"/>
        <v>9.6066913033789612E-4</v>
      </c>
      <c r="W67" s="2"/>
      <c r="X67" s="2">
        <f t="shared" si="14"/>
        <v>-795</v>
      </c>
      <c r="Y67" s="2"/>
      <c r="Z67" s="6">
        <f t="shared" si="15"/>
        <v>-1</v>
      </c>
    </row>
    <row r="68" spans="1:26" s="69" customFormat="1" ht="15" hidden="1" customHeight="1" outlineLevel="2" x14ac:dyDescent="0.3">
      <c r="A68" s="25"/>
      <c r="B68" s="12" t="str">
        <f>CONCATENATE("          ","6258"," - ","MEMBERSHIP DUES")</f>
        <v xml:space="preserve">          6258 - MEMBERSHIP DUES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795</v>
      </c>
      <c r="U68" s="3"/>
      <c r="V68" s="7">
        <f t="shared" si="13"/>
        <v>9.6066913033789612E-4</v>
      </c>
      <c r="W68" s="3"/>
      <c r="X68" s="8">
        <f t="shared" si="14"/>
        <v>-795</v>
      </c>
      <c r="Y68" s="3"/>
      <c r="Z68" s="7">
        <f t="shared" si="15"/>
        <v>-1</v>
      </c>
    </row>
    <row r="69" spans="1:26" s="68" customFormat="1" ht="15" customHeight="1" outlineLevel="1" collapsed="1" x14ac:dyDescent="0.3">
      <c r="A69" s="26"/>
      <c r="B69" s="14" t="str">
        <f>CONCATENATE("     ","Supplies                                          ")</f>
        <v xml:space="preserve">     Supplies                                          </v>
      </c>
      <c r="C69" s="14"/>
      <c r="D69" s="2">
        <f>SUM(OSRRefD22_14x_0)</f>
        <v>7890.96</v>
      </c>
      <c r="E69" s="2"/>
      <c r="F69" s="6">
        <f t="shared" si="8"/>
        <v>1.1671261882642805E-2</v>
      </c>
      <c r="G69" s="2"/>
      <c r="H69" s="2">
        <f>SUM(OSRRefH22_14x_0)</f>
        <v>7449.67</v>
      </c>
      <c r="I69" s="2"/>
      <c r="J69" s="6">
        <f t="shared" si="9"/>
        <v>8.1153971263031796E-2</v>
      </c>
      <c r="K69" s="2"/>
      <c r="L69" s="2">
        <f t="shared" si="10"/>
        <v>441.28999999999996</v>
      </c>
      <c r="M69" s="2"/>
      <c r="N69" s="6">
        <f t="shared" si="11"/>
        <v>5.9236180931504345E-2</v>
      </c>
      <c r="O69" s="14"/>
      <c r="P69" s="2">
        <f>SUM(OSRRefP22_14x_0)</f>
        <v>126593.85</v>
      </c>
      <c r="Q69" s="2"/>
      <c r="R69" s="6">
        <f t="shared" si="12"/>
        <v>2.7973007873745719E-2</v>
      </c>
      <c r="S69" s="2"/>
      <c r="T69" s="2">
        <f>SUM(OSRRefT22_14x_0)</f>
        <v>104899.34999999999</v>
      </c>
      <c r="U69" s="2"/>
      <c r="V69" s="6">
        <f t="shared" si="13"/>
        <v>0.1267592041981265</v>
      </c>
      <c r="W69" s="2"/>
      <c r="X69" s="2">
        <f t="shared" si="14"/>
        <v>21694.500000000015</v>
      </c>
      <c r="Y69" s="2"/>
      <c r="Z69" s="6">
        <f t="shared" si="15"/>
        <v>0.20681253029689903</v>
      </c>
    </row>
    <row r="70" spans="1:26" s="69" customFormat="1" ht="15" hidden="1" customHeight="1" outlineLevel="2" x14ac:dyDescent="0.3">
      <c r="A70" s="25"/>
      <c r="B70" s="12" t="str">
        <f>CONCATENATE("          ","6234"," - ","EXPENDABLE SUPPLIES &amp; EQUIPMEN")</f>
        <v xml:space="preserve">          6234 - EXPENDABLE SUPPLIES &amp; EQUIPMEN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315</v>
      </c>
      <c r="Q70" s="3"/>
      <c r="R70" s="7">
        <f t="shared" si="12"/>
        <v>6.9604467201446997E-5</v>
      </c>
      <c r="S70" s="3"/>
      <c r="T70" s="8"/>
      <c r="U70" s="3"/>
      <c r="V70" s="7">
        <f t="shared" si="13"/>
        <v>0</v>
      </c>
      <c r="W70" s="3"/>
      <c r="X70" s="8">
        <f t="shared" si="14"/>
        <v>315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5"/>
      <c r="B71" s="12" t="str">
        <f>CONCATENATE("          ","6235"," - ","COVID-19 EXPENSES")</f>
        <v xml:space="preserve">          6235 - COVID-19 EXPENSES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158.76</v>
      </c>
      <c r="Q71" s="3"/>
      <c r="R71" s="7">
        <f t="shared" si="12"/>
        <v>3.5080651469529286E-5</v>
      </c>
      <c r="S71" s="3"/>
      <c r="T71" s="8">
        <v>47255.27</v>
      </c>
      <c r="U71" s="3"/>
      <c r="V71" s="7">
        <f t="shared" si="13"/>
        <v>5.7102741050040845E-2</v>
      </c>
      <c r="W71" s="3"/>
      <c r="X71" s="8">
        <f t="shared" si="14"/>
        <v>-47096.509999999995</v>
      </c>
      <c r="Y71" s="3"/>
      <c r="Z71" s="7">
        <f t="shared" si="15"/>
        <v>-0.99664037471376199</v>
      </c>
    </row>
    <row r="72" spans="1:26" s="69" customFormat="1" ht="15" hidden="1" customHeight="1" outlineLevel="2" x14ac:dyDescent="0.3">
      <c r="A72" s="25"/>
      <c r="B72" s="12" t="str">
        <f>CONCATENATE("          ","6237"," - ","JANITORIAL SUPPLIES")</f>
        <v xml:space="preserve">          6237 - JANITORIAL SUPPLIES</v>
      </c>
      <c r="C72" s="12"/>
      <c r="D72" s="8">
        <v>828.88</v>
      </c>
      <c r="E72" s="3"/>
      <c r="F72" s="7">
        <f t="shared" si="8"/>
        <v>1.2259694066735819E-3</v>
      </c>
      <c r="G72" s="3"/>
      <c r="H72" s="8">
        <v>1954.49</v>
      </c>
      <c r="I72" s="3"/>
      <c r="J72" s="7">
        <f t="shared" si="9"/>
        <v>2.1291496844005574E-2</v>
      </c>
      <c r="K72" s="3"/>
      <c r="L72" s="8">
        <f t="shared" si="10"/>
        <v>-1125.6100000000001</v>
      </c>
      <c r="M72" s="3"/>
      <c r="N72" s="7">
        <f t="shared" si="11"/>
        <v>-0.57590982813931002</v>
      </c>
      <c r="O72" s="12"/>
      <c r="P72" s="8">
        <v>20085.900000000001</v>
      </c>
      <c r="Q72" s="3"/>
      <c r="R72" s="7">
        <f t="shared" si="12"/>
        <v>4.4383122786080774E-3</v>
      </c>
      <c r="S72" s="3"/>
      <c r="T72" s="8">
        <v>15149.36</v>
      </c>
      <c r="U72" s="3"/>
      <c r="V72" s="7">
        <f t="shared" si="13"/>
        <v>1.8306317605504038E-2</v>
      </c>
      <c r="W72" s="3"/>
      <c r="X72" s="8">
        <f t="shared" si="14"/>
        <v>4936.5400000000009</v>
      </c>
      <c r="Y72" s="3"/>
      <c r="Z72" s="7">
        <f t="shared" si="15"/>
        <v>0.32585799004050342</v>
      </c>
    </row>
    <row r="73" spans="1:26" s="69" customFormat="1" ht="15" hidden="1" customHeight="1" outlineLevel="2" x14ac:dyDescent="0.3">
      <c r="A73" s="25"/>
      <c r="B73" s="12" t="str">
        <f>CONCATENATE("          ","6239"," - ","KITCHEN SUPPLIES")</f>
        <v xml:space="preserve">          6239 - KITCHEN SUPPLIES</v>
      </c>
      <c r="C73" s="12"/>
      <c r="D73" s="8">
        <v>307.89</v>
      </c>
      <c r="E73" s="3"/>
      <c r="F73" s="7">
        <f t="shared" si="8"/>
        <v>4.5539006927508097E-4</v>
      </c>
      <c r="G73" s="3"/>
      <c r="H73" s="8">
        <v>39.75</v>
      </c>
      <c r="I73" s="3"/>
      <c r="J73" s="7">
        <f t="shared" si="9"/>
        <v>4.3302191341435442E-4</v>
      </c>
      <c r="K73" s="3"/>
      <c r="L73" s="8">
        <f t="shared" si="10"/>
        <v>268.14</v>
      </c>
      <c r="M73" s="3"/>
      <c r="N73" s="7">
        <f t="shared" si="11"/>
        <v>6.7456603773584902</v>
      </c>
      <c r="O73" s="12"/>
      <c r="P73" s="8">
        <v>10396.67</v>
      </c>
      <c r="Q73" s="3"/>
      <c r="R73" s="7">
        <f t="shared" si="12"/>
        <v>2.2973164318072E-3</v>
      </c>
      <c r="S73" s="3"/>
      <c r="T73" s="8">
        <v>6056.01</v>
      </c>
      <c r="U73" s="3"/>
      <c r="V73" s="7">
        <f t="shared" si="13"/>
        <v>7.3180149182611358E-3</v>
      </c>
      <c r="W73" s="3"/>
      <c r="X73" s="8">
        <f t="shared" si="14"/>
        <v>4340.66</v>
      </c>
      <c r="Y73" s="3"/>
      <c r="Z73" s="7">
        <f t="shared" si="15"/>
        <v>0.71675244921986581</v>
      </c>
    </row>
    <row r="74" spans="1:26" s="69" customFormat="1" ht="15" hidden="1" customHeight="1" outlineLevel="2" x14ac:dyDescent="0.3">
      <c r="A74" s="25"/>
      <c r="B74" s="12" t="str">
        <f>CONCATENATE("          ","6241"," - ","OFFICE EXPENSE")</f>
        <v xml:space="preserve">          6241 - OFFICE EXPENSE</v>
      </c>
      <c r="C74" s="12"/>
      <c r="D74" s="8">
        <v>150.32</v>
      </c>
      <c r="E74" s="3"/>
      <c r="F74" s="7">
        <f t="shared" si="8"/>
        <v>2.2233341522436641E-4</v>
      </c>
      <c r="G74" s="3"/>
      <c r="H74" s="8">
        <v>1367.37</v>
      </c>
      <c r="I74" s="3"/>
      <c r="J74" s="7">
        <f t="shared" si="9"/>
        <v>1.4895627012462534E-2</v>
      </c>
      <c r="K74" s="3"/>
      <c r="L74" s="8">
        <f t="shared" si="10"/>
        <v>-1217.05</v>
      </c>
      <c r="M74" s="3"/>
      <c r="N74" s="7">
        <f t="shared" si="11"/>
        <v>-0.89006633171709193</v>
      </c>
      <c r="O74" s="12"/>
      <c r="P74" s="8">
        <v>4008.86</v>
      </c>
      <c r="Q74" s="3"/>
      <c r="R74" s="7">
        <f t="shared" si="12"/>
        <v>8.8582401392124708E-4</v>
      </c>
      <c r="S74" s="3"/>
      <c r="T74" s="8">
        <v>6606.12</v>
      </c>
      <c r="U74" s="3"/>
      <c r="V74" s="7">
        <f t="shared" si="13"/>
        <v>7.9827617047896638E-3</v>
      </c>
      <c r="W74" s="3"/>
      <c r="X74" s="8">
        <f t="shared" si="14"/>
        <v>-2597.2599999999998</v>
      </c>
      <c r="Y74" s="3"/>
      <c r="Z74" s="7">
        <f t="shared" si="15"/>
        <v>-0.39315967617905817</v>
      </c>
    </row>
    <row r="75" spans="1:26" s="69" customFormat="1" ht="15" hidden="1" customHeight="1" outlineLevel="2" x14ac:dyDescent="0.3">
      <c r="A75" s="25"/>
      <c r="B75" s="12" t="str">
        <f>CONCATENATE("          ","6243"," - ","PAPER SUPPLIES")</f>
        <v xml:space="preserve">          6243 - PAPER SUPPLIES</v>
      </c>
      <c r="C75" s="12"/>
      <c r="D75" s="8">
        <v>5671.71</v>
      </c>
      <c r="E75" s="3"/>
      <c r="F75" s="7">
        <f t="shared" si="8"/>
        <v>8.3888415012120226E-3</v>
      </c>
      <c r="G75" s="3"/>
      <c r="H75" s="8">
        <v>4088.06</v>
      </c>
      <c r="I75" s="3"/>
      <c r="J75" s="7">
        <f t="shared" si="9"/>
        <v>4.4533825493149326E-2</v>
      </c>
      <c r="K75" s="3"/>
      <c r="L75" s="8">
        <f t="shared" si="10"/>
        <v>1583.65</v>
      </c>
      <c r="M75" s="3"/>
      <c r="N75" s="7">
        <f t="shared" si="11"/>
        <v>0.38738423604350231</v>
      </c>
      <c r="O75" s="12"/>
      <c r="P75" s="8">
        <v>88366.58</v>
      </c>
      <c r="Q75" s="3"/>
      <c r="R75" s="7">
        <f t="shared" si="12"/>
        <v>1.9526059426393787E-2</v>
      </c>
      <c r="S75" s="3"/>
      <c r="T75" s="8">
        <v>25332</v>
      </c>
      <c r="U75" s="3"/>
      <c r="V75" s="7">
        <f t="shared" si="13"/>
        <v>3.0610906175747906E-2</v>
      </c>
      <c r="W75" s="3"/>
      <c r="X75" s="8">
        <f t="shared" si="14"/>
        <v>63034.58</v>
      </c>
      <c r="Y75" s="3"/>
      <c r="Z75" s="7">
        <f t="shared" si="15"/>
        <v>2.4883380704247591</v>
      </c>
    </row>
    <row r="76" spans="1:26" s="69" customFormat="1" ht="15" hidden="1" customHeight="1" outlineLevel="2" x14ac:dyDescent="0.3">
      <c r="A76" s="25"/>
      <c r="B76" s="12" t="str">
        <f>CONCATENATE("          ","6247"," - ","STORE SUPPLIES")</f>
        <v xml:space="preserve">          6247 - STORE SUPPLIES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>
        <v>459.51</v>
      </c>
      <c r="Q76" s="3"/>
      <c r="R76" s="7">
        <f t="shared" si="12"/>
        <v>1.0153634515472035E-4</v>
      </c>
      <c r="S76" s="3"/>
      <c r="T76" s="8"/>
      <c r="U76" s="3"/>
      <c r="V76" s="7">
        <f t="shared" si="13"/>
        <v>0</v>
      </c>
      <c r="W76" s="3"/>
      <c r="X76" s="8">
        <f t="shared" si="14"/>
        <v>459.51</v>
      </c>
      <c r="Y76" s="3"/>
      <c r="Z76" s="7">
        <f t="shared" si="15"/>
        <v>0</v>
      </c>
    </row>
    <row r="77" spans="1:26" s="69" customFormat="1" ht="15" hidden="1" customHeight="1" outlineLevel="2" x14ac:dyDescent="0.3">
      <c r="A77" s="25"/>
      <c r="B77" s="12" t="str">
        <f>CONCATENATE("          ","6248"," - ","UNIFORMS")</f>
        <v xml:space="preserve">          6248 - UNIFORMS</v>
      </c>
      <c r="C77" s="12"/>
      <c r="D77" s="8">
        <v>932.16</v>
      </c>
      <c r="E77" s="3"/>
      <c r="F77" s="7">
        <f t="shared" si="8"/>
        <v>1.3787274902577527E-3</v>
      </c>
      <c r="G77" s="3"/>
      <c r="H77" s="8"/>
      <c r="I77" s="3"/>
      <c r="J77" s="7">
        <f t="shared" si="9"/>
        <v>0</v>
      </c>
      <c r="K77" s="3"/>
      <c r="L77" s="8">
        <f t="shared" si="10"/>
        <v>932.16</v>
      </c>
      <c r="M77" s="3"/>
      <c r="N77" s="7">
        <f t="shared" si="11"/>
        <v>0</v>
      </c>
      <c r="O77" s="12"/>
      <c r="P77" s="8">
        <v>2802.57</v>
      </c>
      <c r="Q77" s="3"/>
      <c r="R77" s="7">
        <f t="shared" si="12"/>
        <v>6.1927425918971218E-4</v>
      </c>
      <c r="S77" s="3"/>
      <c r="T77" s="8">
        <v>4500.59</v>
      </c>
      <c r="U77" s="3"/>
      <c r="V77" s="7">
        <f t="shared" si="13"/>
        <v>5.4384627437829335E-3</v>
      </c>
      <c r="W77" s="3"/>
      <c r="X77" s="8">
        <f t="shared" si="14"/>
        <v>-1698.02</v>
      </c>
      <c r="Y77" s="3"/>
      <c r="Z77" s="7">
        <f t="shared" si="15"/>
        <v>-0.37728831108810179</v>
      </c>
    </row>
    <row r="78" spans="1:26" s="68" customFormat="1" ht="15" customHeight="1" outlineLevel="1" collapsed="1" x14ac:dyDescent="0.3">
      <c r="A78" s="26"/>
      <c r="B78" s="14" t="str">
        <f>CONCATENATE("     ","Telephone/Data Lines                              ")</f>
        <v xml:space="preserve">     Telephone/Data Lines                              </v>
      </c>
      <c r="C78" s="14"/>
      <c r="D78" s="2">
        <f>SUM(OSRRefD22_15x_0)</f>
        <v>309</v>
      </c>
      <c r="E78" s="2"/>
      <c r="F78" s="6">
        <f t="shared" si="8"/>
        <v>4.5703183411608051E-4</v>
      </c>
      <c r="G78" s="2"/>
      <c r="H78" s="2">
        <f>SUM(OSRRefH22_15x_0)</f>
        <v>159</v>
      </c>
      <c r="I78" s="2"/>
      <c r="J78" s="6">
        <f t="shared" si="9"/>
        <v>1.7320876536574177E-3</v>
      </c>
      <c r="K78" s="2"/>
      <c r="L78" s="2">
        <f t="shared" si="10"/>
        <v>150</v>
      </c>
      <c r="M78" s="2"/>
      <c r="N78" s="6">
        <f t="shared" si="11"/>
        <v>0.94339622641509435</v>
      </c>
      <c r="O78" s="14"/>
      <c r="P78" s="2">
        <f>SUM(OSRRefP22_15x_0)</f>
        <v>2689</v>
      </c>
      <c r="Q78" s="2"/>
      <c r="R78" s="6">
        <f t="shared" si="12"/>
        <v>5.9417908668155865E-4</v>
      </c>
      <c r="S78" s="2"/>
      <c r="T78" s="2">
        <f>SUM(OSRRefT22_15x_0)</f>
        <v>2182</v>
      </c>
      <c r="U78" s="2"/>
      <c r="V78" s="6">
        <f t="shared" si="13"/>
        <v>2.636704455845647E-3</v>
      </c>
      <c r="W78" s="2"/>
      <c r="X78" s="2">
        <f t="shared" si="14"/>
        <v>507</v>
      </c>
      <c r="Y78" s="2"/>
      <c r="Z78" s="6">
        <f t="shared" si="15"/>
        <v>0.23235563703024747</v>
      </c>
    </row>
    <row r="79" spans="1:26" s="69" customFormat="1" ht="15" hidden="1" customHeight="1" outlineLevel="2" x14ac:dyDescent="0.3">
      <c r="A79" s="25"/>
      <c r="B79" s="12" t="str">
        <f>CONCATENATE("          ","6309"," - ","TELEPHONE")</f>
        <v xml:space="preserve">          6309 - TELEPHONE</v>
      </c>
      <c r="C79" s="12"/>
      <c r="D79" s="8">
        <v>309</v>
      </c>
      <c r="E79" s="3"/>
      <c r="F79" s="7">
        <f t="shared" si="8"/>
        <v>4.5703183411608051E-4</v>
      </c>
      <c r="G79" s="3"/>
      <c r="H79" s="8">
        <v>159</v>
      </c>
      <c r="I79" s="3"/>
      <c r="J79" s="7">
        <f t="shared" si="9"/>
        <v>1.7320876536574177E-3</v>
      </c>
      <c r="K79" s="3"/>
      <c r="L79" s="8">
        <f t="shared" si="10"/>
        <v>150</v>
      </c>
      <c r="M79" s="3"/>
      <c r="N79" s="7">
        <f t="shared" si="11"/>
        <v>0.94339622641509435</v>
      </c>
      <c r="O79" s="12"/>
      <c r="P79" s="8">
        <v>2689</v>
      </c>
      <c r="Q79" s="3"/>
      <c r="R79" s="7">
        <f t="shared" si="12"/>
        <v>5.9417908668155865E-4</v>
      </c>
      <c r="S79" s="3"/>
      <c r="T79" s="8">
        <v>2182</v>
      </c>
      <c r="U79" s="3"/>
      <c r="V79" s="7">
        <f t="shared" si="13"/>
        <v>2.636704455845647E-3</v>
      </c>
      <c r="W79" s="3"/>
      <c r="X79" s="8">
        <f t="shared" si="14"/>
        <v>507</v>
      </c>
      <c r="Y79" s="3"/>
      <c r="Z79" s="7">
        <f t="shared" si="15"/>
        <v>0.23235563703024747</v>
      </c>
    </row>
    <row r="80" spans="1:26" s="68" customFormat="1" ht="15" customHeight="1" outlineLevel="1" collapsed="1" x14ac:dyDescent="0.3">
      <c r="A80" s="26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SUM(OSRRefD22_16x_0)</f>
        <v>0</v>
      </c>
      <c r="E80" s="2"/>
      <c r="F80" s="6">
        <f t="shared" si="8"/>
        <v>0</v>
      </c>
      <c r="G80" s="2"/>
      <c r="H80" s="2">
        <f>SUM(OSRRefH22_16x_0)</f>
        <v>0</v>
      </c>
      <c r="I80" s="2"/>
      <c r="J80" s="6">
        <f t="shared" si="9"/>
        <v>0</v>
      </c>
      <c r="K80" s="2"/>
      <c r="L80" s="2">
        <f t="shared" si="10"/>
        <v>0</v>
      </c>
      <c r="M80" s="2"/>
      <c r="N80" s="6">
        <f t="shared" si="11"/>
        <v>0</v>
      </c>
      <c r="O80" s="14"/>
      <c r="P80" s="2">
        <f>SUM(OSRRefP22_16x_0)</f>
        <v>245</v>
      </c>
      <c r="Q80" s="2"/>
      <c r="R80" s="6">
        <f t="shared" si="12"/>
        <v>5.4136807823347669E-5</v>
      </c>
      <c r="S80" s="2"/>
      <c r="T80" s="2">
        <f>SUM(OSRRefT22_16x_0)</f>
        <v>735</v>
      </c>
      <c r="U80" s="2"/>
      <c r="V80" s="6">
        <f t="shared" si="13"/>
        <v>8.8816579974635682E-4</v>
      </c>
      <c r="W80" s="2"/>
      <c r="X80" s="2">
        <f t="shared" si="14"/>
        <v>-490</v>
      </c>
      <c r="Y80" s="2"/>
      <c r="Z80" s="6">
        <f t="shared" si="15"/>
        <v>-0.66666666666666663</v>
      </c>
    </row>
    <row r="81" spans="1:26" s="69" customFormat="1" ht="15" hidden="1" customHeight="1" outlineLevel="2" x14ac:dyDescent="0.3">
      <c r="A81" s="25"/>
      <c r="B81" s="12" t="str">
        <f>CONCATENATE("          ","6376"," - ","TRAINING")</f>
        <v xml:space="preserve">          6376 - TRAINING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245</v>
      </c>
      <c r="Q81" s="3"/>
      <c r="R81" s="7">
        <f t="shared" si="12"/>
        <v>5.4136807823347669E-5</v>
      </c>
      <c r="S81" s="3"/>
      <c r="T81" s="8">
        <v>735</v>
      </c>
      <c r="U81" s="3"/>
      <c r="V81" s="7">
        <f t="shared" si="13"/>
        <v>8.8816579974635682E-4</v>
      </c>
      <c r="W81" s="3"/>
      <c r="X81" s="8">
        <f t="shared" si="14"/>
        <v>-490</v>
      </c>
      <c r="Y81" s="3"/>
      <c r="Z81" s="7">
        <f t="shared" si="15"/>
        <v>-0.66666666666666663</v>
      </c>
    </row>
    <row r="82" spans="1:26" s="64" customFormat="1" ht="15" customHeight="1" x14ac:dyDescent="0.3">
      <c r="A82" s="36"/>
      <c r="B82" s="36"/>
      <c r="C82" s="36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O82" s="3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62" customFormat="1" ht="15" customHeight="1" x14ac:dyDescent="0.3">
      <c r="A83" s="11"/>
      <c r="B83" s="28" t="s">
        <v>290</v>
      </c>
      <c r="C83" s="11"/>
      <c r="D83" s="5">
        <f>SUM(0)</f>
        <v>0</v>
      </c>
      <c r="E83" s="5"/>
      <c r="F83" s="13">
        <f>IF(D$12=0,0,D83/D$12)</f>
        <v>0</v>
      </c>
      <c r="G83" s="5"/>
      <c r="H83" s="5">
        <f>SUM(0)</f>
        <v>0</v>
      </c>
      <c r="I83" s="5"/>
      <c r="J83" s="13">
        <f>IF(H$12=0,0,H83/H$12)</f>
        <v>0</v>
      </c>
      <c r="K83" s="5"/>
      <c r="L83" s="5">
        <f>+D83-H83</f>
        <v>0</v>
      </c>
      <c r="M83" s="5"/>
      <c r="N83" s="13">
        <f>IF(H83=0,0,L83/H83)</f>
        <v>0</v>
      </c>
      <c r="O83" s="11"/>
      <c r="P83" s="5">
        <f>SUM(0)</f>
        <v>0</v>
      </c>
      <c r="Q83" s="5"/>
      <c r="R83" s="13">
        <f>IF(P$12=0,0,P83/P$12)</f>
        <v>0</v>
      </c>
      <c r="S83" s="5"/>
      <c r="T83" s="5">
        <f>SUM(0)</f>
        <v>0</v>
      </c>
      <c r="U83" s="5"/>
      <c r="V83" s="13">
        <f>IF(T$12=0,0,T83/T$12)</f>
        <v>0</v>
      </c>
      <c r="W83" s="5"/>
      <c r="X83" s="5">
        <f>+P83-T83</f>
        <v>0</v>
      </c>
      <c r="Y83" s="5"/>
      <c r="Z83" s="13">
        <f>IF(T83=0,0,X83/T83)</f>
        <v>0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7" t="s">
        <v>291</v>
      </c>
      <c r="C85" s="27"/>
      <c r="D85" s="22">
        <f>+D21-D23+D83</f>
        <v>296778.90999999992</v>
      </c>
      <c r="E85" s="15"/>
      <c r="F85" s="21">
        <f>IF(D$12=0,0,D85/D$12)</f>
        <v>0.43895601800734996</v>
      </c>
      <c r="G85" s="15"/>
      <c r="H85" s="22">
        <f>+H21-H23+H83</f>
        <v>-69051.270000000019</v>
      </c>
      <c r="I85" s="15"/>
      <c r="J85" s="21">
        <f>IF(H$12=0,0,H85/H$12)</f>
        <v>-0.75221919645512492</v>
      </c>
      <c r="K85" s="17"/>
      <c r="L85" s="22">
        <f>+D85-H85</f>
        <v>365830.17999999993</v>
      </c>
      <c r="M85" s="17"/>
      <c r="N85" s="21">
        <f>IF(H85=0,0,L85/H85)</f>
        <v>-5.2979500594268556</v>
      </c>
      <c r="O85" s="28"/>
      <c r="P85" s="22">
        <f>+P21-P23+P83</f>
        <v>1760969.5499999996</v>
      </c>
      <c r="Q85" s="15"/>
      <c r="R85" s="21">
        <f>IF(P$12=0,0,P85/P$12)</f>
        <v>0.38911538820864083</v>
      </c>
      <c r="S85" s="15"/>
      <c r="T85" s="22">
        <f>+T21-T23+T83</f>
        <v>-552397.58000000007</v>
      </c>
      <c r="U85" s="15"/>
      <c r="V85" s="21">
        <f>IF(T$12=0,0,T85/T$12)</f>
        <v>-0.66751107267843834</v>
      </c>
      <c r="W85" s="17"/>
      <c r="X85" s="22">
        <f>+P85-T85</f>
        <v>2313367.13</v>
      </c>
      <c r="Y85" s="17"/>
      <c r="Z85" s="21">
        <f>IF(T85=0,0,X85/T85)</f>
        <v>-4.1878661561116894</v>
      </c>
    </row>
    <row r="86" spans="1:26" ht="15" customHeight="1" x14ac:dyDescent="0.3">
      <c r="A86" s="10"/>
      <c r="B86" s="11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48"/>
      <c r="B87" s="11" t="s">
        <v>292</v>
      </c>
      <c r="C87" s="11"/>
      <c r="D87" s="5">
        <v>59614.64</v>
      </c>
      <c r="E87" s="5"/>
      <c r="F87" s="13">
        <f>IF(D$12=0,0,D87/D$12)</f>
        <v>8.8174072036795656E-2</v>
      </c>
      <c r="G87" s="5"/>
      <c r="H87" s="5">
        <v>24845.55</v>
      </c>
      <c r="I87" s="5"/>
      <c r="J87" s="13">
        <f>IF(H$12=0,0,H87/H$12)</f>
        <v>0.27065830442344685</v>
      </c>
      <c r="K87" s="5"/>
      <c r="L87" s="5">
        <f>+D87-H87</f>
        <v>34769.089999999997</v>
      </c>
      <c r="M87" s="5"/>
      <c r="N87" s="13">
        <f>IF(H87=0,0,L87/H87)</f>
        <v>1.3994091497270134</v>
      </c>
      <c r="O87" s="11"/>
      <c r="P87" s="5">
        <v>540115.87</v>
      </c>
      <c r="Q87" s="5"/>
      <c r="R87" s="13">
        <f>IF(P$12=0,0,P87/P$12)</f>
        <v>0.11934754716951115</v>
      </c>
      <c r="S87" s="5"/>
      <c r="T87" s="5">
        <v>170550.66</v>
      </c>
      <c r="U87" s="5"/>
      <c r="V87" s="13">
        <f>IF(T$12=0,0,T87/T$12)</f>
        <v>0.20609151474308707</v>
      </c>
      <c r="W87" s="5"/>
      <c r="X87" s="5">
        <f>+P87-T87</f>
        <v>369565.20999999996</v>
      </c>
      <c r="Y87" s="5"/>
      <c r="Z87" s="13">
        <f>IF(T87=0,0,X87/T87)</f>
        <v>2.1668940477861529</v>
      </c>
    </row>
    <row r="88" spans="1:26" ht="15" customHeight="1" x14ac:dyDescent="0.3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11"/>
      <c r="B89" s="27" t="s">
        <v>293</v>
      </c>
      <c r="C89" s="27"/>
      <c r="D89" s="34">
        <f>+D85-D87</f>
        <v>237164.2699999999</v>
      </c>
      <c r="E89" s="15"/>
      <c r="F89" s="33">
        <f>IF(D$12=0,0,D89/D$12)</f>
        <v>0.35078194597055429</v>
      </c>
      <c r="G89" s="15"/>
      <c r="H89" s="34">
        <f>+H85-H87</f>
        <v>-93896.820000000022</v>
      </c>
      <c r="I89" s="15"/>
      <c r="J89" s="33">
        <f>IF(H$12=0,0,H89/H$12)</f>
        <v>-1.0228775008785718</v>
      </c>
      <c r="K89" s="17"/>
      <c r="L89" s="34">
        <f>D89-H89</f>
        <v>331061.08999999991</v>
      </c>
      <c r="M89" s="17"/>
      <c r="N89" s="33">
        <f>IF(H89=0,0,L89/H89)</f>
        <v>-3.5257966137724348</v>
      </c>
      <c r="O89" s="28"/>
      <c r="P89" s="34">
        <f>+P85-P87</f>
        <v>1220853.6799999997</v>
      </c>
      <c r="Q89" s="15"/>
      <c r="R89" s="33">
        <f>IF(P$12=0,0,P89/P$12)</f>
        <v>0.26976784103912971</v>
      </c>
      <c r="S89" s="15"/>
      <c r="T89" s="34">
        <f>+T85-T87</f>
        <v>-722948.24000000011</v>
      </c>
      <c r="U89" s="15"/>
      <c r="V89" s="33">
        <f>IF(T$12=0,0,T89/T$12)</f>
        <v>-0.87360258742152541</v>
      </c>
      <c r="W89" s="17"/>
      <c r="X89" s="34">
        <f>P89-T89</f>
        <v>1943801.92</v>
      </c>
      <c r="Y89" s="17"/>
      <c r="Z89" s="33">
        <f>IF(T89=0,0,X89/T89)</f>
        <v>-2.6887151976467911</v>
      </c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11"/>
      <c r="B92" s="27" t="s">
        <v>296</v>
      </c>
      <c r="C92" s="27"/>
      <c r="D92" s="31">
        <f>SUM(D89:D91)</f>
        <v>237164.2699999999</v>
      </c>
      <c r="E92" s="15"/>
      <c r="F92" s="32">
        <f>IF(D$12=0,0,D92/D$12)</f>
        <v>0.35078194597055429</v>
      </c>
      <c r="G92" s="15"/>
      <c r="H92" s="31">
        <f>SUM(H89:H91)</f>
        <v>-93896.820000000022</v>
      </c>
      <c r="I92" s="15"/>
      <c r="J92" s="32">
        <f>IF(H$12=0,0,H92/H$12)</f>
        <v>-1.0228775008785718</v>
      </c>
      <c r="K92" s="17"/>
      <c r="L92" s="31">
        <f>+D92-H92</f>
        <v>331061.08999999991</v>
      </c>
      <c r="M92" s="17"/>
      <c r="N92" s="32">
        <f>IF(H92=0,0,L92/H92)</f>
        <v>-3.5257966137724348</v>
      </c>
      <c r="O92" s="28"/>
      <c r="P92" s="31">
        <f>SUM(P89:P91)</f>
        <v>1220853.6799999997</v>
      </c>
      <c r="Q92" s="15"/>
      <c r="R92" s="32">
        <f>IF(P$12=0,0,P92/P$12)</f>
        <v>0.26976784103912971</v>
      </c>
      <c r="S92" s="15"/>
      <c r="T92" s="31">
        <f>SUM(T89:T91)</f>
        <v>-722948.24000000011</v>
      </c>
      <c r="U92" s="15"/>
      <c r="V92" s="32">
        <f>IF(T$12=0,0,T92/T$12)</f>
        <v>-0.87360258742152541</v>
      </c>
      <c r="W92" s="17"/>
      <c r="X92" s="31">
        <f>+P92-T92</f>
        <v>1943801.92</v>
      </c>
      <c r="Y92" s="17"/>
      <c r="Z92" s="32">
        <f>IF(T92=0,0,X92/T92)</f>
        <v>-2.6887151976467911</v>
      </c>
    </row>
    <row r="93" spans="1:26" ht="15" customHeight="1" x14ac:dyDescent="0.3">
      <c r="A93" s="10"/>
      <c r="C93" s="10"/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  <row r="94" spans="1:26" ht="15" customHeight="1" x14ac:dyDescent="0.3">
      <c r="A94" s="10"/>
      <c r="B94" s="56">
        <v>44663.03859679398</v>
      </c>
      <c r="D94" s="19"/>
      <c r="E94" s="19"/>
      <c r="G94" s="19"/>
      <c r="H94" s="19"/>
      <c r="I94" s="19"/>
      <c r="J94" s="40"/>
      <c r="K94" s="19"/>
      <c r="L94" s="19"/>
      <c r="M94" s="19"/>
      <c r="P94" s="19"/>
      <c r="Q94" s="19"/>
      <c r="R94" s="40"/>
      <c r="S94" s="19"/>
      <c r="T94" s="19"/>
      <c r="U94" s="19"/>
      <c r="V94" s="40"/>
      <c r="W94" s="19"/>
      <c r="X94" s="19"/>
    </row>
    <row r="95" spans="1:26" ht="15" customHeight="1" x14ac:dyDescent="0.3">
      <c r="A95" s="10"/>
      <c r="B95" s="57" t="s">
        <v>297</v>
      </c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A96" s="10"/>
      <c r="B96" s="58"/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  <row r="97" spans="4:24" ht="15" customHeight="1" x14ac:dyDescent="0.3">
      <c r="D97" s="19"/>
      <c r="E97" s="19"/>
      <c r="G97" s="19"/>
      <c r="H97" s="19"/>
      <c r="I97" s="19"/>
      <c r="J97" s="40"/>
      <c r="K97" s="19"/>
      <c r="L97" s="19"/>
      <c r="M97" s="19"/>
      <c r="P97" s="19"/>
      <c r="Q97" s="19"/>
      <c r="R97" s="40"/>
      <c r="S97" s="19"/>
      <c r="T97" s="19"/>
      <c r="U97" s="19"/>
      <c r="V97" s="40"/>
      <c r="W97" s="19"/>
      <c r="X9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9F7A-22A3-F98A-F9D7-9DB821A94CB8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","450"," - ","Beachside Dining Hall")</f>
        <v>Department 450 - Beachside Dining Hall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258493.59999999998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258493.59999999998</v>
      </c>
      <c r="M12" s="5"/>
      <c r="N12" s="13">
        <f>IF(H12=0,0,L12/H12)</f>
        <v>0</v>
      </c>
      <c r="O12" s="11"/>
      <c r="P12" s="5">
        <f>SUM(OSRRefP13x_0)</f>
        <v>1528805.4100000001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1528805.4100000001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--36.77</f>
        <v>36.770000000000003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36.770000000000003</v>
      </c>
      <c r="M13" s="3"/>
      <c r="N13" s="20">
        <f>IF(H13=0,0,L13/H13)</f>
        <v>0</v>
      </c>
      <c r="O13" s="12"/>
      <c r="P13" s="3">
        <f>--282.61</f>
        <v>282.61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282.61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--257279.9</f>
        <v>257279.9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257279.9</v>
      </c>
      <c r="M14" s="3"/>
      <c r="N14" s="20">
        <f>IF(H14=0,0,L14/H14)</f>
        <v>0</v>
      </c>
      <c r="O14" s="12"/>
      <c r="P14" s="3">
        <f>--1521177.08</f>
        <v>1521177.08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1521177.08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--1176.93</f>
        <v>1176.93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1176.93</v>
      </c>
      <c r="M15" s="3"/>
      <c r="N15" s="20">
        <f>IF(H15=0,0,L15/H15)</f>
        <v>0</v>
      </c>
      <c r="O15" s="12"/>
      <c r="P15" s="3">
        <f>--7345.72</f>
        <v>7345.72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7345.72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8" t="s">
        <v>287</v>
      </c>
      <c r="C17" s="11"/>
      <c r="D17" s="5">
        <f>SUM(OSRRefD16x_0)</f>
        <v>59490.44</v>
      </c>
      <c r="E17" s="5"/>
      <c r="F17" s="13">
        <f>IF(D$12=0,0,D17/D$12)</f>
        <v>0.23014279657213954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59490.44</v>
      </c>
      <c r="M17" s="5"/>
      <c r="N17" s="13">
        <f>IF(H17=0,0,L17/H17)</f>
        <v>0</v>
      </c>
      <c r="O17" s="11"/>
      <c r="P17" s="5">
        <f>SUM(OSRRefP16x_0)</f>
        <v>372557.6</v>
      </c>
      <c r="Q17" s="5"/>
      <c r="R17" s="13">
        <f>IF(P$12=0,0,P17/P$12)</f>
        <v>0.24369196862012671</v>
      </c>
      <c r="S17" s="5"/>
      <c r="T17" s="5">
        <f>SUM(OSRRefT16x_0)</f>
        <v>0</v>
      </c>
      <c r="U17" s="5"/>
      <c r="V17" s="13">
        <f>IF(T$12=0,0,T17/T$12)</f>
        <v>0</v>
      </c>
      <c r="W17" s="5"/>
      <c r="X17" s="5">
        <f>+P17-T17</f>
        <v>372557.6</v>
      </c>
      <c r="Y17" s="5"/>
      <c r="Z17" s="13">
        <f>IF(T17=0,0,X17/T17)</f>
        <v>0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53716.44</v>
      </c>
      <c r="E18" s="3"/>
      <c r="F18" s="20">
        <f>IF(D$12=0,0,D18/D$12)</f>
        <v>0.20780568648508127</v>
      </c>
      <c r="G18" s="3"/>
      <c r="H18" s="3"/>
      <c r="I18" s="3"/>
      <c r="J18" s="20">
        <f>IF(H$12=0,0,H18/H$12)</f>
        <v>0</v>
      </c>
      <c r="K18" s="3"/>
      <c r="L18" s="3">
        <f>+D18-H18</f>
        <v>53716.44</v>
      </c>
      <c r="M18" s="3"/>
      <c r="N18" s="20">
        <f>IF(H18=0,0,L18/H18)</f>
        <v>0</v>
      </c>
      <c r="O18" s="12"/>
      <c r="P18" s="3">
        <v>385278.66</v>
      </c>
      <c r="Q18" s="3"/>
      <c r="R18" s="20">
        <f>IF(P$12=0,0,P18/P$12)</f>
        <v>0.25201288370637043</v>
      </c>
      <c r="S18" s="3"/>
      <c r="T18" s="3"/>
      <c r="U18" s="3"/>
      <c r="V18" s="20">
        <f>IF(T$12=0,0,T18/T$12)</f>
        <v>0</v>
      </c>
      <c r="W18" s="3"/>
      <c r="X18" s="3">
        <f>+P18-T18</f>
        <v>385278.66</v>
      </c>
      <c r="Y18" s="3"/>
      <c r="Z18" s="20">
        <f>IF(T18=0,0,X18/T18)</f>
        <v>0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5774</v>
      </c>
      <c r="E19" s="3"/>
      <c r="F19" s="20">
        <f>IF(D$12=0,0,D19/D$12)</f>
        <v>2.233711008705825E-2</v>
      </c>
      <c r="G19" s="3"/>
      <c r="H19" s="3"/>
      <c r="I19" s="3"/>
      <c r="J19" s="20">
        <f>IF(H$12=0,0,H19/H$12)</f>
        <v>0</v>
      </c>
      <c r="K19" s="3"/>
      <c r="L19" s="3">
        <f>+D19-H19</f>
        <v>5774</v>
      </c>
      <c r="M19" s="3"/>
      <c r="N19" s="20">
        <f>IF(H19=0,0,L19/H19)</f>
        <v>0</v>
      </c>
      <c r="O19" s="12"/>
      <c r="P19" s="3">
        <v>-12721.06</v>
      </c>
      <c r="Q19" s="3"/>
      <c r="R19" s="20">
        <f>IF(P$12=0,0,P19/P$12)</f>
        <v>-8.3209150862437083E-3</v>
      </c>
      <c r="S19" s="3"/>
      <c r="T19" s="3"/>
      <c r="U19" s="3"/>
      <c r="V19" s="20">
        <f>IF(T$12=0,0,T19/T$12)</f>
        <v>0</v>
      </c>
      <c r="W19" s="3"/>
      <c r="X19" s="3">
        <f>+P19-T19</f>
        <v>-12721.06</v>
      </c>
      <c r="Y19" s="3"/>
      <c r="Z19" s="20">
        <f>IF(T19=0,0,X19/T19)</f>
        <v>0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7" t="s">
        <v>288</v>
      </c>
      <c r="C21" s="27"/>
      <c r="D21" s="22">
        <f>D12-D17</f>
        <v>199003.15999999997</v>
      </c>
      <c r="E21" s="15"/>
      <c r="F21" s="21">
        <f>IF(D$12=0,0,D21/D$12)</f>
        <v>0.76985720342786046</v>
      </c>
      <c r="G21" s="15"/>
      <c r="H21" s="22">
        <f>H12-H17</f>
        <v>0</v>
      </c>
      <c r="I21" s="15"/>
      <c r="J21" s="21">
        <f>IF(H$12=0,0,H21/H$12)</f>
        <v>0</v>
      </c>
      <c r="K21" s="17"/>
      <c r="L21" s="22">
        <f>+D21-H21</f>
        <v>199003.15999999997</v>
      </c>
      <c r="M21" s="17"/>
      <c r="N21" s="21">
        <f>IF(H21=0,0,L21/H21)</f>
        <v>0</v>
      </c>
      <c r="O21" s="28"/>
      <c r="P21" s="22">
        <f>P12-P17</f>
        <v>1156247.81</v>
      </c>
      <c r="Q21" s="15"/>
      <c r="R21" s="21">
        <f>IF(P$12=0,0,P21/P$12)</f>
        <v>0.75630803137987324</v>
      </c>
      <c r="S21" s="15"/>
      <c r="T21" s="22">
        <f>T12-T17</f>
        <v>0</v>
      </c>
      <c r="U21" s="15"/>
      <c r="V21" s="21">
        <f>IF(T$12=0,0,T21/T$12)</f>
        <v>0</v>
      </c>
      <c r="W21" s="17"/>
      <c r="X21" s="22">
        <f>+P21-T21</f>
        <v>1156247.81</v>
      </c>
      <c r="Y21" s="17"/>
      <c r="Z21" s="21">
        <f>IF(T21=0,0,X21/T21)</f>
        <v>0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8" t="s">
        <v>289</v>
      </c>
      <c r="C23" s="11"/>
      <c r="D23" s="23" cm="1">
        <f t="array" ref="D23">SUM(OSRRefD22x_0)</f>
        <v>137737.92000000004</v>
      </c>
      <c r="E23" s="23"/>
      <c r="F23" s="35">
        <f t="shared" ref="F23:F54" si="0">IF(D$12=0,0,D23/D$12)</f>
        <v>0.53284847284420211</v>
      </c>
      <c r="G23" s="23"/>
      <c r="H23" s="23" cm="1">
        <f t="array" ref="H23">SUM(OSRRefH22x_0)</f>
        <v>41679.39</v>
      </c>
      <c r="I23" s="23"/>
      <c r="J23" s="35">
        <f t="shared" ref="J23:J54" si="1">IF(H$12=0,0,H23/H$12)</f>
        <v>0</v>
      </c>
      <c r="K23" s="5"/>
      <c r="L23" s="23">
        <f t="shared" ref="L23:L54" si="2">+D23-H23</f>
        <v>96058.530000000042</v>
      </c>
      <c r="M23" s="5"/>
      <c r="N23" s="35">
        <f t="shared" ref="N23:N54" si="3">IF(H23=0,0,L23/H23)</f>
        <v>2.3047009565159193</v>
      </c>
      <c r="O23" s="11"/>
      <c r="P23" s="23" cm="1">
        <f t="array" ref="P23">SUM(OSRRefP22x_0)</f>
        <v>1017493.73</v>
      </c>
      <c r="Q23" s="23"/>
      <c r="R23" s="35">
        <f t="shared" ref="R23:R54" si="4">IF(P$12=0,0,P23/P$12)</f>
        <v>0.66554822696500004</v>
      </c>
      <c r="S23" s="23"/>
      <c r="T23" s="23" cm="1">
        <f t="array" ref="T23">SUM(OSRRefT22x_0)</f>
        <v>369263.90999999992</v>
      </c>
      <c r="U23" s="23"/>
      <c r="V23" s="35">
        <f t="shared" ref="V23:V54" si="5">IF(T$12=0,0,T23/T$12)</f>
        <v>0</v>
      </c>
      <c r="W23" s="5"/>
      <c r="X23" s="23">
        <f t="shared" ref="X23:X54" si="6">+P23-T23</f>
        <v>648229.82000000007</v>
      </c>
      <c r="Y23" s="5"/>
      <c r="Z23" s="35">
        <f t="shared" ref="Z23:Z54" si="7">IF(T23=0,0,X23/T23)</f>
        <v>1.755464865223358</v>
      </c>
    </row>
    <row r="24" spans="1:26" s="68" customFormat="1" ht="15" customHeight="1" outlineLevel="1" collapsed="1" x14ac:dyDescent="0.3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26482.829999999998</v>
      </c>
      <c r="E24" s="2"/>
      <c r="F24" s="6">
        <f t="shared" si="0"/>
        <v>0.10245062160146325</v>
      </c>
      <c r="G24" s="2"/>
      <c r="H24" s="2">
        <f>SUM(OSRRefH22_0x_0)</f>
        <v>18454.100000000002</v>
      </c>
      <c r="I24" s="2"/>
      <c r="J24" s="6">
        <f t="shared" si="1"/>
        <v>0</v>
      </c>
      <c r="K24" s="2"/>
      <c r="L24" s="2">
        <f t="shared" si="2"/>
        <v>8028.7299999999959</v>
      </c>
      <c r="M24" s="2"/>
      <c r="N24" s="6">
        <f t="shared" si="3"/>
        <v>0.43506483654038913</v>
      </c>
      <c r="O24" s="14"/>
      <c r="P24" s="2">
        <f>SUM(OSRRefP22_0x_0)</f>
        <v>212096.95999999996</v>
      </c>
      <c r="Q24" s="2"/>
      <c r="R24" s="6">
        <f t="shared" si="4"/>
        <v>0.13873378430810232</v>
      </c>
      <c r="S24" s="2"/>
      <c r="T24" s="2">
        <f>SUM(OSRRefT22_0x_0)</f>
        <v>174063.65</v>
      </c>
      <c r="U24" s="2"/>
      <c r="V24" s="6">
        <f t="shared" si="5"/>
        <v>0</v>
      </c>
      <c r="W24" s="2"/>
      <c r="X24" s="2">
        <f t="shared" si="6"/>
        <v>38033.309999999969</v>
      </c>
      <c r="Y24" s="2"/>
      <c r="Z24" s="6">
        <f t="shared" si="7"/>
        <v>0.21850231222888852</v>
      </c>
    </row>
    <row r="25" spans="1:26" s="69" customFormat="1" ht="15" hidden="1" customHeight="1" outlineLevel="2" x14ac:dyDescent="0.3">
      <c r="A25" s="25"/>
      <c r="B25" s="12" t="str">
        <f>CONCATENATE("          ","6111"," - ","F.I.C.A.")</f>
        <v xml:space="preserve">          6111 - F.I.C.A.</v>
      </c>
      <c r="C25" s="12"/>
      <c r="D25" s="8">
        <v>3612.93</v>
      </c>
      <c r="E25" s="3"/>
      <c r="F25" s="7">
        <f t="shared" si="0"/>
        <v>1.3976864417532969E-2</v>
      </c>
      <c r="G25" s="3"/>
      <c r="H25" s="8">
        <v>1560.31</v>
      </c>
      <c r="I25" s="3"/>
      <c r="J25" s="7">
        <f t="shared" si="1"/>
        <v>0</v>
      </c>
      <c r="K25" s="3"/>
      <c r="L25" s="8">
        <f t="shared" si="2"/>
        <v>2052.62</v>
      </c>
      <c r="M25" s="3"/>
      <c r="N25" s="7">
        <f t="shared" si="3"/>
        <v>1.3155206337202223</v>
      </c>
      <c r="O25" s="12"/>
      <c r="P25" s="8">
        <v>28045.5</v>
      </c>
      <c r="Q25" s="3"/>
      <c r="R25" s="7">
        <f t="shared" si="4"/>
        <v>1.8344715302910916E-2</v>
      </c>
      <c r="S25" s="3"/>
      <c r="T25" s="8">
        <v>14972.8</v>
      </c>
      <c r="U25" s="3"/>
      <c r="V25" s="7">
        <f t="shared" si="5"/>
        <v>0</v>
      </c>
      <c r="W25" s="3"/>
      <c r="X25" s="8">
        <f t="shared" si="6"/>
        <v>13072.7</v>
      </c>
      <c r="Y25" s="3"/>
      <c r="Z25" s="7">
        <f t="shared" si="7"/>
        <v>0.8730965484077795</v>
      </c>
    </row>
    <row r="26" spans="1:26" s="69" customFormat="1" ht="15" hidden="1" customHeight="1" outlineLevel="2" x14ac:dyDescent="0.3">
      <c r="A26" s="25"/>
      <c r="B26" s="12" t="str">
        <f>CONCATENATE("          ","6112"," - ","COMPENSATION INSURANCE")</f>
        <v xml:space="preserve">          6112 - COMPENSATION INSURANCE</v>
      </c>
      <c r="C26" s="12"/>
      <c r="D26" s="8">
        <v>2603.37</v>
      </c>
      <c r="E26" s="3"/>
      <c r="F26" s="7">
        <f t="shared" si="0"/>
        <v>1.0071313177579639E-2</v>
      </c>
      <c r="G26" s="3"/>
      <c r="H26" s="8">
        <v>873.13</v>
      </c>
      <c r="I26" s="3"/>
      <c r="J26" s="7">
        <f t="shared" si="1"/>
        <v>0</v>
      </c>
      <c r="K26" s="3"/>
      <c r="L26" s="8">
        <f t="shared" si="2"/>
        <v>1730.2399999999998</v>
      </c>
      <c r="M26" s="3"/>
      <c r="N26" s="7">
        <f t="shared" si="3"/>
        <v>1.9816522167374844</v>
      </c>
      <c r="O26" s="12"/>
      <c r="P26" s="8">
        <v>18236.27</v>
      </c>
      <c r="Q26" s="3"/>
      <c r="R26" s="7">
        <f t="shared" si="4"/>
        <v>1.1928444183095872E-2</v>
      </c>
      <c r="S26" s="3"/>
      <c r="T26" s="8">
        <v>8332.7000000000007</v>
      </c>
      <c r="U26" s="3"/>
      <c r="V26" s="7">
        <f t="shared" si="5"/>
        <v>0</v>
      </c>
      <c r="W26" s="3"/>
      <c r="X26" s="8">
        <f t="shared" si="6"/>
        <v>9903.57</v>
      </c>
      <c r="Y26" s="3"/>
      <c r="Z26" s="7">
        <f t="shared" si="7"/>
        <v>1.188518727423284</v>
      </c>
    </row>
    <row r="27" spans="1:26" s="69" customFormat="1" ht="15" hidden="1" customHeight="1" outlineLevel="2" x14ac:dyDescent="0.3">
      <c r="A27" s="25"/>
      <c r="B27" s="12" t="str">
        <f>CONCATENATE("          ","6113"," - ","GROUP INSURANCE")</f>
        <v xml:space="preserve">          6113 - GROUP INSURANCE</v>
      </c>
      <c r="C27" s="12"/>
      <c r="D27" s="8">
        <v>12774.24</v>
      </c>
      <c r="E27" s="3"/>
      <c r="F27" s="7">
        <f t="shared" si="0"/>
        <v>4.9418012670333043E-2</v>
      </c>
      <c r="G27" s="3"/>
      <c r="H27" s="8">
        <v>12477.9</v>
      </c>
      <c r="I27" s="3"/>
      <c r="J27" s="7">
        <f t="shared" si="1"/>
        <v>0</v>
      </c>
      <c r="K27" s="3"/>
      <c r="L27" s="8">
        <f t="shared" si="2"/>
        <v>296.34000000000015</v>
      </c>
      <c r="M27" s="3"/>
      <c r="N27" s="7">
        <f t="shared" si="3"/>
        <v>2.3749188565383609E-2</v>
      </c>
      <c r="O27" s="12"/>
      <c r="P27" s="8">
        <v>109800.09</v>
      </c>
      <c r="Q27" s="3"/>
      <c r="R27" s="7">
        <f t="shared" si="4"/>
        <v>7.1820840822377774E-2</v>
      </c>
      <c r="S27" s="3"/>
      <c r="T27" s="8">
        <v>113135.28</v>
      </c>
      <c r="U27" s="3"/>
      <c r="V27" s="7">
        <f t="shared" si="5"/>
        <v>0</v>
      </c>
      <c r="W27" s="3"/>
      <c r="X27" s="8">
        <f t="shared" si="6"/>
        <v>-3335.1900000000023</v>
      </c>
      <c r="Y27" s="3"/>
      <c r="Z27" s="7">
        <f t="shared" si="7"/>
        <v>-2.9479663638080026E-2</v>
      </c>
    </row>
    <row r="28" spans="1:26" s="69" customFormat="1" ht="15" hidden="1" customHeight="1" outlineLevel="2" x14ac:dyDescent="0.3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8">
        <v>188</v>
      </c>
      <c r="E28" s="3"/>
      <c r="F28" s="7">
        <f t="shared" si="0"/>
        <v>7.2729073369708194E-4</v>
      </c>
      <c r="G28" s="3"/>
      <c r="H28" s="8">
        <v>52.92</v>
      </c>
      <c r="I28" s="3"/>
      <c r="J28" s="7">
        <f t="shared" si="1"/>
        <v>0</v>
      </c>
      <c r="K28" s="3"/>
      <c r="L28" s="8">
        <f t="shared" si="2"/>
        <v>135.07999999999998</v>
      </c>
      <c r="M28" s="3"/>
      <c r="N28" s="7">
        <f t="shared" si="3"/>
        <v>2.5525321239606948</v>
      </c>
      <c r="O28" s="12"/>
      <c r="P28" s="8">
        <v>1317.08</v>
      </c>
      <c r="Q28" s="3"/>
      <c r="R28" s="7">
        <f t="shared" si="4"/>
        <v>8.6150924858383374E-4</v>
      </c>
      <c r="S28" s="3"/>
      <c r="T28" s="8">
        <v>513.67999999999995</v>
      </c>
      <c r="U28" s="3"/>
      <c r="V28" s="7">
        <f t="shared" si="5"/>
        <v>0</v>
      </c>
      <c r="W28" s="3"/>
      <c r="X28" s="8">
        <f t="shared" si="6"/>
        <v>803.4</v>
      </c>
      <c r="Y28" s="3"/>
      <c r="Z28" s="7">
        <f t="shared" si="7"/>
        <v>1.5640087213829623</v>
      </c>
    </row>
    <row r="29" spans="1:26" s="69" customFormat="1" ht="15" hidden="1" customHeight="1" outlineLevel="2" x14ac:dyDescent="0.3">
      <c r="A29" s="25"/>
      <c r="B29" s="12" t="str">
        <f>CONCATENATE("          ","6115"," - ","P.E.R.S.")</f>
        <v xml:space="preserve">          6115 - P.E.R.S.</v>
      </c>
      <c r="C29" s="12"/>
      <c r="D29" s="8">
        <v>1247.6300000000001</v>
      </c>
      <c r="E29" s="3"/>
      <c r="F29" s="7">
        <f t="shared" si="0"/>
        <v>4.8265411600132467E-3</v>
      </c>
      <c r="G29" s="3"/>
      <c r="H29" s="8">
        <v>494.19</v>
      </c>
      <c r="I29" s="3"/>
      <c r="J29" s="7">
        <f t="shared" si="1"/>
        <v>0</v>
      </c>
      <c r="K29" s="3"/>
      <c r="L29" s="8">
        <f t="shared" si="2"/>
        <v>753.44</v>
      </c>
      <c r="M29" s="3"/>
      <c r="N29" s="7">
        <f t="shared" si="3"/>
        <v>1.5245958032335742</v>
      </c>
      <c r="O29" s="12"/>
      <c r="P29" s="8">
        <v>7135.22</v>
      </c>
      <c r="Q29" s="3"/>
      <c r="R29" s="7">
        <f t="shared" si="4"/>
        <v>4.6671865191790498E-3</v>
      </c>
      <c r="S29" s="3"/>
      <c r="T29" s="8">
        <v>4996.28</v>
      </c>
      <c r="U29" s="3"/>
      <c r="V29" s="7">
        <f t="shared" si="5"/>
        <v>0</v>
      </c>
      <c r="W29" s="3"/>
      <c r="X29" s="8">
        <f t="shared" si="6"/>
        <v>2138.9400000000005</v>
      </c>
      <c r="Y29" s="3"/>
      <c r="Z29" s="7">
        <f t="shared" si="7"/>
        <v>0.42810651124436594</v>
      </c>
    </row>
    <row r="30" spans="1:26" s="69" customFormat="1" ht="15" hidden="1" customHeight="1" outlineLevel="2" x14ac:dyDescent="0.3">
      <c r="A30" s="25"/>
      <c r="B30" s="12" t="str">
        <f>CONCATENATE("          ","6117"," - ","RETIREMENT STAFF HOURLY")</f>
        <v xml:space="preserve">          6117 - RETIREMENT STAFF HOURLY</v>
      </c>
      <c r="C30" s="12"/>
      <c r="D30" s="8">
        <v>498.67</v>
      </c>
      <c r="E30" s="3"/>
      <c r="F30" s="7">
        <f t="shared" si="0"/>
        <v>1.9291386711315099E-3</v>
      </c>
      <c r="G30" s="3"/>
      <c r="H30" s="8">
        <v>797.15</v>
      </c>
      <c r="I30" s="3"/>
      <c r="J30" s="7">
        <f t="shared" si="1"/>
        <v>0</v>
      </c>
      <c r="K30" s="3"/>
      <c r="L30" s="8">
        <f t="shared" si="2"/>
        <v>-298.47999999999996</v>
      </c>
      <c r="M30" s="3"/>
      <c r="N30" s="7">
        <f t="shared" si="3"/>
        <v>-0.37443392084300314</v>
      </c>
      <c r="O30" s="12"/>
      <c r="P30" s="8">
        <v>6053.37</v>
      </c>
      <c r="Q30" s="3"/>
      <c r="R30" s="7">
        <f t="shared" si="4"/>
        <v>3.9595425031888126E-3</v>
      </c>
      <c r="S30" s="3"/>
      <c r="T30" s="8">
        <v>5382.21</v>
      </c>
      <c r="U30" s="3"/>
      <c r="V30" s="7">
        <f t="shared" si="5"/>
        <v>0</v>
      </c>
      <c r="W30" s="3"/>
      <c r="X30" s="8">
        <f t="shared" si="6"/>
        <v>671.15999999999985</v>
      </c>
      <c r="Y30" s="3"/>
      <c r="Z30" s="7">
        <f t="shared" si="7"/>
        <v>0.12469970513971024</v>
      </c>
    </row>
    <row r="31" spans="1:26" s="69" customFormat="1" ht="15" hidden="1" customHeight="1" outlineLevel="2" x14ac:dyDescent="0.3">
      <c r="A31" s="25"/>
      <c r="B31" s="12" t="str">
        <f>CONCATENATE("          ","6118"," - ","VACATION")</f>
        <v xml:space="preserve">          6118 - VACATION</v>
      </c>
      <c r="C31" s="12"/>
      <c r="D31" s="8">
        <v>2264.0500000000002</v>
      </c>
      <c r="E31" s="3"/>
      <c r="F31" s="7">
        <f t="shared" si="0"/>
        <v>8.7586307746110557E-3</v>
      </c>
      <c r="G31" s="3"/>
      <c r="H31" s="8">
        <v>1248.1600000000001</v>
      </c>
      <c r="I31" s="3"/>
      <c r="J31" s="7">
        <f t="shared" si="1"/>
        <v>0</v>
      </c>
      <c r="K31" s="3"/>
      <c r="L31" s="8">
        <f t="shared" si="2"/>
        <v>1015.8900000000001</v>
      </c>
      <c r="M31" s="3"/>
      <c r="N31" s="7">
        <f t="shared" si="3"/>
        <v>0.81391007563132933</v>
      </c>
      <c r="O31" s="12"/>
      <c r="P31" s="8">
        <v>16937.169999999998</v>
      </c>
      <c r="Q31" s="3"/>
      <c r="R31" s="7">
        <f t="shared" si="4"/>
        <v>1.1078695751083192E-2</v>
      </c>
      <c r="S31" s="3"/>
      <c r="T31" s="8">
        <v>11754.53</v>
      </c>
      <c r="U31" s="3"/>
      <c r="V31" s="7">
        <f t="shared" si="5"/>
        <v>0</v>
      </c>
      <c r="W31" s="3"/>
      <c r="X31" s="8">
        <f t="shared" si="6"/>
        <v>5182.6399999999976</v>
      </c>
      <c r="Y31" s="3"/>
      <c r="Z31" s="7">
        <f t="shared" si="7"/>
        <v>0.44090576143835586</v>
      </c>
    </row>
    <row r="32" spans="1:26" s="69" customFormat="1" ht="15" hidden="1" customHeight="1" outlineLevel="2" x14ac:dyDescent="0.3">
      <c r="A32" s="25"/>
      <c r="B32" s="12" t="str">
        <f>CONCATENATE("          ","6119"," - ","SICK LEAVE")</f>
        <v xml:space="preserve">          6119 - SICK LEAVE</v>
      </c>
      <c r="C32" s="12"/>
      <c r="D32" s="8">
        <v>1723.21</v>
      </c>
      <c r="E32" s="3"/>
      <c r="F32" s="7">
        <f t="shared" si="0"/>
        <v>6.6663546022029179E-3</v>
      </c>
      <c r="G32" s="3"/>
      <c r="H32" s="8">
        <v>950.34</v>
      </c>
      <c r="I32" s="3"/>
      <c r="J32" s="7">
        <f t="shared" si="1"/>
        <v>0</v>
      </c>
      <c r="K32" s="3"/>
      <c r="L32" s="8">
        <f t="shared" si="2"/>
        <v>772.87</v>
      </c>
      <c r="M32" s="3"/>
      <c r="N32" s="7">
        <f t="shared" si="3"/>
        <v>0.81325630826861961</v>
      </c>
      <c r="O32" s="12"/>
      <c r="P32" s="8">
        <v>14374.48</v>
      </c>
      <c r="Q32" s="3"/>
      <c r="R32" s="7">
        <f t="shared" si="4"/>
        <v>9.4024261727331266E-3</v>
      </c>
      <c r="S32" s="3"/>
      <c r="T32" s="8">
        <v>9003.39</v>
      </c>
      <c r="U32" s="3"/>
      <c r="V32" s="7">
        <f t="shared" si="5"/>
        <v>0</v>
      </c>
      <c r="W32" s="3"/>
      <c r="X32" s="8">
        <f t="shared" si="6"/>
        <v>5371.09</v>
      </c>
      <c r="Y32" s="3"/>
      <c r="Z32" s="7">
        <f t="shared" si="7"/>
        <v>0.59656307235385786</v>
      </c>
    </row>
    <row r="33" spans="1:26" s="69" customFormat="1" ht="15" hidden="1" customHeight="1" outlineLevel="2" x14ac:dyDescent="0.3">
      <c r="A33" s="25"/>
      <c r="B33" s="12" t="str">
        <f>CONCATENATE("          ","6156"," - ","EMPLOYEE MEALS")</f>
        <v xml:space="preserve">          6156 - EMPLOYEE MEALS</v>
      </c>
      <c r="C33" s="12"/>
      <c r="D33" s="8">
        <v>1570.73</v>
      </c>
      <c r="E33" s="3"/>
      <c r="F33" s="7">
        <f t="shared" si="0"/>
        <v>6.0764753943617954E-3</v>
      </c>
      <c r="G33" s="3"/>
      <c r="H33" s="8"/>
      <c r="I33" s="3"/>
      <c r="J33" s="7">
        <f t="shared" si="1"/>
        <v>0</v>
      </c>
      <c r="K33" s="3"/>
      <c r="L33" s="8">
        <f t="shared" si="2"/>
        <v>1570.73</v>
      </c>
      <c r="M33" s="3"/>
      <c r="N33" s="7">
        <f t="shared" si="3"/>
        <v>0</v>
      </c>
      <c r="O33" s="12"/>
      <c r="P33" s="8">
        <v>10197.780000000001</v>
      </c>
      <c r="Q33" s="3"/>
      <c r="R33" s="7">
        <f t="shared" si="4"/>
        <v>6.6704238049497743E-3</v>
      </c>
      <c r="S33" s="3"/>
      <c r="T33" s="8">
        <v>5972.78</v>
      </c>
      <c r="U33" s="3"/>
      <c r="V33" s="7">
        <f t="shared" si="5"/>
        <v>0</v>
      </c>
      <c r="W33" s="3"/>
      <c r="X33" s="8">
        <f t="shared" si="6"/>
        <v>4225.0000000000009</v>
      </c>
      <c r="Y33" s="3"/>
      <c r="Z33" s="7">
        <f t="shared" si="7"/>
        <v>0.70737579485599689</v>
      </c>
    </row>
    <row r="34" spans="1:26" s="68" customFormat="1" ht="15" customHeight="1" outlineLevel="1" collapsed="1" x14ac:dyDescent="0.3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76079.680000000008</v>
      </c>
      <c r="E34" s="2"/>
      <c r="F34" s="6">
        <f t="shared" si="0"/>
        <v>0.29431939514169797</v>
      </c>
      <c r="G34" s="2"/>
      <c r="H34" s="2">
        <f>SUM(OSRRefH22_1x_0)</f>
        <v>21118.91</v>
      </c>
      <c r="I34" s="2"/>
      <c r="J34" s="6">
        <f t="shared" si="1"/>
        <v>0</v>
      </c>
      <c r="K34" s="2"/>
      <c r="L34" s="2">
        <f t="shared" si="2"/>
        <v>54960.770000000004</v>
      </c>
      <c r="M34" s="2"/>
      <c r="N34" s="6">
        <f t="shared" si="3"/>
        <v>2.6024434973206478</v>
      </c>
      <c r="O34" s="14"/>
      <c r="P34" s="2">
        <f>SUM(OSRRefP22_1x_0)</f>
        <v>550208.17999999993</v>
      </c>
      <c r="Q34" s="2"/>
      <c r="R34" s="6">
        <f t="shared" si="4"/>
        <v>0.35989418692598679</v>
      </c>
      <c r="S34" s="2"/>
      <c r="T34" s="2">
        <f>SUM(OSRRefT22_1x_0)</f>
        <v>184384.28999999998</v>
      </c>
      <c r="U34" s="2"/>
      <c r="V34" s="6">
        <f t="shared" si="5"/>
        <v>0</v>
      </c>
      <c r="W34" s="2"/>
      <c r="X34" s="2">
        <f t="shared" si="6"/>
        <v>365823.88999999996</v>
      </c>
      <c r="Y34" s="2"/>
      <c r="Z34" s="6">
        <f t="shared" si="7"/>
        <v>1.9840296046913759</v>
      </c>
    </row>
    <row r="35" spans="1:26" s="69" customFormat="1" ht="15" hidden="1" customHeight="1" outlineLevel="2" x14ac:dyDescent="0.3">
      <c r="A35" s="25"/>
      <c r="B35" s="12" t="str">
        <f>CONCATENATE("          ","6002"," - ","STAFF SALARIES")</f>
        <v xml:space="preserve">          6002 - STAFF SALARIES</v>
      </c>
      <c r="C35" s="12"/>
      <c r="D35" s="8">
        <v>17273.900000000001</v>
      </c>
      <c r="E35" s="3"/>
      <c r="F35" s="7">
        <f t="shared" si="0"/>
        <v>6.6825252153244807E-2</v>
      </c>
      <c r="G35" s="3"/>
      <c r="H35" s="8">
        <v>4555</v>
      </c>
      <c r="I35" s="3"/>
      <c r="J35" s="7">
        <f t="shared" si="1"/>
        <v>0</v>
      </c>
      <c r="K35" s="3"/>
      <c r="L35" s="8">
        <f t="shared" si="2"/>
        <v>12718.900000000001</v>
      </c>
      <c r="M35" s="3"/>
      <c r="N35" s="7">
        <f t="shared" si="3"/>
        <v>2.7922941822173439</v>
      </c>
      <c r="O35" s="12"/>
      <c r="P35" s="8">
        <v>80708.92</v>
      </c>
      <c r="Q35" s="3"/>
      <c r="R35" s="7">
        <f t="shared" si="4"/>
        <v>5.279214703982503E-2</v>
      </c>
      <c r="S35" s="3"/>
      <c r="T35" s="8">
        <v>39032.99</v>
      </c>
      <c r="U35" s="3"/>
      <c r="V35" s="7">
        <f t="shared" si="5"/>
        <v>0</v>
      </c>
      <c r="W35" s="3"/>
      <c r="X35" s="8">
        <f t="shared" si="6"/>
        <v>41675.93</v>
      </c>
      <c r="Y35" s="3"/>
      <c r="Z35" s="7">
        <f t="shared" si="7"/>
        <v>1.0677104162402111</v>
      </c>
    </row>
    <row r="36" spans="1:26" s="69" customFormat="1" ht="15" hidden="1" customHeight="1" outlineLevel="2" x14ac:dyDescent="0.3">
      <c r="A36" s="25"/>
      <c r="B36" s="12" t="str">
        <f>CONCATENATE("          ","6004"," - ","STAFF HOURLY")</f>
        <v xml:space="preserve">          6004 - STAFF HOURLY</v>
      </c>
      <c r="C36" s="12"/>
      <c r="D36" s="8">
        <v>19321.88</v>
      </c>
      <c r="E36" s="3"/>
      <c r="F36" s="7">
        <f t="shared" si="0"/>
        <v>7.474800149790943E-2</v>
      </c>
      <c r="G36" s="3"/>
      <c r="H36" s="8">
        <v>15569.91</v>
      </c>
      <c r="I36" s="3"/>
      <c r="J36" s="7">
        <f t="shared" si="1"/>
        <v>0</v>
      </c>
      <c r="K36" s="3"/>
      <c r="L36" s="8">
        <f t="shared" si="2"/>
        <v>3751.9700000000012</v>
      </c>
      <c r="M36" s="3"/>
      <c r="N36" s="7">
        <f t="shared" si="3"/>
        <v>0.24097570249282116</v>
      </c>
      <c r="O36" s="12"/>
      <c r="P36" s="8">
        <v>216896.2</v>
      </c>
      <c r="Q36" s="3"/>
      <c r="R36" s="7">
        <f t="shared" si="4"/>
        <v>0.14187299350281601</v>
      </c>
      <c r="S36" s="3"/>
      <c r="T36" s="8">
        <v>141741.29999999999</v>
      </c>
      <c r="U36" s="3"/>
      <c r="V36" s="7">
        <f t="shared" si="5"/>
        <v>0</v>
      </c>
      <c r="W36" s="3"/>
      <c r="X36" s="8">
        <f t="shared" si="6"/>
        <v>75154.900000000023</v>
      </c>
      <c r="Y36" s="3"/>
      <c r="Z36" s="7">
        <f t="shared" si="7"/>
        <v>0.53022584102163606</v>
      </c>
    </row>
    <row r="37" spans="1:26" s="69" customFormat="1" ht="15" hidden="1" customHeight="1" outlineLevel="2" x14ac:dyDescent="0.3">
      <c r="A37" s="25"/>
      <c r="B37" s="12" t="str">
        <f>CONCATENATE("          ","6005"," - ","TEMPORARY WAGES-HOURLY")</f>
        <v xml:space="preserve">          6005 - TEMPORARY WAGES-HOURLY</v>
      </c>
      <c r="C37" s="12"/>
      <c r="D37" s="8">
        <v>6150.69</v>
      </c>
      <c r="E37" s="3"/>
      <c r="F37" s="7">
        <f t="shared" si="0"/>
        <v>2.3794360866187789E-2</v>
      </c>
      <c r="G37" s="3"/>
      <c r="H37" s="8"/>
      <c r="I37" s="3"/>
      <c r="J37" s="7">
        <f t="shared" si="1"/>
        <v>0</v>
      </c>
      <c r="K37" s="3"/>
      <c r="L37" s="8">
        <f t="shared" si="2"/>
        <v>6150.69</v>
      </c>
      <c r="M37" s="3"/>
      <c r="N37" s="7">
        <f t="shared" si="3"/>
        <v>0</v>
      </c>
      <c r="O37" s="12"/>
      <c r="P37" s="8">
        <v>87495.31</v>
      </c>
      <c r="Q37" s="3"/>
      <c r="R37" s="7">
        <f t="shared" si="4"/>
        <v>5.7231161943624986E-2</v>
      </c>
      <c r="S37" s="3"/>
      <c r="T37" s="8"/>
      <c r="U37" s="3"/>
      <c r="V37" s="7">
        <f t="shared" si="5"/>
        <v>0</v>
      </c>
      <c r="W37" s="3"/>
      <c r="X37" s="8">
        <f t="shared" si="6"/>
        <v>87495.31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5"/>
      <c r="B38" s="12" t="str">
        <f>CONCATENATE("          ","6007"," - ","STUDENT HOURLY")</f>
        <v xml:space="preserve">          6007 - STUDENT HOURLY</v>
      </c>
      <c r="C38" s="12"/>
      <c r="D38" s="8">
        <v>28825.11</v>
      </c>
      <c r="E38" s="3"/>
      <c r="F38" s="7">
        <f t="shared" si="0"/>
        <v>0.11151189042978241</v>
      </c>
      <c r="G38" s="3"/>
      <c r="H38" s="8">
        <v>994</v>
      </c>
      <c r="I38" s="3"/>
      <c r="J38" s="7">
        <f t="shared" si="1"/>
        <v>0</v>
      </c>
      <c r="K38" s="3"/>
      <c r="L38" s="8">
        <f t="shared" si="2"/>
        <v>27831.11</v>
      </c>
      <c r="M38" s="3"/>
      <c r="N38" s="7">
        <f t="shared" si="3"/>
        <v>27.999104627766599</v>
      </c>
      <c r="O38" s="12"/>
      <c r="P38" s="8">
        <v>130596.5</v>
      </c>
      <c r="Q38" s="3"/>
      <c r="R38" s="7">
        <f t="shared" si="4"/>
        <v>8.542388661484393E-2</v>
      </c>
      <c r="S38" s="3"/>
      <c r="T38" s="8">
        <v>3610</v>
      </c>
      <c r="U38" s="3"/>
      <c r="V38" s="7">
        <f t="shared" si="5"/>
        <v>0</v>
      </c>
      <c r="W38" s="3"/>
      <c r="X38" s="8">
        <f t="shared" si="6"/>
        <v>126986.5</v>
      </c>
      <c r="Y38" s="3"/>
      <c r="Z38" s="7">
        <f t="shared" si="7"/>
        <v>35.176315789473684</v>
      </c>
    </row>
    <row r="39" spans="1:26" s="69" customFormat="1" ht="15" hidden="1" customHeight="1" outlineLevel="2" x14ac:dyDescent="0.3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8">
        <v>4508.1000000000004</v>
      </c>
      <c r="E39" s="3"/>
      <c r="F39" s="7">
        <f t="shared" si="0"/>
        <v>1.7439890194573485E-2</v>
      </c>
      <c r="G39" s="3"/>
      <c r="H39" s="8"/>
      <c r="I39" s="3"/>
      <c r="J39" s="7">
        <f t="shared" si="1"/>
        <v>0</v>
      </c>
      <c r="K39" s="3"/>
      <c r="L39" s="8">
        <f t="shared" si="2"/>
        <v>4508.1000000000004</v>
      </c>
      <c r="M39" s="3"/>
      <c r="N39" s="7">
        <f t="shared" si="3"/>
        <v>0</v>
      </c>
      <c r="O39" s="12"/>
      <c r="P39" s="8">
        <v>34511.25</v>
      </c>
      <c r="Q39" s="3"/>
      <c r="R39" s="7">
        <f t="shared" si="4"/>
        <v>2.2573997824876874E-2</v>
      </c>
      <c r="S39" s="3"/>
      <c r="T39" s="8"/>
      <c r="U39" s="3"/>
      <c r="V39" s="7">
        <f t="shared" si="5"/>
        <v>0</v>
      </c>
      <c r="W39" s="3"/>
      <c r="X39" s="8">
        <f t="shared" si="6"/>
        <v>34511.25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6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4.41</v>
      </c>
      <c r="E40" s="2"/>
      <c r="F40" s="6">
        <f t="shared" si="0"/>
        <v>1.7060383700021977E-5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4.41</v>
      </c>
      <c r="M40" s="2"/>
      <c r="N40" s="6">
        <f t="shared" si="3"/>
        <v>0</v>
      </c>
      <c r="O40" s="14"/>
      <c r="P40" s="2">
        <f>SUM(OSRRefP22_2x_0)</f>
        <v>1058.1600000000001</v>
      </c>
      <c r="Q40" s="2"/>
      <c r="R40" s="6">
        <f t="shared" si="4"/>
        <v>6.921482571153382E-4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1058.1600000000001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5"/>
      <c r="B41" s="12" t="str">
        <f>CONCATENATE("          ","6362"," - ","ADVERTISING EXPENSE")</f>
        <v xml:space="preserve">          6362 - ADVERTISING EXPENSE</v>
      </c>
      <c r="C41" s="12"/>
      <c r="D41" s="8">
        <v>4.41</v>
      </c>
      <c r="E41" s="3"/>
      <c r="F41" s="7">
        <f t="shared" si="0"/>
        <v>1.7060383700021977E-5</v>
      </c>
      <c r="G41" s="3"/>
      <c r="H41" s="8"/>
      <c r="I41" s="3"/>
      <c r="J41" s="7">
        <f t="shared" si="1"/>
        <v>0</v>
      </c>
      <c r="K41" s="3"/>
      <c r="L41" s="8">
        <f t="shared" si="2"/>
        <v>4.41</v>
      </c>
      <c r="M41" s="3"/>
      <c r="N41" s="7">
        <f t="shared" si="3"/>
        <v>0</v>
      </c>
      <c r="O41" s="12"/>
      <c r="P41" s="8">
        <v>1058.1600000000001</v>
      </c>
      <c r="Q41" s="3"/>
      <c r="R41" s="7">
        <f t="shared" si="4"/>
        <v>6.921482571153382E-4</v>
      </c>
      <c r="S41" s="3"/>
      <c r="T41" s="8"/>
      <c r="U41" s="3"/>
      <c r="V41" s="7">
        <f t="shared" si="5"/>
        <v>0</v>
      </c>
      <c r="W41" s="3"/>
      <c r="X41" s="8">
        <f t="shared" si="6"/>
        <v>1058.1600000000001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6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</v>
      </c>
      <c r="Q42" s="2"/>
      <c r="R42" s="6">
        <f t="shared" si="4"/>
        <v>5.2328438581336514E-6</v>
      </c>
      <c r="S42" s="2"/>
      <c r="T42" s="2">
        <f>SUM(OSRRefT22_3x_0)</f>
        <v>29.74</v>
      </c>
      <c r="U42" s="2"/>
      <c r="V42" s="6">
        <f t="shared" si="5"/>
        <v>0</v>
      </c>
      <c r="W42" s="2"/>
      <c r="X42" s="2">
        <f t="shared" si="6"/>
        <v>-21.74</v>
      </c>
      <c r="Y42" s="2"/>
      <c r="Z42" s="6">
        <f t="shared" si="7"/>
        <v>-0.73100201748486882</v>
      </c>
    </row>
    <row r="43" spans="1:26" s="69" customFormat="1" ht="15" hidden="1" customHeight="1" outlineLevel="2" x14ac:dyDescent="0.3">
      <c r="A43" s="25"/>
      <c r="B43" s="12" t="str">
        <f>CONCATENATE("          ","6272"," - ","CASH (OVER/SHORT)")</f>
        <v xml:space="preserve">          6272 - CASH (OVER/SHORT)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8</v>
      </c>
      <c r="Q43" s="3"/>
      <c r="R43" s="7">
        <f t="shared" si="4"/>
        <v>5.2328438581336514E-6</v>
      </c>
      <c r="S43" s="3"/>
      <c r="T43" s="8">
        <v>29.74</v>
      </c>
      <c r="U43" s="3"/>
      <c r="V43" s="7">
        <f t="shared" si="5"/>
        <v>0</v>
      </c>
      <c r="W43" s="3"/>
      <c r="X43" s="8">
        <f t="shared" si="6"/>
        <v>-21.74</v>
      </c>
      <c r="Y43" s="3"/>
      <c r="Z43" s="7">
        <f t="shared" si="7"/>
        <v>-0.73100201748486882</v>
      </c>
    </row>
    <row r="44" spans="1:26" s="68" customFormat="1" ht="15" customHeight="1" outlineLevel="1" collapsed="1" x14ac:dyDescent="0.3">
      <c r="A44" s="26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65.349999999999994</v>
      </c>
      <c r="E44" s="2"/>
      <c r="F44" s="6">
        <f t="shared" si="0"/>
        <v>2.5281090131438458E-4</v>
      </c>
      <c r="G44" s="2"/>
      <c r="H44" s="2">
        <f>SUM(OSRRefH22_4x_0)</f>
        <v>0</v>
      </c>
      <c r="I44" s="2"/>
      <c r="J44" s="6">
        <f t="shared" si="1"/>
        <v>0</v>
      </c>
      <c r="K44" s="2"/>
      <c r="L44" s="2">
        <f t="shared" si="2"/>
        <v>65.349999999999994</v>
      </c>
      <c r="M44" s="2"/>
      <c r="N44" s="6">
        <f t="shared" si="3"/>
        <v>0</v>
      </c>
      <c r="O44" s="14"/>
      <c r="P44" s="2">
        <f>SUM(OSRRefP22_4x_0)</f>
        <v>413.34</v>
      </c>
      <c r="Q44" s="2"/>
      <c r="R44" s="6">
        <f t="shared" si="4"/>
        <v>2.7036796004012041E-4</v>
      </c>
      <c r="S44" s="2"/>
      <c r="T44" s="2">
        <f>SUM(OSRRefT22_4x_0)</f>
        <v>0</v>
      </c>
      <c r="U44" s="2"/>
      <c r="V44" s="6">
        <f t="shared" si="5"/>
        <v>0</v>
      </c>
      <c r="W44" s="2"/>
      <c r="X44" s="2">
        <f t="shared" si="6"/>
        <v>413.34</v>
      </c>
      <c r="Y44" s="2"/>
      <c r="Z44" s="6">
        <f t="shared" si="7"/>
        <v>0</v>
      </c>
    </row>
    <row r="45" spans="1:26" s="69" customFormat="1" ht="15" hidden="1" customHeight="1" outlineLevel="2" x14ac:dyDescent="0.3">
      <c r="A45" s="25"/>
      <c r="B45" s="12" t="str">
        <f>CONCATENATE("          ","6381"," - ","BANK/CREDIT CARD FEES")</f>
        <v xml:space="preserve">          6381 - BANK/CREDIT CARD FEES</v>
      </c>
      <c r="C45" s="12"/>
      <c r="D45" s="8">
        <v>65.349999999999994</v>
      </c>
      <c r="E45" s="3"/>
      <c r="F45" s="7">
        <f t="shared" si="0"/>
        <v>2.5281090131438458E-4</v>
      </c>
      <c r="G45" s="3"/>
      <c r="H45" s="8"/>
      <c r="I45" s="3"/>
      <c r="J45" s="7">
        <f t="shared" si="1"/>
        <v>0</v>
      </c>
      <c r="K45" s="3"/>
      <c r="L45" s="8">
        <f t="shared" si="2"/>
        <v>65.349999999999994</v>
      </c>
      <c r="M45" s="3"/>
      <c r="N45" s="7">
        <f t="shared" si="3"/>
        <v>0</v>
      </c>
      <c r="O45" s="12"/>
      <c r="P45" s="8">
        <v>413.34</v>
      </c>
      <c r="Q45" s="3"/>
      <c r="R45" s="7">
        <f t="shared" si="4"/>
        <v>2.7036796004012041E-4</v>
      </c>
      <c r="S45" s="3"/>
      <c r="T45" s="8"/>
      <c r="U45" s="3"/>
      <c r="V45" s="7">
        <f t="shared" si="5"/>
        <v>0</v>
      </c>
      <c r="W45" s="3"/>
      <c r="X45" s="8">
        <f t="shared" si="6"/>
        <v>413.34</v>
      </c>
      <c r="Y45" s="3"/>
      <c r="Z45" s="7">
        <f t="shared" si="7"/>
        <v>0</v>
      </c>
    </row>
    <row r="46" spans="1:26" s="68" customFormat="1" ht="15" customHeight="1" outlineLevel="1" collapsed="1" x14ac:dyDescent="0.3">
      <c r="A46" s="26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213.02</v>
      </c>
      <c r="E46" s="2"/>
      <c r="F46" s="6">
        <f t="shared" si="0"/>
        <v>8.2408229836251272E-4</v>
      </c>
      <c r="G46" s="2"/>
      <c r="H46" s="2">
        <f>SUM(OSRRefH22_5x_0)</f>
        <v>213.02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1917.18</v>
      </c>
      <c r="Q46" s="2"/>
      <c r="R46" s="6">
        <f t="shared" si="4"/>
        <v>1.2540379484920843E-3</v>
      </c>
      <c r="S46" s="2"/>
      <c r="T46" s="2">
        <f>SUM(OSRRefT22_5x_0)</f>
        <v>1917.18</v>
      </c>
      <c r="U46" s="2"/>
      <c r="V46" s="6">
        <f t="shared" si="5"/>
        <v>0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5"/>
      <c r="B47" s="12" t="str">
        <f>CONCATENATE("          ","6322"," - ","EQUIPMENT DEPRECIATION EXPENSE")</f>
        <v xml:space="preserve">          6322 - EQUIPMENT DEPRECIATION EXPENSE</v>
      </c>
      <c r="C47" s="12"/>
      <c r="D47" s="8">
        <v>213.02</v>
      </c>
      <c r="E47" s="3"/>
      <c r="F47" s="7">
        <f t="shared" si="0"/>
        <v>8.2408229836251272E-4</v>
      </c>
      <c r="G47" s="3"/>
      <c r="H47" s="8">
        <v>213.02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1917.18</v>
      </c>
      <c r="Q47" s="3"/>
      <c r="R47" s="7">
        <f t="shared" si="4"/>
        <v>1.2540379484920843E-3</v>
      </c>
      <c r="S47" s="3"/>
      <c r="T47" s="8">
        <v>1917.18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6"/>
      <c r="B48" s="14" t="str">
        <f>CONCATENATE("     ","Donations                                         ")</f>
        <v xml:space="preserve">     Donations                                         </v>
      </c>
      <c r="C48" s="14"/>
      <c r="D48" s="2">
        <f>SUM(OSRRefD22_6x_0)</f>
        <v>1437.97</v>
      </c>
      <c r="E48" s="2"/>
      <c r="F48" s="6">
        <f t="shared" si="0"/>
        <v>5.5628843422042178E-3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1437.97</v>
      </c>
      <c r="M48" s="2"/>
      <c r="N48" s="6">
        <f t="shared" si="3"/>
        <v>0</v>
      </c>
      <c r="O48" s="14"/>
      <c r="P48" s="2">
        <f>SUM(OSRRefP22_6x_0)</f>
        <v>9603.57</v>
      </c>
      <c r="Q48" s="2"/>
      <c r="R48" s="6">
        <f t="shared" si="4"/>
        <v>6.281747786332074E-3</v>
      </c>
      <c r="S48" s="2"/>
      <c r="T48" s="2">
        <f>SUM(OSRRefT22_6x_0)</f>
        <v>0</v>
      </c>
      <c r="U48" s="2"/>
      <c r="V48" s="6">
        <f t="shared" si="5"/>
        <v>0</v>
      </c>
      <c r="W48" s="2"/>
      <c r="X48" s="2">
        <f t="shared" si="6"/>
        <v>9603.57</v>
      </c>
      <c r="Y48" s="2"/>
      <c r="Z48" s="6">
        <f t="shared" si="7"/>
        <v>0</v>
      </c>
    </row>
    <row r="49" spans="1:26" s="69" customFormat="1" ht="15" hidden="1" customHeight="1" outlineLevel="2" x14ac:dyDescent="0.3">
      <c r="A49" s="25"/>
      <c r="B49" s="12" t="str">
        <f>CONCATENATE("          ","6399"," - ","DONATION-ON CAMPUS")</f>
        <v xml:space="preserve">          6399 - DONATION-ON CAMPUS</v>
      </c>
      <c r="C49" s="12"/>
      <c r="D49" s="8">
        <v>1437.97</v>
      </c>
      <c r="E49" s="3"/>
      <c r="F49" s="7">
        <f t="shared" si="0"/>
        <v>5.5628843422042178E-3</v>
      </c>
      <c r="G49" s="3"/>
      <c r="H49" s="8"/>
      <c r="I49" s="3"/>
      <c r="J49" s="7">
        <f t="shared" si="1"/>
        <v>0</v>
      </c>
      <c r="K49" s="3"/>
      <c r="L49" s="8">
        <f t="shared" si="2"/>
        <v>1437.97</v>
      </c>
      <c r="M49" s="3"/>
      <c r="N49" s="7">
        <f t="shared" si="3"/>
        <v>0</v>
      </c>
      <c r="O49" s="12"/>
      <c r="P49" s="8">
        <v>9603.57</v>
      </c>
      <c r="Q49" s="3"/>
      <c r="R49" s="7">
        <f t="shared" si="4"/>
        <v>6.281747786332074E-3</v>
      </c>
      <c r="S49" s="3"/>
      <c r="T49" s="8"/>
      <c r="U49" s="3"/>
      <c r="V49" s="7">
        <f t="shared" si="5"/>
        <v>0</v>
      </c>
      <c r="W49" s="3"/>
      <c r="X49" s="8">
        <f t="shared" si="6"/>
        <v>9603.57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6"/>
      <c r="B50" s="14" t="str">
        <f>CONCATENATE("     ","Employees' Appreciation                           ")</f>
        <v xml:space="preserve">     Employees' Appreciation                           </v>
      </c>
      <c r="C50" s="14"/>
      <c r="D50" s="2">
        <f>SUM(OSRRefD22_7x_0)</f>
        <v>0</v>
      </c>
      <c r="E50" s="2"/>
      <c r="F50" s="6">
        <f t="shared" si="0"/>
        <v>0</v>
      </c>
      <c r="G50" s="2"/>
      <c r="H50" s="2">
        <f>SUM(OSRRefH22_7x_0)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SUM(OSRRefP22_7x_0)</f>
        <v>90.47</v>
      </c>
      <c r="Q50" s="2"/>
      <c r="R50" s="6">
        <f t="shared" si="4"/>
        <v>5.9176922980668935E-5</v>
      </c>
      <c r="S50" s="2"/>
      <c r="T50" s="2">
        <f>SUM(OSRRefT22_7x_0)</f>
        <v>0</v>
      </c>
      <c r="U50" s="2"/>
      <c r="V50" s="6">
        <f t="shared" si="5"/>
        <v>0</v>
      </c>
      <c r="W50" s="2"/>
      <c r="X50" s="2">
        <f t="shared" si="6"/>
        <v>90.47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","6277"," - ","EMPLOYEE APPRECIATION")</f>
        <v xml:space="preserve">          6277 - EMPLOYEE APPRECIATION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90.47</v>
      </c>
      <c r="Q51" s="3"/>
      <c r="R51" s="7">
        <f t="shared" si="4"/>
        <v>5.9176922980668935E-5</v>
      </c>
      <c r="S51" s="3"/>
      <c r="T51" s="8"/>
      <c r="U51" s="3"/>
      <c r="V51" s="7">
        <f t="shared" si="5"/>
        <v>0</v>
      </c>
      <c r="W51" s="3"/>
      <c r="X51" s="8">
        <f t="shared" si="6"/>
        <v>90.47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6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SUM(OSRRefD22_8x_0)</f>
        <v>0</v>
      </c>
      <c r="E52" s="2"/>
      <c r="F52" s="6">
        <f t="shared" si="0"/>
        <v>0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SUM(OSRRefP22_8x_0)</f>
        <v>0</v>
      </c>
      <c r="Q52" s="2"/>
      <c r="R52" s="6">
        <f t="shared" si="4"/>
        <v>0</v>
      </c>
      <c r="S52" s="2"/>
      <c r="T52" s="2">
        <f>SUM(OSRRefT22_8x_0)</f>
        <v>20</v>
      </c>
      <c r="U52" s="2"/>
      <c r="V52" s="6">
        <f t="shared" si="5"/>
        <v>0</v>
      </c>
      <c r="W52" s="2"/>
      <c r="X52" s="2">
        <f t="shared" si="6"/>
        <v>-20</v>
      </c>
      <c r="Y52" s="2"/>
      <c r="Z52" s="6">
        <f t="shared" si="7"/>
        <v>-1</v>
      </c>
    </row>
    <row r="53" spans="1:26" s="69" customFormat="1" ht="15" hidden="1" customHeight="1" outlineLevel="2" x14ac:dyDescent="0.3">
      <c r="A53" s="25"/>
      <c r="B53" s="12" t="str">
        <f>CONCATENATE("          ","6351"," - ","EQUIPMENT RENTAL")</f>
        <v xml:space="preserve">          6351 - EQUIPMENT RENTAL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20</v>
      </c>
      <c r="U53" s="3"/>
      <c r="V53" s="7">
        <f t="shared" si="5"/>
        <v>0</v>
      </c>
      <c r="W53" s="3"/>
      <c r="X53" s="8">
        <f t="shared" si="6"/>
        <v>-20</v>
      </c>
      <c r="Y53" s="3"/>
      <c r="Z53" s="7">
        <f t="shared" si="7"/>
        <v>-1</v>
      </c>
    </row>
    <row r="54" spans="1:26" s="68" customFormat="1" ht="15" customHeight="1" outlineLevel="1" collapsed="1" x14ac:dyDescent="0.3">
      <c r="A54" s="26"/>
      <c r="B54" s="14" t="str">
        <f>CONCATENATE("     ","General                                           ")</f>
        <v xml:space="preserve">     General                                           </v>
      </c>
      <c r="C54" s="14"/>
      <c r="D54" s="2">
        <f>SUM(OSRRefD22_9x_0)</f>
        <v>227.19</v>
      </c>
      <c r="E54" s="2"/>
      <c r="F54" s="6">
        <f t="shared" si="0"/>
        <v>8.7889990313106401E-4</v>
      </c>
      <c r="G54" s="2"/>
      <c r="H54" s="2">
        <f>SUM(OSRRefH22_9x_0)</f>
        <v>436.32</v>
      </c>
      <c r="I54" s="2"/>
      <c r="J54" s="6">
        <f t="shared" si="1"/>
        <v>0</v>
      </c>
      <c r="K54" s="2"/>
      <c r="L54" s="2">
        <f t="shared" si="2"/>
        <v>-209.13</v>
      </c>
      <c r="M54" s="2"/>
      <c r="N54" s="6">
        <f t="shared" si="3"/>
        <v>-0.47930418041804179</v>
      </c>
      <c r="O54" s="14"/>
      <c r="P54" s="2">
        <f>SUM(OSRRefP22_9x_0)</f>
        <v>2071.98</v>
      </c>
      <c r="Q54" s="2"/>
      <c r="R54" s="6">
        <f t="shared" si="4"/>
        <v>1.3552934771469704E-3</v>
      </c>
      <c r="S54" s="2"/>
      <c r="T54" s="2">
        <f>SUM(OSRRefT22_9x_0)</f>
        <v>1875.87</v>
      </c>
      <c r="U54" s="2"/>
      <c r="V54" s="6">
        <f t="shared" si="5"/>
        <v>0</v>
      </c>
      <c r="W54" s="2"/>
      <c r="X54" s="2">
        <f t="shared" si="6"/>
        <v>196.11000000000013</v>
      </c>
      <c r="Y54" s="2"/>
      <c r="Z54" s="6">
        <f t="shared" si="7"/>
        <v>0.10454349181979569</v>
      </c>
    </row>
    <row r="55" spans="1:26" s="69" customFormat="1" ht="15" hidden="1" customHeight="1" outlineLevel="2" x14ac:dyDescent="0.3">
      <c r="A55" s="25"/>
      <c r="B55" s="12" t="str">
        <f>CONCATENATE("          ","6279"," - ","GENERAL EXPENSE")</f>
        <v xml:space="preserve">          6279 - GENERAL EXPENSE</v>
      </c>
      <c r="C55" s="12"/>
      <c r="D55" s="8">
        <v>227.19</v>
      </c>
      <c r="E55" s="3"/>
      <c r="F55" s="7">
        <f t="shared" ref="F55:F77" si="8">IF(D$12=0,0,D55/D$12)</f>
        <v>8.7889990313106401E-4</v>
      </c>
      <c r="G55" s="3"/>
      <c r="H55" s="8">
        <v>436.32</v>
      </c>
      <c r="I55" s="3"/>
      <c r="J55" s="7">
        <f t="shared" ref="J55:J77" si="9">IF(H$12=0,0,H55/H$12)</f>
        <v>0</v>
      </c>
      <c r="K55" s="3"/>
      <c r="L55" s="8">
        <f t="shared" ref="L55:L77" si="10">+D55-H55</f>
        <v>-209.13</v>
      </c>
      <c r="M55" s="3"/>
      <c r="N55" s="7">
        <f t="shared" ref="N55:N77" si="11">IF(H55=0,0,L55/H55)</f>
        <v>-0.47930418041804179</v>
      </c>
      <c r="O55" s="12"/>
      <c r="P55" s="8">
        <v>2071.98</v>
      </c>
      <c r="Q55" s="3"/>
      <c r="R55" s="7">
        <f t="shared" ref="R55:R77" si="12">IF(P$12=0,0,P55/P$12)</f>
        <v>1.3552934771469704E-3</v>
      </c>
      <c r="S55" s="3"/>
      <c r="T55" s="8">
        <v>1875.87</v>
      </c>
      <c r="U55" s="3"/>
      <c r="V55" s="7">
        <f t="shared" ref="V55:V77" si="13">IF(T$12=0,0,T55/T$12)</f>
        <v>0</v>
      </c>
      <c r="W55" s="3"/>
      <c r="X55" s="8">
        <f t="shared" ref="X55:X77" si="14">+P55-T55</f>
        <v>196.11000000000013</v>
      </c>
      <c r="Y55" s="3"/>
      <c r="Z55" s="7">
        <f t="shared" ref="Z55:Z77" si="15">IF(T55=0,0,X55/T55)</f>
        <v>0.10454349181979569</v>
      </c>
    </row>
    <row r="56" spans="1:26" s="68" customFormat="1" ht="15" customHeight="1" outlineLevel="1" collapsed="1" x14ac:dyDescent="0.3">
      <c r="A56" s="26"/>
      <c r="B56" s="14" t="str">
        <f>CONCATENATE("     ","Insurance                                         ")</f>
        <v xml:space="preserve">     Insurance                                         </v>
      </c>
      <c r="C56" s="14"/>
      <c r="D56" s="2">
        <f>SUM(OSRRefD22_10x_0)</f>
        <v>5.21</v>
      </c>
      <c r="E56" s="2"/>
      <c r="F56" s="6">
        <f t="shared" si="8"/>
        <v>2.0155237885967004E-5</v>
      </c>
      <c r="G56" s="2"/>
      <c r="H56" s="2">
        <f>SUM(OSRRefH22_10x_0)</f>
        <v>5.9</v>
      </c>
      <c r="I56" s="2"/>
      <c r="J56" s="6">
        <f t="shared" si="9"/>
        <v>0</v>
      </c>
      <c r="K56" s="2"/>
      <c r="L56" s="2">
        <f t="shared" si="10"/>
        <v>-0.69000000000000039</v>
      </c>
      <c r="M56" s="2"/>
      <c r="N56" s="6">
        <f t="shared" si="11"/>
        <v>-0.11694915254237294</v>
      </c>
      <c r="O56" s="14"/>
      <c r="P56" s="2">
        <f>SUM(OSRRefP22_10x_0)</f>
        <v>46.9</v>
      </c>
      <c r="Q56" s="2"/>
      <c r="R56" s="6">
        <f t="shared" si="12"/>
        <v>3.0677547118308535E-5</v>
      </c>
      <c r="S56" s="2"/>
      <c r="T56" s="2">
        <f>SUM(OSRRefT22_10x_0)</f>
        <v>53.1</v>
      </c>
      <c r="U56" s="2"/>
      <c r="V56" s="6">
        <f t="shared" si="13"/>
        <v>0</v>
      </c>
      <c r="W56" s="2"/>
      <c r="X56" s="2">
        <f t="shared" si="14"/>
        <v>-6.2000000000000028</v>
      </c>
      <c r="Y56" s="2"/>
      <c r="Z56" s="6">
        <f t="shared" si="15"/>
        <v>-0.11676082862523546</v>
      </c>
    </row>
    <row r="57" spans="1:26" s="69" customFormat="1" ht="15" hidden="1" customHeight="1" outlineLevel="2" x14ac:dyDescent="0.3">
      <c r="A57" s="25"/>
      <c r="B57" s="12" t="str">
        <f>CONCATENATE("          ","6314"," - ","LIABILITY INSURANCE")</f>
        <v xml:space="preserve">          6314 - LIABILITY INSURANCE</v>
      </c>
      <c r="C57" s="12"/>
      <c r="D57" s="8">
        <v>5.21</v>
      </c>
      <c r="E57" s="3"/>
      <c r="F57" s="7">
        <f t="shared" si="8"/>
        <v>2.0155237885967004E-5</v>
      </c>
      <c r="G57" s="3"/>
      <c r="H57" s="8">
        <v>5.9</v>
      </c>
      <c r="I57" s="3"/>
      <c r="J57" s="7">
        <f t="shared" si="9"/>
        <v>0</v>
      </c>
      <c r="K57" s="3"/>
      <c r="L57" s="8">
        <f t="shared" si="10"/>
        <v>-0.69000000000000039</v>
      </c>
      <c r="M57" s="3"/>
      <c r="N57" s="7">
        <f t="shared" si="11"/>
        <v>-0.11694915254237294</v>
      </c>
      <c r="O57" s="12"/>
      <c r="P57" s="8">
        <v>46.9</v>
      </c>
      <c r="Q57" s="3"/>
      <c r="R57" s="7">
        <f t="shared" si="12"/>
        <v>3.0677547118308535E-5</v>
      </c>
      <c r="S57" s="3"/>
      <c r="T57" s="8">
        <v>53.1</v>
      </c>
      <c r="U57" s="3"/>
      <c r="V57" s="7">
        <f t="shared" si="13"/>
        <v>0</v>
      </c>
      <c r="W57" s="3"/>
      <c r="X57" s="8">
        <f t="shared" si="14"/>
        <v>-6.2000000000000028</v>
      </c>
      <c r="Y57" s="3"/>
      <c r="Z57" s="7">
        <f t="shared" si="15"/>
        <v>-0.11676082862523546</v>
      </c>
    </row>
    <row r="58" spans="1:26" s="68" customFormat="1" ht="15" customHeight="1" outlineLevel="1" collapsed="1" x14ac:dyDescent="0.3">
      <c r="A58" s="26"/>
      <c r="B58" s="14" t="str">
        <f>CONCATENATE("     ","R/H Commissions                                   ")</f>
        <v xml:space="preserve">     R/H Commissions                                   </v>
      </c>
      <c r="C58" s="14"/>
      <c r="D58" s="2">
        <f>SUM(OSRRefD22_11x_0)</f>
        <v>20664.740000000002</v>
      </c>
      <c r="E58" s="2"/>
      <c r="F58" s="6">
        <f t="shared" si="8"/>
        <v>7.9942946363082121E-2</v>
      </c>
      <c r="G58" s="2"/>
      <c r="H58" s="2">
        <f>SUM(OSRRefH22_11x_0)</f>
        <v>0</v>
      </c>
      <c r="I58" s="2"/>
      <c r="J58" s="6">
        <f t="shared" si="9"/>
        <v>0</v>
      </c>
      <c r="K58" s="2"/>
      <c r="L58" s="2">
        <f t="shared" si="10"/>
        <v>20664.740000000002</v>
      </c>
      <c r="M58" s="2"/>
      <c r="N58" s="6">
        <f t="shared" si="11"/>
        <v>0</v>
      </c>
      <c r="O58" s="14"/>
      <c r="P58" s="2">
        <f>SUM(OSRRefP22_11x_0)</f>
        <v>117916.39</v>
      </c>
      <c r="Q58" s="2"/>
      <c r="R58" s="6">
        <f t="shared" si="12"/>
        <v>7.712975714809904E-2</v>
      </c>
      <c r="S58" s="2"/>
      <c r="T58" s="2">
        <f>SUM(OSRRefT22_11x_0)</f>
        <v>0</v>
      </c>
      <c r="U58" s="2"/>
      <c r="V58" s="6">
        <f t="shared" si="13"/>
        <v>0</v>
      </c>
      <c r="W58" s="2"/>
      <c r="X58" s="2">
        <f t="shared" si="14"/>
        <v>117916.39</v>
      </c>
      <c r="Y58" s="2"/>
      <c r="Z58" s="6">
        <f t="shared" si="15"/>
        <v>0</v>
      </c>
    </row>
    <row r="59" spans="1:26" s="69" customFormat="1" ht="15" hidden="1" customHeight="1" outlineLevel="2" x14ac:dyDescent="0.3">
      <c r="A59" s="25"/>
      <c r="B59" s="12" t="str">
        <f>CONCATENATE("          ","6387"," - ","COMMISSION DUE HOUSING")</f>
        <v xml:space="preserve">          6387 - COMMISSION DUE HOUSING</v>
      </c>
      <c r="C59" s="12"/>
      <c r="D59" s="8">
        <v>20664.740000000002</v>
      </c>
      <c r="E59" s="3"/>
      <c r="F59" s="7">
        <f t="shared" si="8"/>
        <v>7.9942946363082121E-2</v>
      </c>
      <c r="G59" s="3"/>
      <c r="H59" s="8"/>
      <c r="I59" s="3"/>
      <c r="J59" s="7">
        <f t="shared" si="9"/>
        <v>0</v>
      </c>
      <c r="K59" s="3"/>
      <c r="L59" s="8">
        <f t="shared" si="10"/>
        <v>20664.740000000002</v>
      </c>
      <c r="M59" s="3"/>
      <c r="N59" s="7">
        <f t="shared" si="11"/>
        <v>0</v>
      </c>
      <c r="O59" s="12"/>
      <c r="P59" s="8">
        <v>117916.39</v>
      </c>
      <c r="Q59" s="3"/>
      <c r="R59" s="7">
        <f t="shared" si="12"/>
        <v>7.712975714809904E-2</v>
      </c>
      <c r="S59" s="3"/>
      <c r="T59" s="8"/>
      <c r="U59" s="3"/>
      <c r="V59" s="7">
        <f t="shared" si="13"/>
        <v>0</v>
      </c>
      <c r="W59" s="3"/>
      <c r="X59" s="8">
        <f t="shared" si="14"/>
        <v>117916.39</v>
      </c>
      <c r="Y59" s="3"/>
      <c r="Z59" s="7">
        <f t="shared" si="15"/>
        <v>0</v>
      </c>
    </row>
    <row r="60" spans="1:26" s="68" customFormat="1" ht="15" customHeight="1" outlineLevel="1" collapsed="1" x14ac:dyDescent="0.3">
      <c r="A60" s="26"/>
      <c r="B60" s="14" t="str">
        <f>CONCATENATE("     ","Repair and Maintenance                            ")</f>
        <v xml:space="preserve">     Repair and Maintenance                            </v>
      </c>
      <c r="C60" s="14"/>
      <c r="D60" s="2">
        <f>SUM(OSRRefD22_12x_0)</f>
        <v>1402.47</v>
      </c>
      <c r="E60" s="2"/>
      <c r="F60" s="6">
        <f t="shared" si="8"/>
        <v>5.4255501877029074E-3</v>
      </c>
      <c r="G60" s="2"/>
      <c r="H60" s="2">
        <f>SUM(OSRRefH22_12x_0)</f>
        <v>72.319999999999993</v>
      </c>
      <c r="I60" s="2"/>
      <c r="J60" s="6">
        <f t="shared" si="9"/>
        <v>0</v>
      </c>
      <c r="K60" s="2"/>
      <c r="L60" s="2">
        <f t="shared" si="10"/>
        <v>1330.15</v>
      </c>
      <c r="M60" s="2"/>
      <c r="N60" s="6">
        <f t="shared" si="11"/>
        <v>18.392560840707969</v>
      </c>
      <c r="O60" s="14"/>
      <c r="P60" s="2">
        <f>SUM(OSRRefP22_12x_0)</f>
        <v>2538.2799999999997</v>
      </c>
      <c r="Q60" s="2"/>
      <c r="R60" s="6">
        <f t="shared" si="12"/>
        <v>1.6603028635279356E-3</v>
      </c>
      <c r="S60" s="2"/>
      <c r="T60" s="2">
        <f>SUM(OSRRefT22_12x_0)</f>
        <v>216.99</v>
      </c>
      <c r="U60" s="2"/>
      <c r="V60" s="6">
        <f t="shared" si="13"/>
        <v>0</v>
      </c>
      <c r="W60" s="2"/>
      <c r="X60" s="2">
        <f t="shared" si="14"/>
        <v>2321.29</v>
      </c>
      <c r="Y60" s="2"/>
      <c r="Z60" s="6">
        <f t="shared" si="15"/>
        <v>10.697681920825843</v>
      </c>
    </row>
    <row r="61" spans="1:26" s="69" customFormat="1" ht="15" hidden="1" customHeight="1" outlineLevel="2" x14ac:dyDescent="0.3">
      <c r="A61" s="25"/>
      <c r="B61" s="12" t="str">
        <f>CONCATENATE("          ","6373"," - ","MAINTENANCE CONTRACTS")</f>
        <v xml:space="preserve">          6373 - MAINTENANCE CONTRACTS</v>
      </c>
      <c r="C61" s="12"/>
      <c r="D61" s="8">
        <v>74.900000000000006</v>
      </c>
      <c r="E61" s="3"/>
      <c r="F61" s="7">
        <f t="shared" si="8"/>
        <v>2.8975572315910339E-4</v>
      </c>
      <c r="G61" s="3"/>
      <c r="H61" s="8">
        <v>72.319999999999993</v>
      </c>
      <c r="I61" s="3"/>
      <c r="J61" s="7">
        <f t="shared" si="9"/>
        <v>0</v>
      </c>
      <c r="K61" s="3"/>
      <c r="L61" s="8">
        <f t="shared" si="10"/>
        <v>2.5800000000000125</v>
      </c>
      <c r="M61" s="3"/>
      <c r="N61" s="7">
        <f t="shared" si="11"/>
        <v>3.567477876106212E-2</v>
      </c>
      <c r="O61" s="12"/>
      <c r="P61" s="8">
        <v>221.66</v>
      </c>
      <c r="Q61" s="3"/>
      <c r="R61" s="7">
        <f t="shared" si="12"/>
        <v>1.4498902119923816E-4</v>
      </c>
      <c r="S61" s="3"/>
      <c r="T61" s="8">
        <v>216.99</v>
      </c>
      <c r="U61" s="3"/>
      <c r="V61" s="7">
        <f t="shared" si="13"/>
        <v>0</v>
      </c>
      <c r="W61" s="3"/>
      <c r="X61" s="8">
        <f t="shared" si="14"/>
        <v>4.6699999999999875</v>
      </c>
      <c r="Y61" s="3"/>
      <c r="Z61" s="7">
        <f t="shared" si="15"/>
        <v>2.1521729111940585E-2</v>
      </c>
    </row>
    <row r="62" spans="1:26" s="69" customFormat="1" ht="15" hidden="1" customHeight="1" outlineLevel="2" x14ac:dyDescent="0.3">
      <c r="A62" s="25"/>
      <c r="B62" s="12" t="str">
        <f>CONCATENATE("          ","6375"," - ","OUTSIDE REPAIRS &amp; MAINTENANCE")</f>
        <v xml:space="preserve">          6375 - OUTSIDE REPAIRS &amp; MAINTENANCE</v>
      </c>
      <c r="C62" s="12"/>
      <c r="D62" s="8">
        <v>1327.57</v>
      </c>
      <c r="E62" s="3"/>
      <c r="F62" s="7">
        <f t="shared" si="8"/>
        <v>5.1357944645438035E-3</v>
      </c>
      <c r="G62" s="3"/>
      <c r="H62" s="8"/>
      <c r="I62" s="3"/>
      <c r="J62" s="7">
        <f t="shared" si="9"/>
        <v>0</v>
      </c>
      <c r="K62" s="3"/>
      <c r="L62" s="8">
        <f t="shared" si="10"/>
        <v>1327.57</v>
      </c>
      <c r="M62" s="3"/>
      <c r="N62" s="7">
        <f t="shared" si="11"/>
        <v>0</v>
      </c>
      <c r="O62" s="12"/>
      <c r="P62" s="8">
        <v>2316.62</v>
      </c>
      <c r="Q62" s="3"/>
      <c r="R62" s="7">
        <f t="shared" si="12"/>
        <v>1.5153138423286974E-3</v>
      </c>
      <c r="S62" s="3"/>
      <c r="T62" s="8"/>
      <c r="U62" s="3"/>
      <c r="V62" s="7">
        <f t="shared" si="13"/>
        <v>0</v>
      </c>
      <c r="W62" s="3"/>
      <c r="X62" s="8">
        <f t="shared" si="14"/>
        <v>2316.62</v>
      </c>
      <c r="Y62" s="3"/>
      <c r="Z62" s="7">
        <f t="shared" si="15"/>
        <v>0</v>
      </c>
    </row>
    <row r="63" spans="1:26" s="68" customFormat="1" ht="15" customHeight="1" outlineLevel="1" collapsed="1" x14ac:dyDescent="0.3">
      <c r="A63" s="26"/>
      <c r="B63" s="14" t="str">
        <f>CONCATENATE("     ","Services                                          ")</f>
        <v xml:space="preserve">     Services                                          </v>
      </c>
      <c r="C63" s="14"/>
      <c r="D63" s="2">
        <f>SUM(OSRRefD22_13x_0)</f>
        <v>6045.74</v>
      </c>
      <c r="E63" s="2"/>
      <c r="F63" s="6">
        <f t="shared" si="8"/>
        <v>2.3388354682669126E-2</v>
      </c>
      <c r="G63" s="2"/>
      <c r="H63" s="2">
        <f>SUM(OSRRefH22_13x_0)</f>
        <v>1339.28</v>
      </c>
      <c r="I63" s="2"/>
      <c r="J63" s="6">
        <f t="shared" si="9"/>
        <v>0</v>
      </c>
      <c r="K63" s="2"/>
      <c r="L63" s="2">
        <f t="shared" si="10"/>
        <v>4706.46</v>
      </c>
      <c r="M63" s="2"/>
      <c r="N63" s="6">
        <f t="shared" si="11"/>
        <v>3.5141717937996537</v>
      </c>
      <c r="O63" s="14"/>
      <c r="P63" s="2">
        <f>SUM(OSRRefP22_13x_0)</f>
        <v>43725.64</v>
      </c>
      <c r="Q63" s="2"/>
      <c r="R63" s="6">
        <f t="shared" si="12"/>
        <v>2.8601180839620391E-2</v>
      </c>
      <c r="S63" s="2"/>
      <c r="T63" s="2">
        <f>SUM(OSRRefT22_13x_0)</f>
        <v>6026.76</v>
      </c>
      <c r="U63" s="2"/>
      <c r="V63" s="6">
        <f t="shared" si="13"/>
        <v>0</v>
      </c>
      <c r="W63" s="2"/>
      <c r="X63" s="2">
        <f t="shared" si="14"/>
        <v>37698.879999999997</v>
      </c>
      <c r="Y63" s="2"/>
      <c r="Z63" s="6">
        <f t="shared" si="15"/>
        <v>6.2552482594296102</v>
      </c>
    </row>
    <row r="64" spans="1:26" s="69" customFormat="1" ht="15" hidden="1" customHeight="1" outlineLevel="2" x14ac:dyDescent="0.3">
      <c r="A64" s="25"/>
      <c r="B64" s="12" t="str">
        <f>CONCATENATE("          ","6282"," - ","JANITORIAL/EXTERMINATOR EXPENS")</f>
        <v xml:space="preserve">          6282 - JANITORIAL/EXTERMINATOR EXPENS</v>
      </c>
      <c r="C64" s="12"/>
      <c r="D64" s="8">
        <v>1459.9</v>
      </c>
      <c r="E64" s="3"/>
      <c r="F64" s="7">
        <f t="shared" si="8"/>
        <v>5.6477220325764363E-3</v>
      </c>
      <c r="G64" s="3"/>
      <c r="H64" s="8">
        <v>1339.28</v>
      </c>
      <c r="I64" s="3"/>
      <c r="J64" s="7">
        <f t="shared" si="9"/>
        <v>0</v>
      </c>
      <c r="K64" s="3"/>
      <c r="L64" s="8">
        <f t="shared" si="10"/>
        <v>120.62000000000012</v>
      </c>
      <c r="M64" s="3"/>
      <c r="N64" s="7">
        <f t="shared" si="11"/>
        <v>9.0063317603488527E-2</v>
      </c>
      <c r="O64" s="12"/>
      <c r="P64" s="8">
        <v>6608.25</v>
      </c>
      <c r="Q64" s="3"/>
      <c r="R64" s="7">
        <f t="shared" si="12"/>
        <v>4.3224925531889632E-3</v>
      </c>
      <c r="S64" s="3"/>
      <c r="T64" s="8">
        <v>5428.89</v>
      </c>
      <c r="U64" s="3"/>
      <c r="V64" s="7">
        <f t="shared" si="13"/>
        <v>0</v>
      </c>
      <c r="W64" s="3"/>
      <c r="X64" s="8">
        <f t="shared" si="14"/>
        <v>1179.3599999999997</v>
      </c>
      <c r="Y64" s="3"/>
      <c r="Z64" s="7">
        <f t="shared" si="15"/>
        <v>0.21723777788829754</v>
      </c>
    </row>
    <row r="65" spans="1:26" s="69" customFormat="1" ht="15" hidden="1" customHeight="1" outlineLevel="2" x14ac:dyDescent="0.3">
      <c r="A65" s="25"/>
      <c r="B65" s="12" t="str">
        <f>CONCATENATE("          ","6285"," - ","JANITORIAL SERVICES")</f>
        <v xml:space="preserve">          6285 - JANITORIAL SERVICES</v>
      </c>
      <c r="C65" s="12"/>
      <c r="D65" s="8">
        <v>4585.84</v>
      </c>
      <c r="E65" s="3"/>
      <c r="F65" s="7">
        <f t="shared" si="8"/>
        <v>1.7740632650092694E-2</v>
      </c>
      <c r="G65" s="3"/>
      <c r="H65" s="8"/>
      <c r="I65" s="3"/>
      <c r="J65" s="7">
        <f t="shared" si="9"/>
        <v>0</v>
      </c>
      <c r="K65" s="3"/>
      <c r="L65" s="8">
        <f t="shared" si="10"/>
        <v>4585.84</v>
      </c>
      <c r="M65" s="3"/>
      <c r="N65" s="7">
        <f t="shared" si="11"/>
        <v>0</v>
      </c>
      <c r="O65" s="12"/>
      <c r="P65" s="8">
        <v>29862.94</v>
      </c>
      <c r="Q65" s="3"/>
      <c r="R65" s="7">
        <f t="shared" si="12"/>
        <v>1.9533512770601717E-2</v>
      </c>
      <c r="S65" s="3"/>
      <c r="T65" s="8"/>
      <c r="U65" s="3"/>
      <c r="V65" s="7">
        <f t="shared" si="13"/>
        <v>0</v>
      </c>
      <c r="W65" s="3"/>
      <c r="X65" s="8">
        <f t="shared" si="14"/>
        <v>29862.94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5"/>
      <c r="B66" s="12" t="str">
        <f>CONCATENATE("          ","6286"," - ","LAUNDRY EXPENSE")</f>
        <v xml:space="preserve">          6286 - LAUNDRY EXPENSE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7254.45</v>
      </c>
      <c r="Q66" s="3"/>
      <c r="R66" s="7">
        <f t="shared" si="12"/>
        <v>4.7451755158297087E-3</v>
      </c>
      <c r="S66" s="3"/>
      <c r="T66" s="8">
        <v>597.87</v>
      </c>
      <c r="U66" s="3"/>
      <c r="V66" s="7">
        <f t="shared" si="13"/>
        <v>0</v>
      </c>
      <c r="W66" s="3"/>
      <c r="X66" s="8">
        <f t="shared" si="14"/>
        <v>6656.58</v>
      </c>
      <c r="Y66" s="3"/>
      <c r="Z66" s="7">
        <f t="shared" si="15"/>
        <v>11.133825079030558</v>
      </c>
    </row>
    <row r="67" spans="1:26" s="68" customFormat="1" ht="15" customHeight="1" outlineLevel="1" collapsed="1" x14ac:dyDescent="0.3">
      <c r="A67" s="26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SUM(OSRRefD22_14x_0)</f>
        <v>4788.29</v>
      </c>
      <c r="E67" s="2"/>
      <c r="F67" s="6">
        <f t="shared" si="8"/>
        <v>1.8523824187523408E-2</v>
      </c>
      <c r="G67" s="2"/>
      <c r="H67" s="2">
        <f>SUM(OSRRefH22_14x_0)</f>
        <v>39.54</v>
      </c>
      <c r="I67" s="2"/>
      <c r="J67" s="6">
        <f t="shared" si="9"/>
        <v>0</v>
      </c>
      <c r="K67" s="2"/>
      <c r="L67" s="2">
        <f t="shared" si="10"/>
        <v>4748.75</v>
      </c>
      <c r="M67" s="2"/>
      <c r="N67" s="6">
        <f t="shared" si="11"/>
        <v>120.09989883662115</v>
      </c>
      <c r="O67" s="14"/>
      <c r="P67" s="2">
        <f>SUM(OSRRefP22_14x_0)</f>
        <v>74194.789999999994</v>
      </c>
      <c r="Q67" s="2"/>
      <c r="R67" s="6">
        <f t="shared" si="12"/>
        <v>4.8531218894627005E-2</v>
      </c>
      <c r="S67" s="2"/>
      <c r="T67" s="2">
        <f>SUM(OSRRefT22_14x_0)</f>
        <v>96.7</v>
      </c>
      <c r="U67" s="2"/>
      <c r="V67" s="6">
        <f t="shared" si="13"/>
        <v>0</v>
      </c>
      <c r="W67" s="2"/>
      <c r="X67" s="2">
        <f t="shared" si="14"/>
        <v>74098.09</v>
      </c>
      <c r="Y67" s="2"/>
      <c r="Z67" s="6">
        <f t="shared" si="15"/>
        <v>766.26773526370209</v>
      </c>
    </row>
    <row r="68" spans="1:26" s="69" customFormat="1" ht="15" hidden="1" customHeight="1" outlineLevel="2" x14ac:dyDescent="0.3">
      <c r="A68" s="25"/>
      <c r="B68" s="12" t="str">
        <f>CONCATENATE("          ","6237"," - ","JANITORIAL SUPPLIES")</f>
        <v xml:space="preserve">          6237 - JANITORIAL SUPPLIES</v>
      </c>
      <c r="C68" s="12"/>
      <c r="D68" s="8">
        <v>3410.65</v>
      </c>
      <c r="E68" s="3"/>
      <c r="F68" s="7">
        <f t="shared" si="8"/>
        <v>1.3194330536616769E-2</v>
      </c>
      <c r="G68" s="3"/>
      <c r="H68" s="8"/>
      <c r="I68" s="3"/>
      <c r="J68" s="7">
        <f t="shared" si="9"/>
        <v>0</v>
      </c>
      <c r="K68" s="3"/>
      <c r="L68" s="8">
        <f t="shared" si="10"/>
        <v>3410.65</v>
      </c>
      <c r="M68" s="3"/>
      <c r="N68" s="7">
        <f t="shared" si="11"/>
        <v>0</v>
      </c>
      <c r="O68" s="12"/>
      <c r="P68" s="8">
        <v>18147.8</v>
      </c>
      <c r="Q68" s="3"/>
      <c r="R68" s="7">
        <f t="shared" si="12"/>
        <v>1.1870575471079736E-2</v>
      </c>
      <c r="S68" s="3"/>
      <c r="T68" s="8"/>
      <c r="U68" s="3"/>
      <c r="V68" s="7">
        <f t="shared" si="13"/>
        <v>0</v>
      </c>
      <c r="W68" s="3"/>
      <c r="X68" s="8">
        <f t="shared" si="14"/>
        <v>18147.8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5"/>
      <c r="B69" s="12" t="str">
        <f>CONCATENATE("          ","6239"," - ","KITCHEN SUPPLIES")</f>
        <v xml:space="preserve">          6239 - KITCHEN SUPPLIES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10019.879999999999</v>
      </c>
      <c r="Q69" s="3"/>
      <c r="R69" s="7">
        <f t="shared" si="12"/>
        <v>6.5540584396545261E-3</v>
      </c>
      <c r="S69" s="3"/>
      <c r="T69" s="8"/>
      <c r="U69" s="3"/>
      <c r="V69" s="7">
        <f t="shared" si="13"/>
        <v>0</v>
      </c>
      <c r="W69" s="3"/>
      <c r="X69" s="8">
        <f t="shared" si="14"/>
        <v>10019.879999999999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5"/>
      <c r="B70" s="12" t="str">
        <f>CONCATENATE("          ","6241"," - ","OFFICE EXPENSE")</f>
        <v xml:space="preserve">          6241 - OFFICE EXPENSE</v>
      </c>
      <c r="C70" s="12"/>
      <c r="D70" s="8">
        <v>137.5</v>
      </c>
      <c r="E70" s="3"/>
      <c r="F70" s="7">
        <f t="shared" si="8"/>
        <v>5.3192806320930192E-4</v>
      </c>
      <c r="G70" s="3"/>
      <c r="H70" s="8">
        <v>39.54</v>
      </c>
      <c r="I70" s="3"/>
      <c r="J70" s="7">
        <f t="shared" si="9"/>
        <v>0</v>
      </c>
      <c r="K70" s="3"/>
      <c r="L70" s="8">
        <f t="shared" si="10"/>
        <v>97.960000000000008</v>
      </c>
      <c r="M70" s="3"/>
      <c r="N70" s="7">
        <f t="shared" si="11"/>
        <v>2.4774911482043502</v>
      </c>
      <c r="O70" s="12"/>
      <c r="P70" s="8">
        <v>6322.14</v>
      </c>
      <c r="Q70" s="3"/>
      <c r="R70" s="7">
        <f t="shared" si="12"/>
        <v>4.1353464336576357E-3</v>
      </c>
      <c r="S70" s="3"/>
      <c r="T70" s="8">
        <v>96.7</v>
      </c>
      <c r="U70" s="3"/>
      <c r="V70" s="7">
        <f t="shared" si="13"/>
        <v>0</v>
      </c>
      <c r="W70" s="3"/>
      <c r="X70" s="8">
        <f t="shared" si="14"/>
        <v>6225.4400000000005</v>
      </c>
      <c r="Y70" s="3"/>
      <c r="Z70" s="7">
        <f t="shared" si="15"/>
        <v>64.378903826266807</v>
      </c>
    </row>
    <row r="71" spans="1:26" s="69" customFormat="1" ht="15" hidden="1" customHeight="1" outlineLevel="2" x14ac:dyDescent="0.3">
      <c r="A71" s="25"/>
      <c r="B71" s="12" t="str">
        <f>CONCATENATE("          ","6243"," - ","PAPER SUPPLIES")</f>
        <v xml:space="preserve">          6243 - PAPER SUPPLIES</v>
      </c>
      <c r="C71" s="12"/>
      <c r="D71" s="8">
        <v>1240.1400000000001</v>
      </c>
      <c r="E71" s="3"/>
      <c r="F71" s="7">
        <f t="shared" si="8"/>
        <v>4.7975655876973363E-3</v>
      </c>
      <c r="G71" s="3"/>
      <c r="H71" s="8"/>
      <c r="I71" s="3"/>
      <c r="J71" s="7">
        <f t="shared" si="9"/>
        <v>0</v>
      </c>
      <c r="K71" s="3"/>
      <c r="L71" s="8">
        <f t="shared" si="10"/>
        <v>1240.1400000000001</v>
      </c>
      <c r="M71" s="3"/>
      <c r="N71" s="7">
        <f t="shared" si="11"/>
        <v>0</v>
      </c>
      <c r="O71" s="12"/>
      <c r="P71" s="8">
        <v>37181.93</v>
      </c>
      <c r="Q71" s="3"/>
      <c r="R71" s="7">
        <f t="shared" si="12"/>
        <v>2.4320904254256922E-2</v>
      </c>
      <c r="S71" s="3"/>
      <c r="T71" s="8"/>
      <c r="U71" s="3"/>
      <c r="V71" s="7">
        <f t="shared" si="13"/>
        <v>0</v>
      </c>
      <c r="W71" s="3"/>
      <c r="X71" s="8">
        <f t="shared" si="14"/>
        <v>37181.93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5"/>
      <c r="B72" s="12" t="str">
        <f>CONCATENATE("          ","6247"," - ","STORE SUPPLIES")</f>
        <v xml:space="preserve">          6247 - STORE SUPPLIES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652.62</v>
      </c>
      <c r="Q72" s="3"/>
      <c r="R72" s="7">
        <f t="shared" si="12"/>
        <v>4.2688231983689797E-4</v>
      </c>
      <c r="S72" s="3"/>
      <c r="T72" s="8"/>
      <c r="U72" s="3"/>
      <c r="V72" s="7">
        <f t="shared" si="13"/>
        <v>0</v>
      </c>
      <c r="W72" s="3"/>
      <c r="X72" s="8">
        <f t="shared" si="14"/>
        <v>652.62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5"/>
      <c r="B73" s="12" t="str">
        <f>CONCATENATE("          ","6248"," - ","UNIFORMS")</f>
        <v xml:space="preserve">          6248 - UNIFORMS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1870.42</v>
      </c>
      <c r="Q73" s="3"/>
      <c r="R73" s="7">
        <f t="shared" si="12"/>
        <v>1.2234519761412932E-3</v>
      </c>
      <c r="S73" s="3"/>
      <c r="T73" s="8"/>
      <c r="U73" s="3"/>
      <c r="V73" s="7">
        <f t="shared" si="13"/>
        <v>0</v>
      </c>
      <c r="W73" s="3"/>
      <c r="X73" s="8">
        <f t="shared" si="14"/>
        <v>1870.42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6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SUM(OSRRefD22_15x_0)</f>
        <v>186</v>
      </c>
      <c r="E74" s="2"/>
      <c r="F74" s="6">
        <f t="shared" si="8"/>
        <v>7.1955359823221935E-4</v>
      </c>
      <c r="G74" s="2"/>
      <c r="H74" s="2">
        <f>SUM(OSRRefH22_15x_0)</f>
        <v>0</v>
      </c>
      <c r="I74" s="2"/>
      <c r="J74" s="6">
        <f t="shared" si="9"/>
        <v>0</v>
      </c>
      <c r="K74" s="2"/>
      <c r="L74" s="2">
        <f t="shared" si="10"/>
        <v>186</v>
      </c>
      <c r="M74" s="2"/>
      <c r="N74" s="6">
        <f t="shared" si="11"/>
        <v>0</v>
      </c>
      <c r="O74" s="14"/>
      <c r="P74" s="2">
        <f>SUM(OSRRefP22_15x_0)</f>
        <v>1364.85</v>
      </c>
      <c r="Q74" s="2"/>
      <c r="R74" s="6">
        <f t="shared" si="12"/>
        <v>8.9275586747171421E-4</v>
      </c>
      <c r="S74" s="2"/>
      <c r="T74" s="2">
        <f>SUM(OSRRefT22_15x_0)</f>
        <v>579.63</v>
      </c>
      <c r="U74" s="2"/>
      <c r="V74" s="6">
        <f t="shared" si="13"/>
        <v>0</v>
      </c>
      <c r="W74" s="2"/>
      <c r="X74" s="2">
        <f t="shared" si="14"/>
        <v>785.21999999999991</v>
      </c>
      <c r="Y74" s="2"/>
      <c r="Z74" s="6">
        <f t="shared" si="15"/>
        <v>1.3546917861394336</v>
      </c>
    </row>
    <row r="75" spans="1:26" s="69" customFormat="1" ht="15" hidden="1" customHeight="1" outlineLevel="2" x14ac:dyDescent="0.3">
      <c r="A75" s="25"/>
      <c r="B75" s="12" t="str">
        <f>CONCATENATE("          ","6309"," - ","TELEPHONE")</f>
        <v xml:space="preserve">          6309 - TELEPHONE</v>
      </c>
      <c r="C75" s="12"/>
      <c r="D75" s="8">
        <v>186</v>
      </c>
      <c r="E75" s="3"/>
      <c r="F75" s="7">
        <f t="shared" si="8"/>
        <v>7.1955359823221935E-4</v>
      </c>
      <c r="G75" s="3"/>
      <c r="H75" s="8">
        <v>0</v>
      </c>
      <c r="I75" s="3"/>
      <c r="J75" s="7">
        <f t="shared" si="9"/>
        <v>0</v>
      </c>
      <c r="K75" s="3"/>
      <c r="L75" s="8">
        <f t="shared" si="10"/>
        <v>186</v>
      </c>
      <c r="M75" s="3"/>
      <c r="N75" s="7">
        <f t="shared" si="11"/>
        <v>0</v>
      </c>
      <c r="O75" s="12"/>
      <c r="P75" s="8">
        <v>1364.85</v>
      </c>
      <c r="Q75" s="3"/>
      <c r="R75" s="7">
        <f t="shared" si="12"/>
        <v>8.9275586747171421E-4</v>
      </c>
      <c r="S75" s="3"/>
      <c r="T75" s="8">
        <v>579.63</v>
      </c>
      <c r="U75" s="3"/>
      <c r="V75" s="7">
        <f t="shared" si="13"/>
        <v>0</v>
      </c>
      <c r="W75" s="3"/>
      <c r="X75" s="8">
        <f t="shared" si="14"/>
        <v>785.21999999999991</v>
      </c>
      <c r="Y75" s="3"/>
      <c r="Z75" s="7">
        <f t="shared" si="15"/>
        <v>1.3546917861394336</v>
      </c>
    </row>
    <row r="76" spans="1:26" s="68" customFormat="1" ht="15" customHeight="1" outlineLevel="1" collapsed="1" x14ac:dyDescent="0.3">
      <c r="A76" s="26"/>
      <c r="B76" s="14" t="str">
        <f>CONCATENATE("     ","Travel                                            ")</f>
        <v xml:space="preserve">     Travel                                            </v>
      </c>
      <c r="C76" s="14"/>
      <c r="D76" s="2">
        <f>SUM(OSRRefD22_16x_0)</f>
        <v>135.02000000000001</v>
      </c>
      <c r="E76" s="2"/>
      <c r="F76" s="6">
        <f t="shared" si="8"/>
        <v>5.2233401523287242E-4</v>
      </c>
      <c r="G76" s="2"/>
      <c r="H76" s="2">
        <f>SUM(OSRRefH22_16x_0)</f>
        <v>0</v>
      </c>
      <c r="I76" s="2"/>
      <c r="J76" s="6">
        <f t="shared" si="9"/>
        <v>0</v>
      </c>
      <c r="K76" s="2"/>
      <c r="L76" s="2">
        <f t="shared" si="10"/>
        <v>135.02000000000001</v>
      </c>
      <c r="M76" s="2"/>
      <c r="N76" s="6">
        <f t="shared" si="11"/>
        <v>0</v>
      </c>
      <c r="O76" s="14"/>
      <c r="P76" s="2">
        <f>SUM(OSRRefP22_16x_0)</f>
        <v>239.04</v>
      </c>
      <c r="Q76" s="2"/>
      <c r="R76" s="6">
        <f t="shared" si="12"/>
        <v>1.5635737448103351E-4</v>
      </c>
      <c r="S76" s="2"/>
      <c r="T76" s="2">
        <f>SUM(OSRRefT22_16x_0)</f>
        <v>0</v>
      </c>
      <c r="U76" s="2"/>
      <c r="V76" s="6">
        <f t="shared" si="13"/>
        <v>0</v>
      </c>
      <c r="W76" s="2"/>
      <c r="X76" s="2">
        <f t="shared" si="14"/>
        <v>239.04</v>
      </c>
      <c r="Y76" s="2"/>
      <c r="Z76" s="6">
        <f t="shared" si="15"/>
        <v>0</v>
      </c>
    </row>
    <row r="77" spans="1:26" s="69" customFormat="1" ht="15" hidden="1" customHeight="1" outlineLevel="2" x14ac:dyDescent="0.3">
      <c r="A77" s="25"/>
      <c r="B77" s="12" t="str">
        <f>CONCATENATE("          ","6298"," - ","VEHICLE MILEAGE")</f>
        <v xml:space="preserve">          6298 - VEHICLE MILEAGE</v>
      </c>
      <c r="C77" s="12"/>
      <c r="D77" s="8">
        <v>135.02000000000001</v>
      </c>
      <c r="E77" s="3"/>
      <c r="F77" s="7">
        <f t="shared" si="8"/>
        <v>5.2233401523287242E-4</v>
      </c>
      <c r="G77" s="3"/>
      <c r="H77" s="8"/>
      <c r="I77" s="3"/>
      <c r="J77" s="7">
        <f t="shared" si="9"/>
        <v>0</v>
      </c>
      <c r="K77" s="3"/>
      <c r="L77" s="8">
        <f t="shared" si="10"/>
        <v>135.02000000000001</v>
      </c>
      <c r="M77" s="3"/>
      <c r="N77" s="7">
        <f t="shared" si="11"/>
        <v>0</v>
      </c>
      <c r="O77" s="12"/>
      <c r="P77" s="8">
        <v>239.04</v>
      </c>
      <c r="Q77" s="3"/>
      <c r="R77" s="7">
        <f t="shared" si="12"/>
        <v>1.5635737448103351E-4</v>
      </c>
      <c r="S77" s="3"/>
      <c r="T77" s="8"/>
      <c r="U77" s="3"/>
      <c r="V77" s="7">
        <f t="shared" si="13"/>
        <v>0</v>
      </c>
      <c r="W77" s="3"/>
      <c r="X77" s="8">
        <f t="shared" si="14"/>
        <v>239.04</v>
      </c>
      <c r="Y77" s="3"/>
      <c r="Z77" s="7">
        <f t="shared" si="15"/>
        <v>0</v>
      </c>
    </row>
    <row r="78" spans="1:26" s="64" customFormat="1" ht="15" customHeight="1" x14ac:dyDescent="0.3">
      <c r="A78" s="36"/>
      <c r="B78" s="36"/>
      <c r="C78" s="36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3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62" customFormat="1" ht="15" customHeight="1" x14ac:dyDescent="0.3">
      <c r="A79" s="11"/>
      <c r="B79" s="28" t="s">
        <v>290</v>
      </c>
      <c r="C79" s="11"/>
      <c r="D79" s="5">
        <f>SUM(0)</f>
        <v>0</v>
      </c>
      <c r="E79" s="5"/>
      <c r="F79" s="13">
        <f>IF(D$12=0,0,D79/D$12)</f>
        <v>0</v>
      </c>
      <c r="G79" s="5"/>
      <c r="H79" s="5">
        <f>SUM(0)</f>
        <v>0</v>
      </c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>
        <f>SUM(0)</f>
        <v>0</v>
      </c>
      <c r="Q79" s="5"/>
      <c r="R79" s="13">
        <f>IF(P$12=0,0,P79/P$12)</f>
        <v>0</v>
      </c>
      <c r="S79" s="5"/>
      <c r="T79" s="5">
        <f>SUM(0)</f>
        <v>0</v>
      </c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7" t="s">
        <v>291</v>
      </c>
      <c r="C81" s="27"/>
      <c r="D81" s="22">
        <f>+D21-D23+D79</f>
        <v>61265.239999999932</v>
      </c>
      <c r="E81" s="15"/>
      <c r="F81" s="21">
        <f>IF(D$12=0,0,D81/D$12)</f>
        <v>0.23700873058365832</v>
      </c>
      <c r="G81" s="15"/>
      <c r="H81" s="22">
        <f>+H21-H23+H79</f>
        <v>-41679.39</v>
      </c>
      <c r="I81" s="15"/>
      <c r="J81" s="21">
        <f>IF(H$12=0,0,H81/H$12)</f>
        <v>0</v>
      </c>
      <c r="K81" s="17"/>
      <c r="L81" s="22">
        <f>+D81-H81</f>
        <v>102944.62999999993</v>
      </c>
      <c r="M81" s="17"/>
      <c r="N81" s="21">
        <f>IF(H81=0,0,L81/H81)</f>
        <v>-2.4699169061735291</v>
      </c>
      <c r="O81" s="28"/>
      <c r="P81" s="22">
        <f>+P21-P23+P79</f>
        <v>138754.08000000007</v>
      </c>
      <c r="Q81" s="15"/>
      <c r="R81" s="21">
        <f>IF(P$12=0,0,P81/P$12)</f>
        <v>9.0759804414873219E-2</v>
      </c>
      <c r="S81" s="15"/>
      <c r="T81" s="22">
        <f>+T21-T23+T79</f>
        <v>-369263.90999999992</v>
      </c>
      <c r="U81" s="15"/>
      <c r="V81" s="21">
        <f>IF(T$12=0,0,T81/T$12)</f>
        <v>0</v>
      </c>
      <c r="W81" s="17"/>
      <c r="X81" s="22">
        <f>+P81-T81</f>
        <v>508017.99</v>
      </c>
      <c r="Y81" s="17"/>
      <c r="Z81" s="21">
        <f>IF(T81=0,0,X81/T81)</f>
        <v>-1.3757585733195539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48"/>
      <c r="B83" s="11" t="s">
        <v>292</v>
      </c>
      <c r="C83" s="11"/>
      <c r="D83" s="5">
        <v>23895.439999999999</v>
      </c>
      <c r="E83" s="5"/>
      <c r="F83" s="13">
        <f>IF(D$12=0,0,D83/D$12)</f>
        <v>9.2441128136247858E-2</v>
      </c>
      <c r="G83" s="5"/>
      <c r="H83" s="5"/>
      <c r="I83" s="5"/>
      <c r="J83" s="13">
        <f>IF(H$12=0,0,H83/H$12)</f>
        <v>0</v>
      </c>
      <c r="K83" s="5"/>
      <c r="L83" s="5">
        <f>+D83-H83</f>
        <v>23895.439999999999</v>
      </c>
      <c r="M83" s="5"/>
      <c r="N83" s="13">
        <f>IF(H83=0,0,L83/H83)</f>
        <v>0</v>
      </c>
      <c r="O83" s="11"/>
      <c r="P83" s="5">
        <v>182459.18</v>
      </c>
      <c r="Q83" s="5"/>
      <c r="R83" s="13">
        <f>IF(P$12=0,0,P83/P$12)</f>
        <v>0.11934754992788779</v>
      </c>
      <c r="S83" s="5"/>
      <c r="T83" s="5">
        <v>0</v>
      </c>
      <c r="U83" s="5"/>
      <c r="V83" s="13">
        <f>IF(T$12=0,0,T83/T$12)</f>
        <v>0</v>
      </c>
      <c r="W83" s="5"/>
      <c r="X83" s="5">
        <f>+P83-T83</f>
        <v>182459.18</v>
      </c>
      <c r="Y83" s="5"/>
      <c r="Z83" s="13">
        <f>IF(T83=0,0,X83/T83)</f>
        <v>0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7" t="s">
        <v>293</v>
      </c>
      <c r="C85" s="27"/>
      <c r="D85" s="34">
        <f>+D81-D83</f>
        <v>37369.79999999993</v>
      </c>
      <c r="E85" s="15"/>
      <c r="F85" s="33">
        <f>IF(D$12=0,0,D85/D$12)</f>
        <v>0.14456760244741043</v>
      </c>
      <c r="G85" s="15"/>
      <c r="H85" s="34">
        <f>+H81-H83</f>
        <v>-41679.39</v>
      </c>
      <c r="I85" s="15"/>
      <c r="J85" s="33">
        <f>IF(H$12=0,0,H85/H$12)</f>
        <v>0</v>
      </c>
      <c r="K85" s="17"/>
      <c r="L85" s="34">
        <f>D85-H85</f>
        <v>79049.18999999993</v>
      </c>
      <c r="M85" s="17"/>
      <c r="N85" s="33">
        <f>IF(H85=0,0,L85/H85)</f>
        <v>-1.8966014137922826</v>
      </c>
      <c r="O85" s="28"/>
      <c r="P85" s="34">
        <f>+P81-P83</f>
        <v>-43705.099999999919</v>
      </c>
      <c r="Q85" s="15"/>
      <c r="R85" s="33">
        <f>IF(P$12=0,0,P85/P$12)</f>
        <v>-2.858774551301458E-2</v>
      </c>
      <c r="S85" s="15"/>
      <c r="T85" s="34">
        <f>+T81-T83</f>
        <v>-369263.90999999992</v>
      </c>
      <c r="U85" s="15"/>
      <c r="V85" s="33">
        <f>IF(T$12=0,0,T85/T$12)</f>
        <v>0</v>
      </c>
      <c r="W85" s="17"/>
      <c r="X85" s="34">
        <f>P85-T85</f>
        <v>325558.81</v>
      </c>
      <c r="Y85" s="17"/>
      <c r="Z85" s="33">
        <f>IF(T85=0,0,X85/T85)</f>
        <v>-0.88164264414575488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7" t="s">
        <v>296</v>
      </c>
      <c r="C88" s="27"/>
      <c r="D88" s="31">
        <f>SUM(D85:D87)</f>
        <v>37369.79999999993</v>
      </c>
      <c r="E88" s="15"/>
      <c r="F88" s="32">
        <f>IF(D$12=0,0,D88/D$12)</f>
        <v>0.14456760244741043</v>
      </c>
      <c r="G88" s="15"/>
      <c r="H88" s="31">
        <f>SUM(H85:H87)</f>
        <v>-41679.39</v>
      </c>
      <c r="I88" s="15"/>
      <c r="J88" s="32">
        <f>IF(H$12=0,0,H88/H$12)</f>
        <v>0</v>
      </c>
      <c r="K88" s="17"/>
      <c r="L88" s="31">
        <f>+D88-H88</f>
        <v>79049.18999999993</v>
      </c>
      <c r="M88" s="17"/>
      <c r="N88" s="32">
        <f>IF(H88=0,0,L88/H88)</f>
        <v>-1.8966014137922826</v>
      </c>
      <c r="O88" s="28"/>
      <c r="P88" s="31">
        <f>SUM(P85:P87)</f>
        <v>-43705.099999999919</v>
      </c>
      <c r="Q88" s="15"/>
      <c r="R88" s="32">
        <f>IF(P$12=0,0,P88/P$12)</f>
        <v>-2.858774551301458E-2</v>
      </c>
      <c r="S88" s="15"/>
      <c r="T88" s="31">
        <f>SUM(T85:T87)</f>
        <v>-369263.90999999992</v>
      </c>
      <c r="U88" s="15"/>
      <c r="V88" s="32">
        <f>IF(T$12=0,0,T88/T$12)</f>
        <v>0</v>
      </c>
      <c r="W88" s="17"/>
      <c r="X88" s="31">
        <f>+P88-T88</f>
        <v>325558.81</v>
      </c>
      <c r="Y88" s="17"/>
      <c r="Z88" s="32">
        <f>IF(T88=0,0,X88/T88)</f>
        <v>-0.88164264414575488</v>
      </c>
    </row>
    <row r="89" spans="1:26" ht="15" customHeight="1" x14ac:dyDescent="0.3">
      <c r="A89" s="10"/>
      <c r="C89" s="10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6">
        <v>44663.03859679398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7" t="s">
        <v>297</v>
      </c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A92" s="10"/>
      <c r="B92" s="58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53AAC-7B42-B2AC-4E6F-6F1B8E573072}">
  <sheetPr>
    <tabColor rgb="FFFFC000"/>
    <outlinePr summaryBelow="0" summaryRight="0"/>
  </sheetPr>
  <dimension ref="A2:Z7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">
        <v>313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27907</v>
      </c>
      <c r="E12" s="5"/>
      <c r="F12" s="13"/>
      <c r="G12" s="5"/>
      <c r="H12" s="5">
        <f>SUM(OSRRefH13x_0)</f>
        <v>51625</v>
      </c>
      <c r="I12" s="5"/>
      <c r="J12" s="13"/>
      <c r="K12" s="5"/>
      <c r="L12" s="5">
        <f>+D12-H12</f>
        <v>-23718</v>
      </c>
      <c r="M12" s="5"/>
      <c r="N12" s="13">
        <f>IF(H12=0,0,L12/H12)</f>
        <v>-0.45942857142857141</v>
      </c>
      <c r="O12" s="11"/>
      <c r="P12" s="5">
        <f>SUM(OSRRefP13x_0)</f>
        <v>374405</v>
      </c>
      <c r="Q12" s="5"/>
      <c r="R12" s="13"/>
      <c r="S12" s="5"/>
      <c r="T12" s="5">
        <f>SUM(OSRRefT13x_0)</f>
        <v>443879</v>
      </c>
      <c r="U12" s="5"/>
      <c r="V12" s="13"/>
      <c r="W12" s="5"/>
      <c r="X12" s="5">
        <f>+P12-T12</f>
        <v>-69474</v>
      </c>
      <c r="Y12" s="5"/>
      <c r="Z12" s="13">
        <f>IF(T12=0,0,X12/T12)</f>
        <v>-0.15651562700645896</v>
      </c>
    </row>
    <row r="13" spans="1:26" s="69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--27907</f>
        <v>27907</v>
      </c>
      <c r="E13" s="3"/>
      <c r="F13" s="20"/>
      <c r="G13" s="3"/>
      <c r="H13" s="3">
        <f>--51625</f>
        <v>51625</v>
      </c>
      <c r="I13" s="3"/>
      <c r="J13" s="20"/>
      <c r="K13" s="3"/>
      <c r="L13" s="3">
        <f>+D13-H13</f>
        <v>-23718</v>
      </c>
      <c r="M13" s="3"/>
      <c r="N13" s="20">
        <f>IF(H13=0,0,L13/H13)</f>
        <v>-0.45942857142857141</v>
      </c>
      <c r="O13" s="12"/>
      <c r="P13" s="3">
        <f>--374405</f>
        <v>374405</v>
      </c>
      <c r="Q13" s="3"/>
      <c r="R13" s="20"/>
      <c r="S13" s="3"/>
      <c r="T13" s="3">
        <f>--443879</f>
        <v>443879</v>
      </c>
      <c r="U13" s="3"/>
      <c r="V13" s="20"/>
      <c r="W13" s="3"/>
      <c r="X13" s="3">
        <f>+P13-T13</f>
        <v>-69474</v>
      </c>
      <c r="Y13" s="3"/>
      <c r="Z13" s="20">
        <f>IF(T13=0,0,X13/T13)</f>
        <v>-0.15651562700645896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8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7" t="s">
        <v>288</v>
      </c>
      <c r="C17" s="27"/>
      <c r="D17" s="22">
        <f>D12-D15</f>
        <v>27907</v>
      </c>
      <c r="E17" s="15"/>
      <c r="F17" s="21">
        <f>IF(D$12=0,0,D17/D$12)</f>
        <v>1</v>
      </c>
      <c r="G17" s="15"/>
      <c r="H17" s="22">
        <f>H12-H15</f>
        <v>51625</v>
      </c>
      <c r="I17" s="15"/>
      <c r="J17" s="21">
        <f>IF(H$12=0,0,H17/H$12)</f>
        <v>1</v>
      </c>
      <c r="K17" s="17"/>
      <c r="L17" s="22">
        <f>+D17-H17</f>
        <v>-23718</v>
      </c>
      <c r="M17" s="17"/>
      <c r="N17" s="21">
        <f>IF(H17=0,0,L17/H17)</f>
        <v>-0.45942857142857141</v>
      </c>
      <c r="O17" s="28"/>
      <c r="P17" s="22">
        <f>P12-P15</f>
        <v>374405</v>
      </c>
      <c r="Q17" s="15"/>
      <c r="R17" s="21">
        <f>IF(P$12=0,0,P17/P$12)</f>
        <v>1</v>
      </c>
      <c r="S17" s="15"/>
      <c r="T17" s="22">
        <f>T12-T15</f>
        <v>443879</v>
      </c>
      <c r="U17" s="15"/>
      <c r="V17" s="21">
        <f>IF(T$12=0,0,T17/T$12)</f>
        <v>1</v>
      </c>
      <c r="W17" s="17"/>
      <c r="X17" s="22">
        <f>+P17-T17</f>
        <v>-69474</v>
      </c>
      <c r="Y17" s="17"/>
      <c r="Z17" s="21">
        <f>IF(T17=0,0,X17/T17)</f>
        <v>-0.15651562700645896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8" t="s">
        <v>289</v>
      </c>
      <c r="C19" s="11"/>
      <c r="D19" s="23" cm="1">
        <f t="array" ref="D19">SUM(OSRRefD22x_0)</f>
        <v>27442.799999999999</v>
      </c>
      <c r="E19" s="23"/>
      <c r="F19" s="35">
        <f t="shared" ref="F19:F59" si="0">IF(D$12=0,0,D19/D$12)</f>
        <v>0.98336618052818292</v>
      </c>
      <c r="G19" s="23"/>
      <c r="H19" s="23" cm="1">
        <f t="array" ref="H19">SUM(OSRRefH22x_0)</f>
        <v>41256.259999999995</v>
      </c>
      <c r="I19" s="23"/>
      <c r="J19" s="35">
        <f t="shared" ref="J19:J59" si="1">IF(H$12=0,0,H19/H$12)</f>
        <v>0.79915273607748172</v>
      </c>
      <c r="K19" s="5"/>
      <c r="L19" s="23">
        <f t="shared" ref="L19:L59" si="2">+D19-H19</f>
        <v>-13813.459999999995</v>
      </c>
      <c r="M19" s="5"/>
      <c r="N19" s="35">
        <f t="shared" ref="N19:N59" si="3">IF(H19=0,0,L19/H19)</f>
        <v>-0.33482094596068568</v>
      </c>
      <c r="O19" s="11"/>
      <c r="P19" s="23" cm="1">
        <f t="array" ref="P19">SUM(OSRRefP22x_0)</f>
        <v>340728.66</v>
      </c>
      <c r="Q19" s="23"/>
      <c r="R19" s="35">
        <f t="shared" ref="R19:R59" si="4">IF(P$12=0,0,P19/P$12)</f>
        <v>0.91005371188953132</v>
      </c>
      <c r="S19" s="23"/>
      <c r="T19" s="23" cm="1">
        <f t="array" ref="T19">SUM(OSRRefT22x_0)</f>
        <v>368137.02</v>
      </c>
      <c r="U19" s="23"/>
      <c r="V19" s="35">
        <f t="shared" ref="V19:V59" si="5">IF(T$12=0,0,T19/T$12)</f>
        <v>0.82936345265263733</v>
      </c>
      <c r="W19" s="5"/>
      <c r="X19" s="23">
        <f t="shared" ref="X19:X59" si="6">+P19-T19</f>
        <v>-27408.360000000044</v>
      </c>
      <c r="Y19" s="5"/>
      <c r="Z19" s="35">
        <f t="shared" ref="Z19:Z59" si="7">IF(T19=0,0,X19/T19)</f>
        <v>-7.4451518078785014E-2</v>
      </c>
    </row>
    <row r="20" spans="1:26" s="68" customFormat="1" ht="15" customHeight="1" outlineLevel="1" collapsed="1" x14ac:dyDescent="0.3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3508.48</v>
      </c>
      <c r="E20" s="2"/>
      <c r="F20" s="6">
        <f t="shared" si="0"/>
        <v>0.12572042856630952</v>
      </c>
      <c r="G20" s="2"/>
      <c r="H20" s="2">
        <f>SUM(OSRRefH22_0x_0)</f>
        <v>4742.75</v>
      </c>
      <c r="I20" s="2"/>
      <c r="J20" s="6">
        <f t="shared" si="1"/>
        <v>9.1869249394673128E-2</v>
      </c>
      <c r="K20" s="2"/>
      <c r="L20" s="2">
        <f t="shared" si="2"/>
        <v>-1234.27</v>
      </c>
      <c r="M20" s="2"/>
      <c r="N20" s="6">
        <f t="shared" si="3"/>
        <v>-0.26024352959780717</v>
      </c>
      <c r="O20" s="14"/>
      <c r="P20" s="2">
        <f>SUM(OSRRefP22_0x_0)</f>
        <v>37123.020000000004</v>
      </c>
      <c r="Q20" s="2"/>
      <c r="R20" s="6">
        <f t="shared" si="4"/>
        <v>9.9152041238765518E-2</v>
      </c>
      <c r="S20" s="2"/>
      <c r="T20" s="2">
        <f>SUM(OSRRefT22_0x_0)</f>
        <v>38502.97</v>
      </c>
      <c r="U20" s="2"/>
      <c r="V20" s="6">
        <f t="shared" si="5"/>
        <v>8.6742040060466929E-2</v>
      </c>
      <c r="W20" s="2"/>
      <c r="X20" s="2">
        <f t="shared" si="6"/>
        <v>-1379.9499999999971</v>
      </c>
      <c r="Y20" s="2"/>
      <c r="Z20" s="6">
        <f t="shared" si="7"/>
        <v>-3.5840092335734021E-2</v>
      </c>
    </row>
    <row r="21" spans="1:26" s="69" customFormat="1" ht="15" hidden="1" customHeight="1" outlineLevel="2" x14ac:dyDescent="0.3">
      <c r="A21" s="25"/>
      <c r="B21" s="12" t="str">
        <f>CONCATENATE("          ","6111"," - ","F.I.C.A.")</f>
        <v xml:space="preserve">          6111 - F.I.C.A.</v>
      </c>
      <c r="C21" s="12"/>
      <c r="D21" s="8">
        <v>795.89</v>
      </c>
      <c r="E21" s="3"/>
      <c r="F21" s="7">
        <f t="shared" si="0"/>
        <v>2.8519367900526751E-2</v>
      </c>
      <c r="G21" s="3"/>
      <c r="H21" s="8">
        <v>964.58</v>
      </c>
      <c r="I21" s="3"/>
      <c r="J21" s="7">
        <f t="shared" si="1"/>
        <v>1.8684358353510896E-2</v>
      </c>
      <c r="K21" s="3"/>
      <c r="L21" s="8">
        <f t="shared" si="2"/>
        <v>-168.69000000000005</v>
      </c>
      <c r="M21" s="3"/>
      <c r="N21" s="7">
        <f t="shared" si="3"/>
        <v>-0.17488440564805413</v>
      </c>
      <c r="O21" s="12"/>
      <c r="P21" s="8">
        <v>9174.9500000000007</v>
      </c>
      <c r="Q21" s="3"/>
      <c r="R21" s="7">
        <f t="shared" si="4"/>
        <v>2.4505415258877422E-2</v>
      </c>
      <c r="S21" s="3"/>
      <c r="T21" s="8">
        <v>9081.65</v>
      </c>
      <c r="U21" s="3"/>
      <c r="V21" s="7">
        <f t="shared" si="5"/>
        <v>2.0459742407277659E-2</v>
      </c>
      <c r="W21" s="3"/>
      <c r="X21" s="8">
        <f t="shared" si="6"/>
        <v>93.300000000001091</v>
      </c>
      <c r="Y21" s="3"/>
      <c r="Z21" s="7">
        <f t="shared" si="7"/>
        <v>1.0273463522597887E-2</v>
      </c>
    </row>
    <row r="22" spans="1:26" s="69" customFormat="1" ht="15" hidden="1" customHeight="1" outlineLevel="2" x14ac:dyDescent="0.3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170.03</v>
      </c>
      <c r="E22" s="3"/>
      <c r="F22" s="7">
        <f t="shared" si="0"/>
        <v>6.0927365893861758E-3</v>
      </c>
      <c r="G22" s="3"/>
      <c r="H22" s="8">
        <v>34.200000000000003</v>
      </c>
      <c r="I22" s="3"/>
      <c r="J22" s="7">
        <f t="shared" si="1"/>
        <v>6.6246973365617439E-4</v>
      </c>
      <c r="K22" s="3"/>
      <c r="L22" s="8">
        <f t="shared" si="2"/>
        <v>135.82999999999998</v>
      </c>
      <c r="M22" s="3"/>
      <c r="N22" s="7">
        <f t="shared" si="3"/>
        <v>3.9716374269005841</v>
      </c>
      <c r="O22" s="12"/>
      <c r="P22" s="8">
        <v>1507.44</v>
      </c>
      <c r="Q22" s="3"/>
      <c r="R22" s="7">
        <f t="shared" si="4"/>
        <v>4.0262282822077699E-3</v>
      </c>
      <c r="S22" s="3"/>
      <c r="T22" s="8">
        <v>768.08</v>
      </c>
      <c r="U22" s="3"/>
      <c r="V22" s="7">
        <f t="shared" si="5"/>
        <v>1.730381477835176E-3</v>
      </c>
      <c r="W22" s="3"/>
      <c r="X22" s="8">
        <f t="shared" si="6"/>
        <v>739.36</v>
      </c>
      <c r="Y22" s="3"/>
      <c r="Z22" s="7">
        <f t="shared" si="7"/>
        <v>0.96260806166024371</v>
      </c>
    </row>
    <row r="23" spans="1:26" s="69" customFormat="1" ht="15" hidden="1" customHeight="1" outlineLevel="2" x14ac:dyDescent="0.3">
      <c r="A23" s="25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3.4568387859676787E-2</v>
      </c>
      <c r="G23" s="3"/>
      <c r="H23" s="8">
        <v>1207.95</v>
      </c>
      <c r="I23" s="3"/>
      <c r="J23" s="7">
        <f t="shared" si="1"/>
        <v>2.3398547215496369E-2</v>
      </c>
      <c r="K23" s="3"/>
      <c r="L23" s="8">
        <f t="shared" si="2"/>
        <v>-243.25</v>
      </c>
      <c r="M23" s="3"/>
      <c r="N23" s="7">
        <f t="shared" si="3"/>
        <v>-0.20137422906577257</v>
      </c>
      <c r="O23" s="12"/>
      <c r="P23" s="8">
        <v>9220.2000000000007</v>
      </c>
      <c r="Q23" s="3"/>
      <c r="R23" s="7">
        <f t="shared" si="4"/>
        <v>2.4626273687584303E-2</v>
      </c>
      <c r="S23" s="3"/>
      <c r="T23" s="8">
        <v>11026.85</v>
      </c>
      <c r="U23" s="3"/>
      <c r="V23" s="7">
        <f t="shared" si="5"/>
        <v>2.484201775709146E-2</v>
      </c>
      <c r="W23" s="3"/>
      <c r="X23" s="8">
        <f t="shared" si="6"/>
        <v>-1806.6499999999996</v>
      </c>
      <c r="Y23" s="3"/>
      <c r="Z23" s="7">
        <f t="shared" si="7"/>
        <v>-0.16384098813351045</v>
      </c>
    </row>
    <row r="24" spans="1:26" s="69" customFormat="1" ht="15" hidden="1" customHeight="1" outlineLevel="2" x14ac:dyDescent="0.3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33.64</v>
      </c>
      <c r="E24" s="3"/>
      <c r="F24" s="7">
        <f t="shared" si="0"/>
        <v>1.2054323288063927E-3</v>
      </c>
      <c r="G24" s="3"/>
      <c r="H24" s="8">
        <v>26.94</v>
      </c>
      <c r="I24" s="3"/>
      <c r="J24" s="7">
        <f t="shared" si="1"/>
        <v>5.2184019370460051E-4</v>
      </c>
      <c r="K24" s="3"/>
      <c r="L24" s="8">
        <f t="shared" si="2"/>
        <v>6.6999999999999993</v>
      </c>
      <c r="M24" s="3"/>
      <c r="N24" s="7">
        <f t="shared" si="3"/>
        <v>0.2487008166295471</v>
      </c>
      <c r="O24" s="12"/>
      <c r="P24" s="8">
        <v>298.2</v>
      </c>
      <c r="Q24" s="3"/>
      <c r="R24" s="7">
        <f t="shared" si="4"/>
        <v>7.9646372243960409E-4</v>
      </c>
      <c r="S24" s="3"/>
      <c r="T24" s="8">
        <v>346.98</v>
      </c>
      <c r="U24" s="3"/>
      <c r="V24" s="7">
        <f t="shared" si="5"/>
        <v>7.8169951721077146E-4</v>
      </c>
      <c r="W24" s="3"/>
      <c r="X24" s="8">
        <f t="shared" si="6"/>
        <v>-48.78000000000003</v>
      </c>
      <c r="Y24" s="3"/>
      <c r="Z24" s="7">
        <f t="shared" si="7"/>
        <v>-0.14058447172747718</v>
      </c>
    </row>
    <row r="25" spans="1:26" s="69" customFormat="1" ht="15" hidden="1" customHeight="1" outlineLevel="2" x14ac:dyDescent="0.3">
      <c r="A25" s="25"/>
      <c r="B25" s="12" t="str">
        <f>CONCATENATE("          ","6115"," - ","P.E.R.S.")</f>
        <v xml:space="preserve">          6115 - P.E.R.S.</v>
      </c>
      <c r="C25" s="12"/>
      <c r="D25" s="8">
        <v>630.69000000000005</v>
      </c>
      <c r="E25" s="3"/>
      <c r="F25" s="7">
        <f t="shared" si="0"/>
        <v>2.259970616691153E-2</v>
      </c>
      <c r="G25" s="3"/>
      <c r="H25" s="8">
        <v>640.35</v>
      </c>
      <c r="I25" s="3"/>
      <c r="J25" s="7">
        <f t="shared" si="1"/>
        <v>1.2403874092009685E-2</v>
      </c>
      <c r="K25" s="3"/>
      <c r="L25" s="8">
        <f t="shared" si="2"/>
        <v>-9.6599999999999682</v>
      </c>
      <c r="M25" s="3"/>
      <c r="N25" s="7">
        <f t="shared" si="3"/>
        <v>-1.5085500117123398E-2</v>
      </c>
      <c r="O25" s="12"/>
      <c r="P25" s="8">
        <v>5731.11</v>
      </c>
      <c r="Q25" s="3"/>
      <c r="R25" s="7">
        <f t="shared" si="4"/>
        <v>1.5307247499365659E-2</v>
      </c>
      <c r="S25" s="3"/>
      <c r="T25" s="8">
        <v>7060.93</v>
      </c>
      <c r="U25" s="3"/>
      <c r="V25" s="7">
        <f t="shared" si="5"/>
        <v>1.5907330601357579E-2</v>
      </c>
      <c r="W25" s="3"/>
      <c r="X25" s="8">
        <f t="shared" si="6"/>
        <v>-1329.8200000000006</v>
      </c>
      <c r="Y25" s="3"/>
      <c r="Z25" s="7">
        <f t="shared" si="7"/>
        <v>-0.18833496437438135</v>
      </c>
    </row>
    <row r="26" spans="1:26" s="69" customFormat="1" ht="15" hidden="1" customHeight="1" outlineLevel="2" x14ac:dyDescent="0.3">
      <c r="A26" s="25"/>
      <c r="B26" s="12" t="str">
        <f>CONCATENATE("          ","6117"," - ","RETIREMENT STAFF HOURLY")</f>
        <v xml:space="preserve">          6117 - RETIREMENT STAFF HOURLY</v>
      </c>
      <c r="C26" s="12"/>
      <c r="D26" s="8"/>
      <c r="E26" s="3"/>
      <c r="F26" s="7">
        <f t="shared" si="0"/>
        <v>0</v>
      </c>
      <c r="G26" s="3"/>
      <c r="H26" s="8">
        <v>116.92</v>
      </c>
      <c r="I26" s="3"/>
      <c r="J26" s="7">
        <f t="shared" si="1"/>
        <v>2.2647941888619856E-3</v>
      </c>
      <c r="K26" s="3"/>
      <c r="L26" s="8">
        <f t="shared" si="2"/>
        <v>-116.92</v>
      </c>
      <c r="M26" s="3"/>
      <c r="N26" s="7">
        <f t="shared" si="3"/>
        <v>-1</v>
      </c>
      <c r="O26" s="12"/>
      <c r="P26" s="8">
        <v>215.15</v>
      </c>
      <c r="Q26" s="3"/>
      <c r="R26" s="7">
        <f t="shared" si="4"/>
        <v>5.7464510356432209E-4</v>
      </c>
      <c r="S26" s="3"/>
      <c r="T26" s="8">
        <v>814.78</v>
      </c>
      <c r="U26" s="3"/>
      <c r="V26" s="7">
        <f t="shared" si="5"/>
        <v>1.8355903297970842E-3</v>
      </c>
      <c r="W26" s="3"/>
      <c r="X26" s="8">
        <f t="shared" si="6"/>
        <v>-599.63</v>
      </c>
      <c r="Y26" s="3"/>
      <c r="Z26" s="7">
        <f t="shared" si="7"/>
        <v>-0.73594099020594517</v>
      </c>
    </row>
    <row r="27" spans="1:26" s="69" customFormat="1" ht="15" hidden="1" customHeight="1" outlineLevel="2" x14ac:dyDescent="0.3">
      <c r="A27" s="25"/>
      <c r="B27" s="12" t="str">
        <f>CONCATENATE("          ","6118"," - ","VACATION")</f>
        <v xml:space="preserve">          6118 - VACATION</v>
      </c>
      <c r="C27" s="12"/>
      <c r="D27" s="8">
        <v>549.65</v>
      </c>
      <c r="E27" s="3"/>
      <c r="F27" s="7">
        <f t="shared" si="0"/>
        <v>1.969577525352062E-2</v>
      </c>
      <c r="G27" s="3"/>
      <c r="H27" s="8">
        <v>520.02</v>
      </c>
      <c r="I27" s="3"/>
      <c r="J27" s="7">
        <f t="shared" si="1"/>
        <v>1.0073026634382566E-2</v>
      </c>
      <c r="K27" s="3"/>
      <c r="L27" s="8">
        <f t="shared" si="2"/>
        <v>29.629999999999995</v>
      </c>
      <c r="M27" s="3"/>
      <c r="N27" s="7">
        <f t="shared" si="3"/>
        <v>5.697857774700972E-2</v>
      </c>
      <c r="O27" s="12"/>
      <c r="P27" s="8">
        <v>5901.04</v>
      </c>
      <c r="Q27" s="3"/>
      <c r="R27" s="7">
        <f t="shared" si="4"/>
        <v>1.5761114301358153E-2</v>
      </c>
      <c r="S27" s="3"/>
      <c r="T27" s="8">
        <v>4940.1899999999996</v>
      </c>
      <c r="U27" s="3"/>
      <c r="V27" s="7">
        <f t="shared" si="5"/>
        <v>1.112958711720987E-2</v>
      </c>
      <c r="W27" s="3"/>
      <c r="X27" s="8">
        <f t="shared" si="6"/>
        <v>960.85000000000036</v>
      </c>
      <c r="Y27" s="3"/>
      <c r="Z27" s="7">
        <f t="shared" si="7"/>
        <v>0.19449656794576736</v>
      </c>
    </row>
    <row r="28" spans="1:26" s="69" customFormat="1" ht="15" hidden="1" customHeight="1" outlineLevel="2" x14ac:dyDescent="0.3">
      <c r="A28" s="25"/>
      <c r="B28" s="12" t="str">
        <f>CONCATENATE("          ","6119"," - ","SICK LEAVE")</f>
        <v xml:space="preserve">          6119 - SICK LEAVE</v>
      </c>
      <c r="C28" s="12"/>
      <c r="D28" s="8">
        <v>290.13</v>
      </c>
      <c r="E28" s="3"/>
      <c r="F28" s="7">
        <f t="shared" si="0"/>
        <v>1.0396316336403052E-2</v>
      </c>
      <c r="G28" s="3"/>
      <c r="H28" s="8">
        <v>299.26</v>
      </c>
      <c r="I28" s="3"/>
      <c r="J28" s="7">
        <f t="shared" si="1"/>
        <v>5.7968038740920094E-3</v>
      </c>
      <c r="K28" s="3"/>
      <c r="L28" s="8">
        <f t="shared" si="2"/>
        <v>-9.1299999999999955</v>
      </c>
      <c r="M28" s="3"/>
      <c r="N28" s="7">
        <f t="shared" si="3"/>
        <v>-3.050858785003006E-2</v>
      </c>
      <c r="O28" s="12"/>
      <c r="P28" s="8">
        <v>4498.68</v>
      </c>
      <c r="Q28" s="3"/>
      <c r="R28" s="7">
        <f t="shared" si="4"/>
        <v>1.2015544664200533E-2</v>
      </c>
      <c r="S28" s="3"/>
      <c r="T28" s="8">
        <v>2842.98</v>
      </c>
      <c r="U28" s="3"/>
      <c r="V28" s="7">
        <f t="shared" si="5"/>
        <v>6.4048535749607442E-3</v>
      </c>
      <c r="W28" s="3"/>
      <c r="X28" s="8">
        <f t="shared" si="6"/>
        <v>1655.7000000000003</v>
      </c>
      <c r="Y28" s="3"/>
      <c r="Z28" s="7">
        <f t="shared" si="7"/>
        <v>0.58238186691429428</v>
      </c>
    </row>
    <row r="29" spans="1:26" s="69" customFormat="1" ht="15" hidden="1" customHeight="1" outlineLevel="2" x14ac:dyDescent="0.3">
      <c r="A29" s="25"/>
      <c r="B29" s="12" t="str">
        <f>CONCATENATE("          ","6156"," - ","EMPLOYEE MEALS")</f>
        <v xml:space="preserve">          6156 - EMPLOYEE MEALS</v>
      </c>
      <c r="C29" s="12"/>
      <c r="D29" s="8">
        <v>73.75</v>
      </c>
      <c r="E29" s="3"/>
      <c r="F29" s="7">
        <f t="shared" si="0"/>
        <v>2.6427061310782241E-3</v>
      </c>
      <c r="G29" s="3"/>
      <c r="H29" s="8">
        <v>932.53</v>
      </c>
      <c r="I29" s="3"/>
      <c r="J29" s="7">
        <f t="shared" si="1"/>
        <v>1.8063535108958837E-2</v>
      </c>
      <c r="K29" s="3"/>
      <c r="L29" s="8">
        <f t="shared" si="2"/>
        <v>-858.78</v>
      </c>
      <c r="M29" s="3"/>
      <c r="N29" s="7">
        <f t="shared" si="3"/>
        <v>-0.9209140724695184</v>
      </c>
      <c r="O29" s="12"/>
      <c r="P29" s="8">
        <v>576.25</v>
      </c>
      <c r="Q29" s="3"/>
      <c r="R29" s="7">
        <f t="shared" si="4"/>
        <v>1.5391087191677462E-3</v>
      </c>
      <c r="S29" s="3"/>
      <c r="T29" s="8">
        <v>1620.53</v>
      </c>
      <c r="U29" s="3"/>
      <c r="V29" s="7">
        <f t="shared" si="5"/>
        <v>3.6508372777265875E-3</v>
      </c>
      <c r="W29" s="3"/>
      <c r="X29" s="8">
        <f t="shared" si="6"/>
        <v>-1044.28</v>
      </c>
      <c r="Y29" s="3"/>
      <c r="Z29" s="7">
        <f t="shared" si="7"/>
        <v>-0.64440645961506415</v>
      </c>
    </row>
    <row r="30" spans="1:26" s="68" customFormat="1" ht="15" customHeight="1" outlineLevel="1" collapsed="1" x14ac:dyDescent="0.3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12205.9</v>
      </c>
      <c r="E30" s="2"/>
      <c r="F30" s="6">
        <f t="shared" si="0"/>
        <v>0.43737771885190097</v>
      </c>
      <c r="G30" s="2"/>
      <c r="H30" s="2">
        <f>SUM(OSRRefH22_1x_0)</f>
        <v>12967.17</v>
      </c>
      <c r="I30" s="2"/>
      <c r="J30" s="6">
        <f t="shared" si="1"/>
        <v>0.2511800484261501</v>
      </c>
      <c r="K30" s="2"/>
      <c r="L30" s="2">
        <f t="shared" si="2"/>
        <v>-761.27000000000044</v>
      </c>
      <c r="M30" s="2"/>
      <c r="N30" s="6">
        <f t="shared" si="3"/>
        <v>-5.8707489760680277E-2</v>
      </c>
      <c r="O30" s="14"/>
      <c r="P30" s="2">
        <f>SUM(OSRRefP22_1x_0)</f>
        <v>129265.06999999999</v>
      </c>
      <c r="Q30" s="2"/>
      <c r="R30" s="6">
        <f t="shared" si="4"/>
        <v>0.34525465738972499</v>
      </c>
      <c r="S30" s="2"/>
      <c r="T30" s="2">
        <f>SUM(OSRRefT22_1x_0)</f>
        <v>128147.72</v>
      </c>
      <c r="U30" s="2"/>
      <c r="V30" s="6">
        <f t="shared" si="5"/>
        <v>0.2886996681528074</v>
      </c>
      <c r="W30" s="2"/>
      <c r="X30" s="2">
        <f t="shared" si="6"/>
        <v>1117.3499999999913</v>
      </c>
      <c r="Y30" s="2"/>
      <c r="Z30" s="6">
        <f t="shared" si="7"/>
        <v>8.71923433362678E-3</v>
      </c>
    </row>
    <row r="31" spans="1:26" s="69" customFormat="1" ht="15" hidden="1" customHeight="1" outlineLevel="2" x14ac:dyDescent="0.3">
      <c r="A31" s="25"/>
      <c r="B31" s="12" t="str">
        <f>CONCATENATE("          ","6001"," - ","ADMINISTRATIVE SALARIES")</f>
        <v xml:space="preserve">          6001 - ADMINISTRATIVE SALARIES</v>
      </c>
      <c r="C31" s="12"/>
      <c r="D31" s="8">
        <v>3959.53</v>
      </c>
      <c r="E31" s="3"/>
      <c r="F31" s="7">
        <f t="shared" si="0"/>
        <v>0.14188304009746661</v>
      </c>
      <c r="G31" s="3"/>
      <c r="H31" s="8">
        <v>4204.72</v>
      </c>
      <c r="I31" s="3"/>
      <c r="J31" s="7">
        <f t="shared" si="1"/>
        <v>8.14473607748184E-2</v>
      </c>
      <c r="K31" s="3"/>
      <c r="L31" s="8">
        <f t="shared" si="2"/>
        <v>-245.19000000000005</v>
      </c>
      <c r="M31" s="3"/>
      <c r="N31" s="7">
        <f t="shared" si="3"/>
        <v>-5.8313038680340198E-2</v>
      </c>
      <c r="O31" s="12"/>
      <c r="P31" s="8">
        <v>42077.1</v>
      </c>
      <c r="Q31" s="3"/>
      <c r="R31" s="7">
        <f t="shared" si="4"/>
        <v>0.1123839158130901</v>
      </c>
      <c r="S31" s="3"/>
      <c r="T31" s="8">
        <v>39323.050000000003</v>
      </c>
      <c r="U31" s="3"/>
      <c r="V31" s="7">
        <f t="shared" si="5"/>
        <v>8.8589570581171909E-2</v>
      </c>
      <c r="W31" s="3"/>
      <c r="X31" s="8">
        <f t="shared" si="6"/>
        <v>2754.0499999999956</v>
      </c>
      <c r="Y31" s="3"/>
      <c r="Z31" s="7">
        <f t="shared" si="7"/>
        <v>7.0036530737061231E-2</v>
      </c>
    </row>
    <row r="32" spans="1:26" s="69" customFormat="1" ht="15" hidden="1" customHeight="1" outlineLevel="2" x14ac:dyDescent="0.3">
      <c r="A32" s="25"/>
      <c r="B32" s="12" t="str">
        <f>CONCATENATE("          ","6002"," - ","STAFF SALARIES")</f>
        <v xml:space="preserve">          6002 - STAFF SALARIES</v>
      </c>
      <c r="C32" s="12"/>
      <c r="D32" s="8">
        <v>1632</v>
      </c>
      <c r="E32" s="3"/>
      <c r="F32" s="7">
        <f t="shared" si="0"/>
        <v>5.8479951266707277E-2</v>
      </c>
      <c r="G32" s="3"/>
      <c r="H32" s="8">
        <v>2282.3000000000002</v>
      </c>
      <c r="I32" s="3"/>
      <c r="J32" s="7">
        <f t="shared" si="1"/>
        <v>4.4209200968523009E-2</v>
      </c>
      <c r="K32" s="3"/>
      <c r="L32" s="8">
        <f t="shared" si="2"/>
        <v>-650.30000000000018</v>
      </c>
      <c r="M32" s="3"/>
      <c r="N32" s="7">
        <f t="shared" si="3"/>
        <v>-0.28493186697629591</v>
      </c>
      <c r="O32" s="12"/>
      <c r="P32" s="8">
        <v>16584.57</v>
      </c>
      <c r="Q32" s="3"/>
      <c r="R32" s="7">
        <f t="shared" si="4"/>
        <v>4.4295802673575406E-2</v>
      </c>
      <c r="S32" s="3"/>
      <c r="T32" s="8">
        <v>21111.69</v>
      </c>
      <c r="U32" s="3"/>
      <c r="V32" s="7">
        <f t="shared" si="5"/>
        <v>4.7561813016610381E-2</v>
      </c>
      <c r="W32" s="3"/>
      <c r="X32" s="8">
        <f t="shared" si="6"/>
        <v>-4527.119999999999</v>
      </c>
      <c r="Y32" s="3"/>
      <c r="Z32" s="7">
        <f t="shared" si="7"/>
        <v>-0.21443664623722683</v>
      </c>
    </row>
    <row r="33" spans="1:26" s="69" customFormat="1" ht="15" hidden="1" customHeight="1" outlineLevel="2" x14ac:dyDescent="0.3">
      <c r="A33" s="25"/>
      <c r="B33" s="12" t="str">
        <f>CONCATENATE("          ","6004"," - ","STAFF HOURLY")</f>
        <v xml:space="preserve">          6004 - STAFF HOURLY</v>
      </c>
      <c r="C33" s="12"/>
      <c r="D33" s="8">
        <v>343.23</v>
      </c>
      <c r="E33" s="3"/>
      <c r="F33" s="7">
        <f t="shared" si="0"/>
        <v>1.2299064750779375E-2</v>
      </c>
      <c r="G33" s="3"/>
      <c r="H33" s="8"/>
      <c r="I33" s="3"/>
      <c r="J33" s="7">
        <f t="shared" si="1"/>
        <v>0</v>
      </c>
      <c r="K33" s="3"/>
      <c r="L33" s="8">
        <f t="shared" si="2"/>
        <v>343.23</v>
      </c>
      <c r="M33" s="3"/>
      <c r="N33" s="7">
        <f t="shared" si="3"/>
        <v>0</v>
      </c>
      <c r="O33" s="12"/>
      <c r="P33" s="8">
        <v>10840.47</v>
      </c>
      <c r="Q33" s="3"/>
      <c r="R33" s="7">
        <f t="shared" si="4"/>
        <v>2.8953860124731237E-2</v>
      </c>
      <c r="S33" s="3"/>
      <c r="T33" s="8"/>
      <c r="U33" s="3"/>
      <c r="V33" s="7">
        <f t="shared" si="5"/>
        <v>0</v>
      </c>
      <c r="W33" s="3"/>
      <c r="X33" s="8">
        <f t="shared" si="6"/>
        <v>10840.47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5"/>
      <c r="B34" s="12" t="str">
        <f>CONCATENATE("          ","6005"," - ","TEMPORARY WAGES-HOURLY")</f>
        <v xml:space="preserve">          6005 - TEMPORARY WAGES-HOURLY</v>
      </c>
      <c r="C34" s="12"/>
      <c r="D34" s="8">
        <v>2736.04</v>
      </c>
      <c r="E34" s="3"/>
      <c r="F34" s="7">
        <f t="shared" si="0"/>
        <v>9.8041351632206966E-2</v>
      </c>
      <c r="G34" s="3"/>
      <c r="H34" s="8">
        <v>6197.15</v>
      </c>
      <c r="I34" s="3"/>
      <c r="J34" s="7">
        <f t="shared" si="1"/>
        <v>0.12004164648910411</v>
      </c>
      <c r="K34" s="3"/>
      <c r="L34" s="8">
        <f t="shared" si="2"/>
        <v>-3461.1099999999997</v>
      </c>
      <c r="M34" s="3"/>
      <c r="N34" s="7">
        <f t="shared" si="3"/>
        <v>-0.55850027835375937</v>
      </c>
      <c r="O34" s="12"/>
      <c r="P34" s="8">
        <v>48371.23</v>
      </c>
      <c r="Q34" s="3"/>
      <c r="R34" s="7">
        <f t="shared" si="4"/>
        <v>0.12919493596506457</v>
      </c>
      <c r="S34" s="3"/>
      <c r="T34" s="8">
        <v>57971.32</v>
      </c>
      <c r="U34" s="3"/>
      <c r="V34" s="7">
        <f t="shared" si="5"/>
        <v>0.13060162792112265</v>
      </c>
      <c r="W34" s="3"/>
      <c r="X34" s="8">
        <f t="shared" si="6"/>
        <v>-9600.0899999999965</v>
      </c>
      <c r="Y34" s="3"/>
      <c r="Z34" s="7">
        <f t="shared" si="7"/>
        <v>-0.16560067978441748</v>
      </c>
    </row>
    <row r="35" spans="1:26" s="69" customFormat="1" ht="15" hidden="1" customHeight="1" outlineLevel="2" x14ac:dyDescent="0.3">
      <c r="A35" s="25"/>
      <c r="B35" s="12" t="str">
        <f>CONCATENATE("          ","6007"," - ","STUDENT HOURLY")</f>
        <v xml:space="preserve">          6007 - STUDENT HOURLY</v>
      </c>
      <c r="C35" s="12"/>
      <c r="D35" s="8">
        <v>3535.1</v>
      </c>
      <c r="E35" s="3"/>
      <c r="F35" s="7">
        <f t="shared" si="0"/>
        <v>0.12667431110474076</v>
      </c>
      <c r="G35" s="3"/>
      <c r="H35" s="8">
        <v>283</v>
      </c>
      <c r="I35" s="3"/>
      <c r="J35" s="7">
        <f t="shared" si="1"/>
        <v>5.4818401937046001E-3</v>
      </c>
      <c r="K35" s="3"/>
      <c r="L35" s="8">
        <f t="shared" si="2"/>
        <v>3252.1</v>
      </c>
      <c r="M35" s="3"/>
      <c r="N35" s="7">
        <f t="shared" si="3"/>
        <v>11.491519434628975</v>
      </c>
      <c r="O35" s="12"/>
      <c r="P35" s="8">
        <v>11227.48</v>
      </c>
      <c r="Q35" s="3"/>
      <c r="R35" s="7">
        <f t="shared" si="4"/>
        <v>2.9987526875976549E-2</v>
      </c>
      <c r="S35" s="3"/>
      <c r="T35" s="8">
        <v>5829.78</v>
      </c>
      <c r="U35" s="3"/>
      <c r="V35" s="7">
        <f t="shared" si="5"/>
        <v>1.313371436810482E-2</v>
      </c>
      <c r="W35" s="3"/>
      <c r="X35" s="8">
        <f t="shared" si="6"/>
        <v>5397.7</v>
      </c>
      <c r="Y35" s="3"/>
      <c r="Z35" s="7">
        <f t="shared" si="7"/>
        <v>0.92588399562247636</v>
      </c>
    </row>
    <row r="36" spans="1:26" s="69" customFormat="1" ht="15" hidden="1" customHeight="1" outlineLevel="2" x14ac:dyDescent="0.3">
      <c r="A36" s="25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164.22</v>
      </c>
      <c r="Q36" s="3"/>
      <c r="R36" s="7">
        <f t="shared" si="4"/>
        <v>4.3861593728716227E-4</v>
      </c>
      <c r="S36" s="3"/>
      <c r="T36" s="8">
        <v>3911.88</v>
      </c>
      <c r="U36" s="3"/>
      <c r="V36" s="7">
        <f t="shared" si="5"/>
        <v>8.8129422657976606E-3</v>
      </c>
      <c r="W36" s="3"/>
      <c r="X36" s="8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6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138.72</v>
      </c>
      <c r="E37" s="2"/>
      <c r="F37" s="6">
        <f t="shared" si="0"/>
        <v>4.9707958576701182E-3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138.72</v>
      </c>
      <c r="M37" s="2"/>
      <c r="N37" s="6">
        <f t="shared" si="3"/>
        <v>0</v>
      </c>
      <c r="O37" s="14"/>
      <c r="P37" s="2">
        <f>SUM(OSRRefP22_2x_0)</f>
        <v>251.18</v>
      </c>
      <c r="Q37" s="2"/>
      <c r="R37" s="6">
        <f t="shared" si="4"/>
        <v>6.7087779276451967E-4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251.18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5"/>
      <c r="B38" s="12" t="str">
        <f>CONCATENATE("          ","6362"," - ","ADVERTISING EXPENSE")</f>
        <v xml:space="preserve">          6362 - ADVERTISING EXPENSE</v>
      </c>
      <c r="C38" s="12"/>
      <c r="D38" s="8">
        <v>138.72</v>
      </c>
      <c r="E38" s="3"/>
      <c r="F38" s="7">
        <f t="shared" si="0"/>
        <v>4.9707958576701182E-3</v>
      </c>
      <c r="G38" s="3"/>
      <c r="H38" s="8"/>
      <c r="I38" s="3"/>
      <c r="J38" s="7">
        <f t="shared" si="1"/>
        <v>0</v>
      </c>
      <c r="K38" s="3"/>
      <c r="L38" s="8">
        <f t="shared" si="2"/>
        <v>138.72</v>
      </c>
      <c r="M38" s="3"/>
      <c r="N38" s="7">
        <f t="shared" si="3"/>
        <v>0</v>
      </c>
      <c r="O38" s="12"/>
      <c r="P38" s="8">
        <v>251.18</v>
      </c>
      <c r="Q38" s="3"/>
      <c r="R38" s="7">
        <f t="shared" si="4"/>
        <v>6.7087779276451967E-4</v>
      </c>
      <c r="S38" s="3"/>
      <c r="T38" s="8"/>
      <c r="U38" s="3"/>
      <c r="V38" s="7">
        <f t="shared" si="5"/>
        <v>0</v>
      </c>
      <c r="W38" s="3"/>
      <c r="X38" s="8">
        <f t="shared" si="6"/>
        <v>251.18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662.05</v>
      </c>
      <c r="E39" s="2"/>
      <c r="F39" s="6">
        <f t="shared" si="0"/>
        <v>2.3723438563801196E-2</v>
      </c>
      <c r="G39" s="2"/>
      <c r="H39" s="2">
        <f>SUM(OSRRefH22_3x_0)</f>
        <v>45.38</v>
      </c>
      <c r="I39" s="2"/>
      <c r="J39" s="6">
        <f t="shared" si="1"/>
        <v>8.7903147699757876E-4</v>
      </c>
      <c r="K39" s="2"/>
      <c r="L39" s="2">
        <f t="shared" si="2"/>
        <v>616.66999999999996</v>
      </c>
      <c r="M39" s="2"/>
      <c r="N39" s="6">
        <f t="shared" si="3"/>
        <v>13.589026002644335</v>
      </c>
      <c r="O39" s="14"/>
      <c r="P39" s="2">
        <f>SUM(OSRRefP22_3x_0)</f>
        <v>3434.23</v>
      </c>
      <c r="Q39" s="2"/>
      <c r="R39" s="6">
        <f t="shared" si="4"/>
        <v>9.1725003672493699E-3</v>
      </c>
      <c r="S39" s="2"/>
      <c r="T39" s="2">
        <f>SUM(OSRRefT22_3x_0)</f>
        <v>753.27</v>
      </c>
      <c r="U39" s="2"/>
      <c r="V39" s="6">
        <f t="shared" si="5"/>
        <v>1.6970165292793757E-3</v>
      </c>
      <c r="W39" s="2"/>
      <c r="X39" s="2">
        <f t="shared" si="6"/>
        <v>2680.96</v>
      </c>
      <c r="Y39" s="2"/>
      <c r="Z39" s="6">
        <f t="shared" si="7"/>
        <v>3.5590956761851662</v>
      </c>
    </row>
    <row r="40" spans="1:26" s="69" customFormat="1" ht="15" hidden="1" customHeight="1" outlineLevel="2" x14ac:dyDescent="0.3">
      <c r="A40" s="25"/>
      <c r="B40" s="12" t="str">
        <f>CONCATENATE("          ","6381"," - ","BANK/CREDIT CARD FEES")</f>
        <v xml:space="preserve">          6381 - BANK/CREDIT CARD FEES</v>
      </c>
      <c r="C40" s="12"/>
      <c r="D40" s="8">
        <v>662.05</v>
      </c>
      <c r="E40" s="3"/>
      <c r="F40" s="7">
        <f t="shared" si="0"/>
        <v>2.3723438563801196E-2</v>
      </c>
      <c r="G40" s="3"/>
      <c r="H40" s="8">
        <v>45.38</v>
      </c>
      <c r="I40" s="3"/>
      <c r="J40" s="7">
        <f t="shared" si="1"/>
        <v>8.7903147699757876E-4</v>
      </c>
      <c r="K40" s="3"/>
      <c r="L40" s="8">
        <f t="shared" si="2"/>
        <v>616.66999999999996</v>
      </c>
      <c r="M40" s="3"/>
      <c r="N40" s="7">
        <f t="shared" si="3"/>
        <v>13.589026002644335</v>
      </c>
      <c r="O40" s="12"/>
      <c r="P40" s="8">
        <v>3434.23</v>
      </c>
      <c r="Q40" s="3"/>
      <c r="R40" s="7">
        <f t="shared" si="4"/>
        <v>9.1725003672493699E-3</v>
      </c>
      <c r="S40" s="3"/>
      <c r="T40" s="8">
        <v>753.27</v>
      </c>
      <c r="U40" s="3"/>
      <c r="V40" s="7">
        <f t="shared" si="5"/>
        <v>1.6970165292793757E-3</v>
      </c>
      <c r="W40" s="3"/>
      <c r="X40" s="8">
        <f t="shared" si="6"/>
        <v>2680.96</v>
      </c>
      <c r="Y40" s="3"/>
      <c r="Z40" s="7">
        <f t="shared" si="7"/>
        <v>3.5590956761851662</v>
      </c>
    </row>
    <row r="41" spans="1:26" s="68" customFormat="1" ht="15" customHeight="1" outlineLevel="1" collapsed="1" x14ac:dyDescent="0.3">
      <c r="A41" s="26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1.6559607911219135E-6</v>
      </c>
      <c r="S41" s="2"/>
      <c r="T41" s="2">
        <f>SUM(OSRRefT22_4x_0)</f>
        <v>2.12</v>
      </c>
      <c r="U41" s="2"/>
      <c r="V41" s="6">
        <f t="shared" si="5"/>
        <v>4.7760763631530214E-6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3">
      <c r="A42" s="25"/>
      <c r="B42" s="12" t="str">
        <f>CONCATENATE("          ","6305"," - ","FREIGHT OUT")</f>
        <v xml:space="preserve">          6305 - FREIGHT OUT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0.62</v>
      </c>
      <c r="Q42" s="3"/>
      <c r="R42" s="7">
        <f t="shared" si="4"/>
        <v>1.6559607911219135E-6</v>
      </c>
      <c r="S42" s="3"/>
      <c r="T42" s="8">
        <v>1.62</v>
      </c>
      <c r="U42" s="3"/>
      <c r="V42" s="7">
        <f t="shared" si="5"/>
        <v>3.6496432586357996E-6</v>
      </c>
      <c r="W42" s="3"/>
      <c r="X42" s="8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5"/>
      <c r="B43" s="12" t="str">
        <f>CONCATENATE("          ","6307"," - ","POSTAGE")</f>
        <v xml:space="preserve">          6307 - POSTAGE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0.5</v>
      </c>
      <c r="U43" s="3"/>
      <c r="V43" s="7">
        <f t="shared" si="5"/>
        <v>1.126433104517222E-6</v>
      </c>
      <c r="W43" s="3"/>
      <c r="X43" s="8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6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1.4129071559107033E-3</v>
      </c>
      <c r="G44" s="2"/>
      <c r="H44" s="2">
        <f>SUM(OSRRefH22_5x_0)</f>
        <v>29.01</v>
      </c>
      <c r="I44" s="2"/>
      <c r="J44" s="6">
        <f t="shared" si="1"/>
        <v>5.6193704600484261E-4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354.87</v>
      </c>
      <c r="Q44" s="2"/>
      <c r="R44" s="6">
        <f t="shared" si="4"/>
        <v>9.4782388055715072E-4</v>
      </c>
      <c r="S44" s="2"/>
      <c r="T44" s="2">
        <f>SUM(OSRRefT22_5x_0)</f>
        <v>261.08999999999997</v>
      </c>
      <c r="U44" s="2"/>
      <c r="V44" s="6">
        <f t="shared" si="5"/>
        <v>5.8820083851680296E-4</v>
      </c>
      <c r="W44" s="2"/>
      <c r="X44" s="2">
        <f t="shared" si="6"/>
        <v>93.78000000000003</v>
      </c>
      <c r="Y44" s="2"/>
      <c r="Z44" s="6">
        <f t="shared" si="7"/>
        <v>0.35918648741813181</v>
      </c>
    </row>
    <row r="45" spans="1:26" s="69" customFormat="1" ht="15" hidden="1" customHeight="1" outlineLevel="2" x14ac:dyDescent="0.3">
      <c r="A45" s="25"/>
      <c r="B45" s="12" t="str">
        <f>CONCATENATE("          ","6314"," - ","LIABILITY INSURANCE")</f>
        <v xml:space="preserve">          6314 - LIABILITY INSURANCE</v>
      </c>
      <c r="C45" s="12"/>
      <c r="D45" s="8">
        <v>39.43</v>
      </c>
      <c r="E45" s="3"/>
      <c r="F45" s="7">
        <f t="shared" si="0"/>
        <v>1.4129071559107033E-3</v>
      </c>
      <c r="G45" s="3"/>
      <c r="H45" s="8">
        <v>29.01</v>
      </c>
      <c r="I45" s="3"/>
      <c r="J45" s="7">
        <f t="shared" si="1"/>
        <v>5.6193704600484261E-4</v>
      </c>
      <c r="K45" s="3"/>
      <c r="L45" s="8">
        <f t="shared" si="2"/>
        <v>10.419999999999998</v>
      </c>
      <c r="M45" s="3"/>
      <c r="N45" s="7">
        <f t="shared" si="3"/>
        <v>0.35918648741813158</v>
      </c>
      <c r="O45" s="12"/>
      <c r="P45" s="8">
        <v>354.87</v>
      </c>
      <c r="Q45" s="3"/>
      <c r="R45" s="7">
        <f t="shared" si="4"/>
        <v>9.4782388055715072E-4</v>
      </c>
      <c r="S45" s="3"/>
      <c r="T45" s="8">
        <v>261.08999999999997</v>
      </c>
      <c r="U45" s="3"/>
      <c r="V45" s="7">
        <f t="shared" si="5"/>
        <v>5.8820083851680296E-4</v>
      </c>
      <c r="W45" s="3"/>
      <c r="X45" s="8">
        <f t="shared" si="6"/>
        <v>93.78000000000003</v>
      </c>
      <c r="Y45" s="3"/>
      <c r="Z45" s="7">
        <f t="shared" si="7"/>
        <v>0.35918648741813181</v>
      </c>
    </row>
    <row r="46" spans="1:26" s="68" customFormat="1" ht="15" customHeight="1" outlineLevel="1" collapsed="1" x14ac:dyDescent="0.3">
      <c r="A46" s="26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2.8666642777797686E-2</v>
      </c>
      <c r="G46" s="2"/>
      <c r="H46" s="2">
        <f>SUM(OSRRefH22_6x_0)</f>
        <v>800</v>
      </c>
      <c r="I46" s="2"/>
      <c r="J46" s="6">
        <f t="shared" si="1"/>
        <v>1.549636803874092E-2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7200</v>
      </c>
      <c r="Q46" s="2"/>
      <c r="R46" s="6">
        <f t="shared" si="4"/>
        <v>1.9230512413028672E-2</v>
      </c>
      <c r="S46" s="2"/>
      <c r="T46" s="2">
        <f>SUM(OSRRefT22_6x_0)</f>
        <v>7200</v>
      </c>
      <c r="U46" s="2"/>
      <c r="V46" s="6">
        <f t="shared" si="5"/>
        <v>1.6220636705047996E-2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5"/>
      <c r="B47" s="12" t="str">
        <f>CONCATENATE("          ","6273"," - ","RENT")</f>
        <v xml:space="preserve">          6273 - RENT</v>
      </c>
      <c r="C47" s="12"/>
      <c r="D47" s="8">
        <v>800</v>
      </c>
      <c r="E47" s="3"/>
      <c r="F47" s="7">
        <f t="shared" si="0"/>
        <v>2.8666642777797686E-2</v>
      </c>
      <c r="G47" s="3"/>
      <c r="H47" s="8">
        <v>800</v>
      </c>
      <c r="I47" s="3"/>
      <c r="J47" s="7">
        <f t="shared" si="1"/>
        <v>1.549636803874092E-2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7200</v>
      </c>
      <c r="Q47" s="3"/>
      <c r="R47" s="7">
        <f t="shared" si="4"/>
        <v>1.9230512413028672E-2</v>
      </c>
      <c r="S47" s="3"/>
      <c r="T47" s="8">
        <v>7200</v>
      </c>
      <c r="U47" s="3"/>
      <c r="V47" s="7">
        <f t="shared" si="5"/>
        <v>1.6220636705047996E-2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6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22581.23</v>
      </c>
      <c r="I48" s="2"/>
      <c r="J48" s="6">
        <f t="shared" si="1"/>
        <v>0.43740881355932204</v>
      </c>
      <c r="K48" s="2"/>
      <c r="L48" s="2">
        <f t="shared" si="2"/>
        <v>-22581.23</v>
      </c>
      <c r="M48" s="2"/>
      <c r="N48" s="6">
        <f t="shared" si="3"/>
        <v>-1</v>
      </c>
      <c r="O48" s="14"/>
      <c r="P48" s="2">
        <f>SUM(OSRRefP22_7x_0)</f>
        <v>131139.97</v>
      </c>
      <c r="Q48" s="2"/>
      <c r="R48" s="6">
        <f t="shared" si="4"/>
        <v>0.35026233624016773</v>
      </c>
      <c r="S48" s="2"/>
      <c r="T48" s="2">
        <f>SUM(OSRRefT22_7x_0)</f>
        <v>149496.13</v>
      </c>
      <c r="U48" s="2"/>
      <c r="V48" s="6">
        <f t="shared" si="5"/>
        <v>0.33679477965842042</v>
      </c>
      <c r="W48" s="2"/>
      <c r="X48" s="2">
        <f t="shared" si="6"/>
        <v>-18356.160000000003</v>
      </c>
      <c r="Y48" s="2"/>
      <c r="Z48" s="6">
        <f t="shared" si="7"/>
        <v>-0.12278685742567384</v>
      </c>
    </row>
    <row r="49" spans="1:26" s="69" customFormat="1" ht="15" hidden="1" customHeight="1" outlineLevel="2" x14ac:dyDescent="0.3">
      <c r="A49" s="25"/>
      <c r="B49" s="12" t="str">
        <f>CONCATENATE("          ","6371"," - ","COMPUTER SOFTWARE MAINTENANCE")</f>
        <v xml:space="preserve">          6371 - COMPUTER SOFTWARE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7583.7</v>
      </c>
      <c r="Q49" s="3"/>
      <c r="R49" s="7">
        <f t="shared" si="4"/>
        <v>2.0255338470372992E-2</v>
      </c>
      <c r="S49" s="3"/>
      <c r="T49" s="8"/>
      <c r="U49" s="3"/>
      <c r="V49" s="7">
        <f t="shared" si="5"/>
        <v>0</v>
      </c>
      <c r="W49" s="3"/>
      <c r="X49" s="8">
        <f t="shared" si="6"/>
        <v>7583.7</v>
      </c>
      <c r="Y49" s="3"/>
      <c r="Z49" s="7">
        <f t="shared" si="7"/>
        <v>0</v>
      </c>
    </row>
    <row r="50" spans="1:26" s="69" customFormat="1" ht="15" hidden="1" customHeight="1" outlineLevel="2" x14ac:dyDescent="0.3">
      <c r="A50" s="25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1555.65</v>
      </c>
      <c r="Q50" s="3"/>
      <c r="R50" s="7">
        <f t="shared" si="4"/>
        <v>4.1549925882400076E-3</v>
      </c>
      <c r="S50" s="3"/>
      <c r="T50" s="8"/>
      <c r="U50" s="3"/>
      <c r="V50" s="7">
        <f t="shared" si="5"/>
        <v>0</v>
      </c>
      <c r="W50" s="3"/>
      <c r="X50" s="8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>
        <v>22581.23</v>
      </c>
      <c r="I51" s="3"/>
      <c r="J51" s="7">
        <f t="shared" si="1"/>
        <v>0.43740881355932204</v>
      </c>
      <c r="K51" s="3"/>
      <c r="L51" s="8">
        <f t="shared" si="2"/>
        <v>-22581.23</v>
      </c>
      <c r="M51" s="3"/>
      <c r="N51" s="7">
        <f t="shared" si="3"/>
        <v>-1</v>
      </c>
      <c r="O51" s="12"/>
      <c r="P51" s="8">
        <v>122000.62</v>
      </c>
      <c r="Q51" s="3"/>
      <c r="R51" s="7">
        <f t="shared" si="4"/>
        <v>0.32585200518155472</v>
      </c>
      <c r="S51" s="3"/>
      <c r="T51" s="8">
        <v>142934.13</v>
      </c>
      <c r="U51" s="3"/>
      <c r="V51" s="7">
        <f t="shared" si="5"/>
        <v>0.32201147159473642</v>
      </c>
      <c r="W51" s="3"/>
      <c r="X51" s="8">
        <f t="shared" si="6"/>
        <v>-20933.510000000009</v>
      </c>
      <c r="Y51" s="3"/>
      <c r="Z51" s="7">
        <f t="shared" si="7"/>
        <v>-0.14645564358911345</v>
      </c>
    </row>
    <row r="52" spans="1:26" s="69" customFormat="1" ht="15" hidden="1" customHeight="1" outlineLevel="2" x14ac:dyDescent="0.3">
      <c r="A52" s="25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6562</v>
      </c>
      <c r="U52" s="3"/>
      <c r="V52" s="7">
        <f t="shared" si="5"/>
        <v>1.4783308063684022E-2</v>
      </c>
      <c r="W52" s="3"/>
      <c r="X52" s="8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6"/>
      <c r="B53" s="14" t="str">
        <f>CONCATENATE("     ","Supplies                                          ")</f>
        <v xml:space="preserve">     Supplies                                          </v>
      </c>
      <c r="C53" s="14"/>
      <c r="D53" s="2">
        <f>SUM(OSRRefD22_8x_0)</f>
        <v>10001.17</v>
      </c>
      <c r="E53" s="2"/>
      <c r="F53" s="6">
        <f t="shared" si="0"/>
        <v>0.35837495968753358</v>
      </c>
      <c r="G53" s="2"/>
      <c r="H53" s="2">
        <f>SUM(OSRRefH22_8x_0)</f>
        <v>3.72</v>
      </c>
      <c r="I53" s="2"/>
      <c r="J53" s="6">
        <f t="shared" si="1"/>
        <v>7.205811138014528E-5</v>
      </c>
      <c r="K53" s="2"/>
      <c r="L53" s="2">
        <f t="shared" si="2"/>
        <v>9997.4500000000007</v>
      </c>
      <c r="M53" s="2"/>
      <c r="N53" s="6">
        <f t="shared" si="3"/>
        <v>2687.4865591397852</v>
      </c>
      <c r="O53" s="14"/>
      <c r="P53" s="2">
        <f>SUM(OSRRefP22_8x_0)</f>
        <v>29592.449999999997</v>
      </c>
      <c r="Q53" s="2"/>
      <c r="R53" s="6">
        <f t="shared" si="4"/>
        <v>7.9038607924573651E-2</v>
      </c>
      <c r="S53" s="2"/>
      <c r="T53" s="2">
        <f>SUM(OSRRefT22_8x_0)</f>
        <v>42061.89</v>
      </c>
      <c r="U53" s="2"/>
      <c r="V53" s="6">
        <f t="shared" si="5"/>
        <v>9.4759810669123798E-2</v>
      </c>
      <c r="W53" s="2"/>
      <c r="X53" s="2">
        <f t="shared" si="6"/>
        <v>-12469.440000000002</v>
      </c>
      <c r="Y53" s="2"/>
      <c r="Z53" s="6">
        <f t="shared" si="7"/>
        <v>-0.29645458157015775</v>
      </c>
    </row>
    <row r="54" spans="1:26" s="69" customFormat="1" ht="15" hidden="1" customHeight="1" outlineLevel="2" x14ac:dyDescent="0.3">
      <c r="A54" s="25"/>
      <c r="B54" s="12" t="str">
        <f>CONCATENATE("          ","6241"," - ","OFFICE EXPENSE")</f>
        <v xml:space="preserve">          6241 - OFFICE EXPENSE</v>
      </c>
      <c r="C54" s="12"/>
      <c r="D54" s="8">
        <v>9992.36</v>
      </c>
      <c r="E54" s="3"/>
      <c r="F54" s="7">
        <f t="shared" si="0"/>
        <v>0.35805926828394313</v>
      </c>
      <c r="G54" s="3"/>
      <c r="H54" s="8">
        <v>3.72</v>
      </c>
      <c r="I54" s="3"/>
      <c r="J54" s="7">
        <f t="shared" si="1"/>
        <v>7.205811138014528E-5</v>
      </c>
      <c r="K54" s="3"/>
      <c r="L54" s="8">
        <f t="shared" si="2"/>
        <v>9988.6400000000012</v>
      </c>
      <c r="M54" s="3"/>
      <c r="N54" s="7">
        <f t="shared" si="3"/>
        <v>2685.1182795698928</v>
      </c>
      <c r="O54" s="12"/>
      <c r="P54" s="8">
        <v>29567.1</v>
      </c>
      <c r="Q54" s="3"/>
      <c r="R54" s="7">
        <f t="shared" si="4"/>
        <v>7.8970900495452787E-2</v>
      </c>
      <c r="S54" s="3"/>
      <c r="T54" s="8">
        <v>42061.89</v>
      </c>
      <c r="U54" s="3"/>
      <c r="V54" s="7">
        <f t="shared" si="5"/>
        <v>9.4759810669123798E-2</v>
      </c>
      <c r="W54" s="3"/>
      <c r="X54" s="8">
        <f t="shared" si="6"/>
        <v>-12494.79</v>
      </c>
      <c r="Y54" s="3"/>
      <c r="Z54" s="7">
        <f t="shared" si="7"/>
        <v>-0.29705726490179118</v>
      </c>
    </row>
    <row r="55" spans="1:26" s="69" customFormat="1" ht="15" hidden="1" customHeight="1" outlineLevel="2" x14ac:dyDescent="0.3">
      <c r="A55" s="25"/>
      <c r="B55" s="12" t="str">
        <f>CONCATENATE("          ","6247"," - ","STORE SUPPLIES")</f>
        <v xml:space="preserve">          6247 - STORE SUPPLIES</v>
      </c>
      <c r="C55" s="12"/>
      <c r="D55" s="8">
        <v>8.81</v>
      </c>
      <c r="E55" s="3"/>
      <c r="F55" s="7">
        <f t="shared" si="0"/>
        <v>3.1569140359049701E-4</v>
      </c>
      <c r="G55" s="3"/>
      <c r="H55" s="8"/>
      <c r="I55" s="3"/>
      <c r="J55" s="7">
        <f t="shared" si="1"/>
        <v>0</v>
      </c>
      <c r="K55" s="3"/>
      <c r="L55" s="8">
        <f t="shared" si="2"/>
        <v>8.81</v>
      </c>
      <c r="M55" s="3"/>
      <c r="N55" s="7">
        <f t="shared" si="3"/>
        <v>0</v>
      </c>
      <c r="O55" s="12"/>
      <c r="P55" s="8">
        <v>25.35</v>
      </c>
      <c r="Q55" s="3"/>
      <c r="R55" s="7">
        <f t="shared" si="4"/>
        <v>6.7707429120871792E-5</v>
      </c>
      <c r="S55" s="3"/>
      <c r="T55" s="8"/>
      <c r="U55" s="3"/>
      <c r="V55" s="7">
        <f t="shared" si="5"/>
        <v>0</v>
      </c>
      <c r="W55" s="3"/>
      <c r="X55" s="8">
        <f t="shared" si="6"/>
        <v>25.35</v>
      </c>
      <c r="Y55" s="3"/>
      <c r="Z55" s="7">
        <f t="shared" si="7"/>
        <v>0</v>
      </c>
    </row>
    <row r="56" spans="1:26" s="68" customFormat="1" ht="15" customHeight="1" outlineLevel="1" collapsed="1" x14ac:dyDescent="0.3">
      <c r="A56" s="26"/>
      <c r="B56" s="14" t="str">
        <f>CONCATENATE("     ","Telephone/Data Lines                              ")</f>
        <v xml:space="preserve">     Telephone/Data Lines                              </v>
      </c>
      <c r="C56" s="14"/>
      <c r="D56" s="2">
        <f>SUM(OSRRefD22_9x_0)</f>
        <v>87.05</v>
      </c>
      <c r="E56" s="2"/>
      <c r="F56" s="6">
        <f t="shared" si="0"/>
        <v>3.1192890672591105E-3</v>
      </c>
      <c r="G56" s="2"/>
      <c r="H56" s="2">
        <f>SUM(OSRRefH22_9x_0)</f>
        <v>87</v>
      </c>
      <c r="I56" s="2"/>
      <c r="J56" s="6">
        <f t="shared" si="1"/>
        <v>1.6852300242130751E-3</v>
      </c>
      <c r="K56" s="2"/>
      <c r="L56" s="2">
        <f t="shared" si="2"/>
        <v>4.9999999999997158E-2</v>
      </c>
      <c r="M56" s="2"/>
      <c r="N56" s="6">
        <f t="shared" si="3"/>
        <v>5.7471264367812828E-4</v>
      </c>
      <c r="O56" s="14"/>
      <c r="P56" s="2">
        <f>SUM(OSRRefP22_9x_0)</f>
        <v>367.25</v>
      </c>
      <c r="Q56" s="2"/>
      <c r="R56" s="6">
        <f t="shared" si="4"/>
        <v>9.8088967828955276E-4</v>
      </c>
      <c r="S56" s="2"/>
      <c r="T56" s="2">
        <f>SUM(OSRRefT22_9x_0)</f>
        <v>1711.83</v>
      </c>
      <c r="U56" s="2"/>
      <c r="V56" s="6">
        <f t="shared" si="5"/>
        <v>3.8565239626114321E-3</v>
      </c>
      <c r="W56" s="2"/>
      <c r="X56" s="2">
        <f t="shared" si="6"/>
        <v>-1344.58</v>
      </c>
      <c r="Y56" s="2"/>
      <c r="Z56" s="6">
        <f t="shared" si="7"/>
        <v>-0.78546350981113777</v>
      </c>
    </row>
    <row r="57" spans="1:26" s="69" customFormat="1" ht="15" hidden="1" customHeight="1" outlineLevel="2" x14ac:dyDescent="0.3">
      <c r="A57" s="25"/>
      <c r="B57" s="12" t="str">
        <f>CONCATENATE("          ","6309"," - ","TELEPHONE")</f>
        <v xml:space="preserve">          6309 - TELEPHONE</v>
      </c>
      <c r="C57" s="12"/>
      <c r="D57" s="8">
        <v>87.05</v>
      </c>
      <c r="E57" s="3"/>
      <c r="F57" s="7">
        <f t="shared" si="0"/>
        <v>3.1192890672591105E-3</v>
      </c>
      <c r="G57" s="3"/>
      <c r="H57" s="8">
        <v>87</v>
      </c>
      <c r="I57" s="3"/>
      <c r="J57" s="7">
        <f t="shared" si="1"/>
        <v>1.6852300242130751E-3</v>
      </c>
      <c r="K57" s="3"/>
      <c r="L57" s="8">
        <f t="shared" si="2"/>
        <v>4.9999999999997158E-2</v>
      </c>
      <c r="M57" s="3"/>
      <c r="N57" s="7">
        <f t="shared" si="3"/>
        <v>5.7471264367812828E-4</v>
      </c>
      <c r="O57" s="12"/>
      <c r="P57" s="8">
        <v>367.25</v>
      </c>
      <c r="Q57" s="3"/>
      <c r="R57" s="7">
        <f t="shared" si="4"/>
        <v>9.8088967828955276E-4</v>
      </c>
      <c r="S57" s="3"/>
      <c r="T57" s="8">
        <v>1711.83</v>
      </c>
      <c r="U57" s="3"/>
      <c r="V57" s="7">
        <f t="shared" si="5"/>
        <v>3.8565239626114321E-3</v>
      </c>
      <c r="W57" s="3"/>
      <c r="X57" s="8">
        <f t="shared" si="6"/>
        <v>-1344.58</v>
      </c>
      <c r="Y57" s="3"/>
      <c r="Z57" s="7">
        <f t="shared" si="7"/>
        <v>-0.78546350981113777</v>
      </c>
    </row>
    <row r="58" spans="1:26" s="68" customFormat="1" ht="15" customHeight="1" outlineLevel="1" collapsed="1" x14ac:dyDescent="0.3">
      <c r="A58" s="26"/>
      <c r="B58" s="14" t="str">
        <f>CONCATENATE("     ","Training                                          ")</f>
        <v xml:space="preserve">     Training                                          </v>
      </c>
      <c r="C58" s="14"/>
      <c r="D58" s="2">
        <f>SUM(OSRRefD22_10x_0)</f>
        <v>0</v>
      </c>
      <c r="E58" s="2"/>
      <c r="F58" s="6">
        <f t="shared" si="0"/>
        <v>0</v>
      </c>
      <c r="G58" s="2"/>
      <c r="H58" s="2">
        <f>SUM(OSRRefH22_10x_0)</f>
        <v>0</v>
      </c>
      <c r="I58" s="2"/>
      <c r="J58" s="6">
        <f t="shared" si="1"/>
        <v>0</v>
      </c>
      <c r="K58" s="2"/>
      <c r="L58" s="2">
        <f t="shared" si="2"/>
        <v>0</v>
      </c>
      <c r="M58" s="2"/>
      <c r="N58" s="6">
        <f t="shared" si="3"/>
        <v>0</v>
      </c>
      <c r="O58" s="14"/>
      <c r="P58" s="2">
        <f>SUM(OSRRefP22_10x_0)</f>
        <v>2000</v>
      </c>
      <c r="Q58" s="2"/>
      <c r="R58" s="6">
        <f t="shared" si="4"/>
        <v>5.3418090036190758E-3</v>
      </c>
      <c r="S58" s="2"/>
      <c r="T58" s="2">
        <f>SUM(OSRRefT22_10x_0)</f>
        <v>0</v>
      </c>
      <c r="U58" s="2"/>
      <c r="V58" s="6">
        <f t="shared" si="5"/>
        <v>0</v>
      </c>
      <c r="W58" s="2"/>
      <c r="X58" s="2">
        <f t="shared" si="6"/>
        <v>2000</v>
      </c>
      <c r="Y58" s="2"/>
      <c r="Z58" s="6">
        <f t="shared" si="7"/>
        <v>0</v>
      </c>
    </row>
    <row r="59" spans="1:26" s="69" customFormat="1" ht="15" hidden="1" customHeight="1" outlineLevel="2" x14ac:dyDescent="0.3">
      <c r="A59" s="25"/>
      <c r="B59" s="12" t="str">
        <f>CONCATENATE("          ","6376"," - ","TRAINING")</f>
        <v xml:space="preserve">          6376 - TRAINING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2000</v>
      </c>
      <c r="Q59" s="3"/>
      <c r="R59" s="7">
        <f t="shared" si="4"/>
        <v>5.3418090036190758E-3</v>
      </c>
      <c r="S59" s="3"/>
      <c r="T59" s="8"/>
      <c r="U59" s="3"/>
      <c r="V59" s="7">
        <f t="shared" si="5"/>
        <v>0</v>
      </c>
      <c r="W59" s="3"/>
      <c r="X59" s="8">
        <f t="shared" si="6"/>
        <v>2000</v>
      </c>
      <c r="Y59" s="3"/>
      <c r="Z59" s="7">
        <f t="shared" si="7"/>
        <v>0</v>
      </c>
    </row>
    <row r="60" spans="1:26" s="64" customFormat="1" ht="15" customHeight="1" x14ac:dyDescent="0.3">
      <c r="A60" s="36"/>
      <c r="B60" s="36"/>
      <c r="C60" s="36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collapsed="1" x14ac:dyDescent="0.3">
      <c r="A61" s="11"/>
      <c r="B61" s="28" t="s">
        <v>290</v>
      </c>
      <c r="C61" s="11"/>
      <c r="D61" s="5">
        <f>SUM(OSRRefD25x_0)</f>
        <v>1533.83</v>
      </c>
      <c r="E61" s="5"/>
      <c r="F61" s="13">
        <f>IF(D$12=0,0,D61/D$12)</f>
        <v>5.4962195864836777E-2</v>
      </c>
      <c r="G61" s="5"/>
      <c r="H61" s="5">
        <f>SUM(OSRRefH25x_0)</f>
        <v>210</v>
      </c>
      <c r="I61" s="5"/>
      <c r="J61" s="13">
        <f>IF(H$12=0,0,H61/H$12)</f>
        <v>4.0677966101694916E-3</v>
      </c>
      <c r="K61" s="5"/>
      <c r="L61" s="5">
        <f>+D61-H61</f>
        <v>1323.83</v>
      </c>
      <c r="M61" s="5"/>
      <c r="N61" s="13">
        <f>IF(H61=0,0,L61/H61)</f>
        <v>6.3039523809523805</v>
      </c>
      <c r="O61" s="11"/>
      <c r="P61" s="5">
        <f>SUM(OSRRefP25x_0)</f>
        <v>9574.8799999999992</v>
      </c>
      <c r="Q61" s="5"/>
      <c r="R61" s="13">
        <f>IF(P$12=0,0,P61/P$12)</f>
        <v>2.5573590096286104E-2</v>
      </c>
      <c r="S61" s="5"/>
      <c r="T61" s="5">
        <f>SUM(OSRRefT25x_0)</f>
        <v>1938.68</v>
      </c>
      <c r="U61" s="5"/>
      <c r="V61" s="13">
        <f>IF(T$12=0,0,T61/T$12)</f>
        <v>4.3675866621308958E-3</v>
      </c>
      <c r="W61" s="5"/>
      <c r="X61" s="5">
        <f>+P61-T61</f>
        <v>7636.1999999999989</v>
      </c>
      <c r="Y61" s="5"/>
      <c r="Z61" s="13">
        <f>IF(T61=0,0,X61/T61)</f>
        <v>3.9388656199063274</v>
      </c>
    </row>
    <row r="62" spans="1:26" s="69" customFormat="1" ht="15" hidden="1" customHeight="1" outlineLevel="1" x14ac:dyDescent="0.3">
      <c r="A62" s="42"/>
      <c r="B62" s="12" t="str">
        <f>CONCATENATE("          ","9150"," - ","MISC. INCOME")</f>
        <v xml:space="preserve">          9150 - MISC. INCOME</v>
      </c>
      <c r="C62" s="12"/>
      <c r="D62" s="3">
        <f>--1533.83</f>
        <v>1533.83</v>
      </c>
      <c r="E62" s="3"/>
      <c r="F62" s="20">
        <f>IF(D$12=0,0,D62/D$12)</f>
        <v>5.4962195864836777E-2</v>
      </c>
      <c r="G62" s="3"/>
      <c r="H62" s="3">
        <f>--210</f>
        <v>210</v>
      </c>
      <c r="I62" s="3"/>
      <c r="J62" s="20">
        <f>IF(H$12=0,0,H62/H$12)</f>
        <v>4.0677966101694916E-3</v>
      </c>
      <c r="K62" s="3"/>
      <c r="L62" s="3">
        <f>+D62-H62</f>
        <v>1323.83</v>
      </c>
      <c r="M62" s="3"/>
      <c r="N62" s="20">
        <f>IF(H62=0,0,L62/H62)</f>
        <v>6.3039523809523805</v>
      </c>
      <c r="O62" s="12"/>
      <c r="P62" s="3">
        <f>--9574.88</f>
        <v>9574.8799999999992</v>
      </c>
      <c r="Q62" s="3"/>
      <c r="R62" s="20">
        <f>IF(P$12=0,0,P62/P$12)</f>
        <v>2.5573590096286104E-2</v>
      </c>
      <c r="S62" s="3"/>
      <c r="T62" s="3">
        <f>--1938.68</f>
        <v>1938.68</v>
      </c>
      <c r="U62" s="3"/>
      <c r="V62" s="20">
        <f>IF(T$12=0,0,T62/T$12)</f>
        <v>4.3675866621308958E-3</v>
      </c>
      <c r="W62" s="3"/>
      <c r="X62" s="3">
        <f>+P62-T62</f>
        <v>7636.1999999999989</v>
      </c>
      <c r="Y62" s="3"/>
      <c r="Z62" s="20">
        <f>IF(T62=0,0,X62/T62)</f>
        <v>3.9388656199063274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11"/>
      <c r="B64" s="27" t="s">
        <v>291</v>
      </c>
      <c r="C64" s="27"/>
      <c r="D64" s="22">
        <f>+D17-D19+D61</f>
        <v>1998.0300000000007</v>
      </c>
      <c r="E64" s="15"/>
      <c r="F64" s="21">
        <f>IF(D$12=0,0,D64/D$12)</f>
        <v>7.1596015336653912E-2</v>
      </c>
      <c r="G64" s="15"/>
      <c r="H64" s="22">
        <f>+H17-H19+H61</f>
        <v>10578.740000000005</v>
      </c>
      <c r="I64" s="15"/>
      <c r="J64" s="21">
        <f>IF(H$12=0,0,H64/H$12)</f>
        <v>0.20491506053268776</v>
      </c>
      <c r="K64" s="17"/>
      <c r="L64" s="22">
        <f>+D64-H64</f>
        <v>-8580.7100000000046</v>
      </c>
      <c r="M64" s="17"/>
      <c r="N64" s="21">
        <f>IF(H64=0,0,L64/H64)</f>
        <v>-0.81112779026613757</v>
      </c>
      <c r="O64" s="28"/>
      <c r="P64" s="22">
        <f>+P17-P19+P61</f>
        <v>43251.220000000023</v>
      </c>
      <c r="Q64" s="15"/>
      <c r="R64" s="21">
        <f>IF(P$12=0,0,P64/P$12)</f>
        <v>0.11551987820675477</v>
      </c>
      <c r="S64" s="15"/>
      <c r="T64" s="22">
        <f>+T17-T19+T61</f>
        <v>77680.659999999974</v>
      </c>
      <c r="U64" s="15"/>
      <c r="V64" s="21">
        <f>IF(T$12=0,0,T64/T$12)</f>
        <v>0.17500413400949352</v>
      </c>
      <c r="W64" s="17"/>
      <c r="X64" s="22">
        <f>+P64-T64</f>
        <v>-34429.439999999951</v>
      </c>
      <c r="Y64" s="17"/>
      <c r="Z64" s="21">
        <f>IF(T64=0,0,X64/T64)</f>
        <v>-0.44321765546276204</v>
      </c>
    </row>
    <row r="65" spans="1:26" ht="15" customHeight="1" x14ac:dyDescent="0.3">
      <c r="A65" s="10"/>
      <c r="B65" s="11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48"/>
      <c r="B66" s="11" t="s">
        <v>292</v>
      </c>
      <c r="C66" s="11"/>
      <c r="D66" s="5">
        <v>1433.5</v>
      </c>
      <c r="E66" s="5"/>
      <c r="F66" s="13">
        <f>IF(D$12=0,0,D66/D$12)</f>
        <v>5.1367040527466226E-2</v>
      </c>
      <c r="G66" s="5"/>
      <c r="H66" s="5">
        <v>13799.37</v>
      </c>
      <c r="I66" s="5"/>
      <c r="J66" s="13">
        <f>IF(H$12=0,0,H66/H$12)</f>
        <v>0.26730014527845036</v>
      </c>
      <c r="K66" s="5"/>
      <c r="L66" s="5">
        <f>+D66-H66</f>
        <v>-12365.87</v>
      </c>
      <c r="M66" s="5"/>
      <c r="N66" s="13">
        <f>IF(H66=0,0,L66/H66)</f>
        <v>-0.89611844598702695</v>
      </c>
      <c r="O66" s="11"/>
      <c r="P66" s="5">
        <v>44684.32</v>
      </c>
      <c r="Q66" s="5"/>
      <c r="R66" s="13">
        <f>IF(P$12=0,0,P66/P$12)</f>
        <v>0.11934755144829796</v>
      </c>
      <c r="S66" s="5"/>
      <c r="T66" s="5">
        <v>91479.69</v>
      </c>
      <c r="U66" s="5"/>
      <c r="V66" s="13">
        <f>IF(T$12=0,0,T66/T$12)</f>
        <v>0.20609150241394614</v>
      </c>
      <c r="W66" s="5"/>
      <c r="X66" s="5">
        <f>+P66-T66</f>
        <v>-46795.37</v>
      </c>
      <c r="Y66" s="5"/>
      <c r="Z66" s="13">
        <f>IF(T66=0,0,X66/T66)</f>
        <v>-0.51153835348589394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7" t="s">
        <v>293</v>
      </c>
      <c r="C68" s="27"/>
      <c r="D68" s="34">
        <f>+D64-D66</f>
        <v>564.53000000000065</v>
      </c>
      <c r="E68" s="15"/>
      <c r="F68" s="33">
        <f>IF(D$12=0,0,D68/D$12)</f>
        <v>2.0228974809187682E-2</v>
      </c>
      <c r="G68" s="15"/>
      <c r="H68" s="34">
        <f>+H64-H66</f>
        <v>-3220.6299999999956</v>
      </c>
      <c r="I68" s="15"/>
      <c r="J68" s="33">
        <f>IF(H$12=0,0,H68/H$12)</f>
        <v>-6.2385084745762626E-2</v>
      </c>
      <c r="K68" s="17"/>
      <c r="L68" s="34">
        <f>D68-H68</f>
        <v>3785.1599999999962</v>
      </c>
      <c r="M68" s="17"/>
      <c r="N68" s="33">
        <f>IF(H68=0,0,L68/H68)</f>
        <v>-1.1752855807714644</v>
      </c>
      <c r="O68" s="28"/>
      <c r="P68" s="34">
        <f>+P64-P66</f>
        <v>-1433.0999999999767</v>
      </c>
      <c r="Q68" s="15"/>
      <c r="R68" s="33">
        <f>IF(P$12=0,0,P68/P$12)</f>
        <v>-3.8276732415431862E-3</v>
      </c>
      <c r="S68" s="15"/>
      <c r="T68" s="34">
        <f>+T64-T66</f>
        <v>-13799.030000000028</v>
      </c>
      <c r="U68" s="15"/>
      <c r="V68" s="33">
        <f>IF(T$12=0,0,T68/T$12)</f>
        <v>-3.1087368404452628E-2</v>
      </c>
      <c r="W68" s="17"/>
      <c r="X68" s="34">
        <f>P68-T68</f>
        <v>12365.930000000051</v>
      </c>
      <c r="Y68" s="17"/>
      <c r="Z68" s="33">
        <f>IF(T68=0,0,X68/T68)</f>
        <v>-0.89614487395128684</v>
      </c>
    </row>
    <row r="69" spans="1:26" ht="15" customHeight="1" x14ac:dyDescent="0.3">
      <c r="A69" s="10"/>
      <c r="B69" s="10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ht="15" customHeight="1" x14ac:dyDescent="0.3">
      <c r="A70" s="10"/>
      <c r="B70" s="10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7" t="s">
        <v>296</v>
      </c>
      <c r="C71" s="27"/>
      <c r="D71" s="31">
        <f>SUM(D68:D70)</f>
        <v>564.53000000000065</v>
      </c>
      <c r="E71" s="15"/>
      <c r="F71" s="32">
        <f>IF(D$12=0,0,D71/D$12)</f>
        <v>2.0228974809187682E-2</v>
      </c>
      <c r="G71" s="15"/>
      <c r="H71" s="31">
        <f>SUM(H68:H70)</f>
        <v>-3220.6299999999956</v>
      </c>
      <c r="I71" s="15"/>
      <c r="J71" s="32">
        <f>IF(H$12=0,0,H71/H$12)</f>
        <v>-6.2385084745762626E-2</v>
      </c>
      <c r="K71" s="17"/>
      <c r="L71" s="31">
        <f>+D71-H71</f>
        <v>3785.1599999999962</v>
      </c>
      <c r="M71" s="17"/>
      <c r="N71" s="32">
        <f>IF(H71=0,0,L71/H71)</f>
        <v>-1.1752855807714644</v>
      </c>
      <c r="O71" s="28"/>
      <c r="P71" s="31">
        <f>SUM(P68:P70)</f>
        <v>-1433.0999999999767</v>
      </c>
      <c r="Q71" s="15"/>
      <c r="R71" s="32">
        <f>IF(P$12=0,0,P71/P$12)</f>
        <v>-3.8276732415431862E-3</v>
      </c>
      <c r="S71" s="15"/>
      <c r="T71" s="31">
        <f>SUM(T68:T70)</f>
        <v>-13799.030000000028</v>
      </c>
      <c r="U71" s="15"/>
      <c r="V71" s="32">
        <f>IF(T$12=0,0,T71/T$12)</f>
        <v>-3.1087368404452628E-2</v>
      </c>
      <c r="W71" s="17"/>
      <c r="X71" s="31">
        <f>+P71-T71</f>
        <v>12365.930000000051</v>
      </c>
      <c r="Y71" s="17"/>
      <c r="Z71" s="32">
        <f>IF(T71=0,0,X71/T71)</f>
        <v>-0.89614487395128684</v>
      </c>
    </row>
    <row r="72" spans="1:26" ht="15" customHeight="1" x14ac:dyDescent="0.3">
      <c r="A72" s="10"/>
      <c r="C72" s="10"/>
      <c r="D72" s="19"/>
      <c r="E72" s="19"/>
      <c r="G72" s="19"/>
      <c r="H72" s="19"/>
      <c r="I72" s="19"/>
      <c r="J72" s="40"/>
      <c r="K72" s="19"/>
      <c r="L72" s="19"/>
      <c r="M72" s="19"/>
      <c r="P72" s="19"/>
      <c r="Q72" s="19"/>
      <c r="R72" s="40"/>
      <c r="S72" s="19"/>
      <c r="T72" s="19"/>
      <c r="U72" s="19"/>
      <c r="V72" s="40"/>
      <c r="W72" s="19"/>
      <c r="X72" s="19"/>
    </row>
    <row r="73" spans="1:26" ht="15" customHeight="1" x14ac:dyDescent="0.3">
      <c r="A73" s="10"/>
      <c r="B73" s="56">
        <v>44663.0385809375</v>
      </c>
      <c r="D73" s="19"/>
      <c r="E73" s="19"/>
      <c r="G73" s="19"/>
      <c r="H73" s="19"/>
      <c r="I73" s="19"/>
      <c r="J73" s="40"/>
      <c r="K73" s="19"/>
      <c r="L73" s="19"/>
      <c r="M73" s="19"/>
      <c r="P73" s="19"/>
      <c r="Q73" s="19"/>
      <c r="R73" s="40"/>
      <c r="S73" s="19"/>
      <c r="T73" s="19"/>
      <c r="U73" s="19"/>
      <c r="V73" s="40"/>
      <c r="W73" s="19"/>
      <c r="X73" s="19"/>
    </row>
    <row r="74" spans="1:26" ht="15" customHeight="1" x14ac:dyDescent="0.3">
      <c r="A74" s="10"/>
      <c r="B74" s="57" t="s">
        <v>297</v>
      </c>
      <c r="D74" s="19"/>
      <c r="E74" s="19"/>
      <c r="G74" s="19"/>
      <c r="H74" s="19"/>
      <c r="I74" s="19"/>
      <c r="J74" s="40"/>
      <c r="K74" s="19"/>
      <c r="L74" s="19"/>
      <c r="M74" s="19"/>
      <c r="P74" s="19"/>
      <c r="Q74" s="19"/>
      <c r="R74" s="40"/>
      <c r="S74" s="19"/>
      <c r="T74" s="19"/>
      <c r="U74" s="19"/>
      <c r="V74" s="40"/>
      <c r="W74" s="19"/>
      <c r="X74" s="19"/>
    </row>
    <row r="75" spans="1:26" ht="15" customHeight="1" x14ac:dyDescent="0.3">
      <c r="A75" s="10"/>
      <c r="B75" s="58"/>
      <c r="D75" s="19"/>
      <c r="E75" s="19"/>
      <c r="G75" s="19"/>
      <c r="H75" s="19"/>
      <c r="I75" s="19"/>
      <c r="J75" s="40"/>
      <c r="K75" s="19"/>
      <c r="L75" s="19"/>
      <c r="M75" s="19"/>
      <c r="P75" s="19"/>
      <c r="Q75" s="19"/>
      <c r="R75" s="40"/>
      <c r="S75" s="19"/>
      <c r="T75" s="19"/>
      <c r="U75" s="19"/>
      <c r="V75" s="40"/>
      <c r="W75" s="19"/>
      <c r="X75" s="19"/>
    </row>
    <row r="76" spans="1:26" ht="15" customHeight="1" x14ac:dyDescent="0.3"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F4B7-9184-CF67-9664-1165B6FF584A}">
  <sheetPr>
    <tabColor rgb="FF92D050"/>
    <outlinePr summaryBelow="0" summaryRight="0"/>
  </sheetPr>
  <dimension ref="A2:Z7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str">
        <f>CONCATENATE("Period ",RIGHT(202209,2),", ",2022)</f>
        <v>Period 09, 2022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59">
        <v>44646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str">
        <f>CONCATENATE("Department ","501"," - ","ID Card Services")</f>
        <v>Department 501 - ID Card Services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>
        <f>SUM(OSRRefD13x_0)</f>
        <v>27907</v>
      </c>
      <c r="E12" s="5"/>
      <c r="F12" s="13"/>
      <c r="G12" s="5"/>
      <c r="H12" s="5">
        <f>SUM(OSRRefH13x_0)</f>
        <v>51625</v>
      </c>
      <c r="I12" s="5"/>
      <c r="J12" s="13"/>
      <c r="K12" s="5"/>
      <c r="L12" s="5">
        <f>+D12-H12</f>
        <v>-23718</v>
      </c>
      <c r="M12" s="5"/>
      <c r="N12" s="13">
        <f>IF(H12=0,0,L12/H12)</f>
        <v>-0.45942857142857141</v>
      </c>
      <c r="O12" s="11"/>
      <c r="P12" s="5">
        <f>SUM(OSRRefP13x_0)</f>
        <v>374405</v>
      </c>
      <c r="Q12" s="5"/>
      <c r="R12" s="13"/>
      <c r="S12" s="5"/>
      <c r="T12" s="5">
        <f>SUM(OSRRefT13x_0)</f>
        <v>443879</v>
      </c>
      <c r="U12" s="5"/>
      <c r="V12" s="13"/>
      <c r="W12" s="5"/>
      <c r="X12" s="5">
        <f>+P12-T12</f>
        <v>-69474</v>
      </c>
      <c r="Y12" s="5"/>
      <c r="Z12" s="13">
        <f>IF(T12=0,0,X12/T12)</f>
        <v>-0.15651562700645896</v>
      </c>
    </row>
    <row r="13" spans="1:26" s="69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--27907</f>
        <v>27907</v>
      </c>
      <c r="E13" s="3"/>
      <c r="F13" s="20"/>
      <c r="G13" s="3"/>
      <c r="H13" s="3">
        <f>--51625</f>
        <v>51625</v>
      </c>
      <c r="I13" s="3"/>
      <c r="J13" s="20"/>
      <c r="K13" s="3"/>
      <c r="L13" s="3">
        <f>+D13-H13</f>
        <v>-23718</v>
      </c>
      <c r="M13" s="3"/>
      <c r="N13" s="20">
        <f>IF(H13=0,0,L13/H13)</f>
        <v>-0.45942857142857141</v>
      </c>
      <c r="O13" s="12"/>
      <c r="P13" s="3">
        <f>--374405</f>
        <v>374405</v>
      </c>
      <c r="Q13" s="3"/>
      <c r="R13" s="20"/>
      <c r="S13" s="3"/>
      <c r="T13" s="3">
        <f>--443879</f>
        <v>443879</v>
      </c>
      <c r="U13" s="3"/>
      <c r="V13" s="20"/>
      <c r="W13" s="3"/>
      <c r="X13" s="3">
        <f>+P13-T13</f>
        <v>-69474</v>
      </c>
      <c r="Y13" s="3"/>
      <c r="Z13" s="20">
        <f>IF(T13=0,0,X13/T13)</f>
        <v>-0.15651562700645896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8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7" t="s">
        <v>288</v>
      </c>
      <c r="C17" s="27"/>
      <c r="D17" s="22">
        <f>D12-D15</f>
        <v>27907</v>
      </c>
      <c r="E17" s="15"/>
      <c r="F17" s="21">
        <f>IF(D$12=0,0,D17/D$12)</f>
        <v>1</v>
      </c>
      <c r="G17" s="15"/>
      <c r="H17" s="22">
        <f>H12-H15</f>
        <v>51625</v>
      </c>
      <c r="I17" s="15"/>
      <c r="J17" s="21">
        <f>IF(H$12=0,0,H17/H$12)</f>
        <v>1</v>
      </c>
      <c r="K17" s="17"/>
      <c r="L17" s="22">
        <f>+D17-H17</f>
        <v>-23718</v>
      </c>
      <c r="M17" s="17"/>
      <c r="N17" s="21">
        <f>IF(H17=0,0,L17/H17)</f>
        <v>-0.45942857142857141</v>
      </c>
      <c r="O17" s="28"/>
      <c r="P17" s="22">
        <f>P12-P15</f>
        <v>374405</v>
      </c>
      <c r="Q17" s="15"/>
      <c r="R17" s="21">
        <f>IF(P$12=0,0,P17/P$12)</f>
        <v>1</v>
      </c>
      <c r="S17" s="15"/>
      <c r="T17" s="22">
        <f>T12-T15</f>
        <v>443879</v>
      </c>
      <c r="U17" s="15"/>
      <c r="V17" s="21">
        <f>IF(T$12=0,0,T17/T$12)</f>
        <v>1</v>
      </c>
      <c r="W17" s="17"/>
      <c r="X17" s="22">
        <f>+P17-T17</f>
        <v>-69474</v>
      </c>
      <c r="Y17" s="17"/>
      <c r="Z17" s="21">
        <f>IF(T17=0,0,X17/T17)</f>
        <v>-0.15651562700645896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8" t="s">
        <v>289</v>
      </c>
      <c r="C19" s="11"/>
      <c r="D19" s="23" cm="1">
        <f t="array" ref="D19">SUM(OSRRefD22x_0)</f>
        <v>27442.799999999999</v>
      </c>
      <c r="E19" s="23"/>
      <c r="F19" s="35">
        <f t="shared" ref="F19:F59" si="0">IF(D$12=0,0,D19/D$12)</f>
        <v>0.98336618052818292</v>
      </c>
      <c r="G19" s="23"/>
      <c r="H19" s="23" cm="1">
        <f t="array" ref="H19">SUM(OSRRefH22x_0)</f>
        <v>41256.259999999995</v>
      </c>
      <c r="I19" s="23"/>
      <c r="J19" s="35">
        <f t="shared" ref="J19:J59" si="1">IF(H$12=0,0,H19/H$12)</f>
        <v>0.79915273607748172</v>
      </c>
      <c r="K19" s="5"/>
      <c r="L19" s="23">
        <f t="shared" ref="L19:L59" si="2">+D19-H19</f>
        <v>-13813.459999999995</v>
      </c>
      <c r="M19" s="5"/>
      <c r="N19" s="35">
        <f t="shared" ref="N19:N59" si="3">IF(H19=0,0,L19/H19)</f>
        <v>-0.33482094596068568</v>
      </c>
      <c r="O19" s="11"/>
      <c r="P19" s="23" cm="1">
        <f t="array" ref="P19">SUM(OSRRefP22x_0)</f>
        <v>340728.66</v>
      </c>
      <c r="Q19" s="23"/>
      <c r="R19" s="35">
        <f t="shared" ref="R19:R59" si="4">IF(P$12=0,0,P19/P$12)</f>
        <v>0.91005371188953132</v>
      </c>
      <c r="S19" s="23"/>
      <c r="T19" s="23" cm="1">
        <f t="array" ref="T19">SUM(OSRRefT22x_0)</f>
        <v>368137.02</v>
      </c>
      <c r="U19" s="23"/>
      <c r="V19" s="35">
        <f t="shared" ref="V19:V59" si="5">IF(T$12=0,0,T19/T$12)</f>
        <v>0.82936345265263733</v>
      </c>
      <c r="W19" s="5"/>
      <c r="X19" s="23">
        <f t="shared" ref="X19:X59" si="6">+P19-T19</f>
        <v>-27408.360000000044</v>
      </c>
      <c r="Y19" s="5"/>
      <c r="Z19" s="35">
        <f t="shared" ref="Z19:Z59" si="7">IF(T19=0,0,X19/T19)</f>
        <v>-7.4451518078785014E-2</v>
      </c>
    </row>
    <row r="20" spans="1:26" s="68" customFormat="1" ht="15" customHeight="1" outlineLevel="1" collapsed="1" x14ac:dyDescent="0.3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3508.48</v>
      </c>
      <c r="E20" s="2"/>
      <c r="F20" s="6">
        <f t="shared" si="0"/>
        <v>0.12572042856630952</v>
      </c>
      <c r="G20" s="2"/>
      <c r="H20" s="2">
        <f>SUM(OSRRefH22_0x_0)</f>
        <v>4742.75</v>
      </c>
      <c r="I20" s="2"/>
      <c r="J20" s="6">
        <f t="shared" si="1"/>
        <v>9.1869249394673128E-2</v>
      </c>
      <c r="K20" s="2"/>
      <c r="L20" s="2">
        <f t="shared" si="2"/>
        <v>-1234.27</v>
      </c>
      <c r="M20" s="2"/>
      <c r="N20" s="6">
        <f t="shared" si="3"/>
        <v>-0.26024352959780717</v>
      </c>
      <c r="O20" s="14"/>
      <c r="P20" s="2">
        <f>SUM(OSRRefP22_0x_0)</f>
        <v>37123.020000000004</v>
      </c>
      <c r="Q20" s="2"/>
      <c r="R20" s="6">
        <f t="shared" si="4"/>
        <v>9.9152041238765518E-2</v>
      </c>
      <c r="S20" s="2"/>
      <c r="T20" s="2">
        <f>SUM(OSRRefT22_0x_0)</f>
        <v>38502.97</v>
      </c>
      <c r="U20" s="2"/>
      <c r="V20" s="6">
        <f t="shared" si="5"/>
        <v>8.6742040060466929E-2</v>
      </c>
      <c r="W20" s="2"/>
      <c r="X20" s="2">
        <f t="shared" si="6"/>
        <v>-1379.9499999999971</v>
      </c>
      <c r="Y20" s="2"/>
      <c r="Z20" s="6">
        <f t="shared" si="7"/>
        <v>-3.5840092335734021E-2</v>
      </c>
    </row>
    <row r="21" spans="1:26" s="69" customFormat="1" ht="15" hidden="1" customHeight="1" outlineLevel="2" x14ac:dyDescent="0.3">
      <c r="A21" s="25"/>
      <c r="B21" s="12" t="str">
        <f>CONCATENATE("          ","6111"," - ","F.I.C.A.")</f>
        <v xml:space="preserve">          6111 - F.I.C.A.</v>
      </c>
      <c r="C21" s="12"/>
      <c r="D21" s="8">
        <v>795.89</v>
      </c>
      <c r="E21" s="3"/>
      <c r="F21" s="7">
        <f t="shared" si="0"/>
        <v>2.8519367900526751E-2</v>
      </c>
      <c r="G21" s="3"/>
      <c r="H21" s="8">
        <v>964.58</v>
      </c>
      <c r="I21" s="3"/>
      <c r="J21" s="7">
        <f t="shared" si="1"/>
        <v>1.8684358353510896E-2</v>
      </c>
      <c r="K21" s="3"/>
      <c r="L21" s="8">
        <f t="shared" si="2"/>
        <v>-168.69000000000005</v>
      </c>
      <c r="M21" s="3"/>
      <c r="N21" s="7">
        <f t="shared" si="3"/>
        <v>-0.17488440564805413</v>
      </c>
      <c r="O21" s="12"/>
      <c r="P21" s="8">
        <v>9174.9500000000007</v>
      </c>
      <c r="Q21" s="3"/>
      <c r="R21" s="7">
        <f t="shared" si="4"/>
        <v>2.4505415258877422E-2</v>
      </c>
      <c r="S21" s="3"/>
      <c r="T21" s="8">
        <v>9081.65</v>
      </c>
      <c r="U21" s="3"/>
      <c r="V21" s="7">
        <f t="shared" si="5"/>
        <v>2.0459742407277659E-2</v>
      </c>
      <c r="W21" s="3"/>
      <c r="X21" s="8">
        <f t="shared" si="6"/>
        <v>93.300000000001091</v>
      </c>
      <c r="Y21" s="3"/>
      <c r="Z21" s="7">
        <f t="shared" si="7"/>
        <v>1.0273463522597887E-2</v>
      </c>
    </row>
    <row r="22" spans="1:26" s="69" customFormat="1" ht="15" hidden="1" customHeight="1" outlineLevel="2" x14ac:dyDescent="0.3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170.03</v>
      </c>
      <c r="E22" s="3"/>
      <c r="F22" s="7">
        <f t="shared" si="0"/>
        <v>6.0927365893861758E-3</v>
      </c>
      <c r="G22" s="3"/>
      <c r="H22" s="8">
        <v>34.200000000000003</v>
      </c>
      <c r="I22" s="3"/>
      <c r="J22" s="7">
        <f t="shared" si="1"/>
        <v>6.6246973365617439E-4</v>
      </c>
      <c r="K22" s="3"/>
      <c r="L22" s="8">
        <f t="shared" si="2"/>
        <v>135.82999999999998</v>
      </c>
      <c r="M22" s="3"/>
      <c r="N22" s="7">
        <f t="shared" si="3"/>
        <v>3.9716374269005841</v>
      </c>
      <c r="O22" s="12"/>
      <c r="P22" s="8">
        <v>1507.44</v>
      </c>
      <c r="Q22" s="3"/>
      <c r="R22" s="7">
        <f t="shared" si="4"/>
        <v>4.0262282822077699E-3</v>
      </c>
      <c r="S22" s="3"/>
      <c r="T22" s="8">
        <v>768.08</v>
      </c>
      <c r="U22" s="3"/>
      <c r="V22" s="7">
        <f t="shared" si="5"/>
        <v>1.730381477835176E-3</v>
      </c>
      <c r="W22" s="3"/>
      <c r="X22" s="8">
        <f t="shared" si="6"/>
        <v>739.36</v>
      </c>
      <c r="Y22" s="3"/>
      <c r="Z22" s="7">
        <f t="shared" si="7"/>
        <v>0.96260806166024371</v>
      </c>
    </row>
    <row r="23" spans="1:26" s="69" customFormat="1" ht="15" hidden="1" customHeight="1" outlineLevel="2" x14ac:dyDescent="0.3">
      <c r="A23" s="25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3.4568387859676787E-2</v>
      </c>
      <c r="G23" s="3"/>
      <c r="H23" s="8">
        <v>1207.95</v>
      </c>
      <c r="I23" s="3"/>
      <c r="J23" s="7">
        <f t="shared" si="1"/>
        <v>2.3398547215496369E-2</v>
      </c>
      <c r="K23" s="3"/>
      <c r="L23" s="8">
        <f t="shared" si="2"/>
        <v>-243.25</v>
      </c>
      <c r="M23" s="3"/>
      <c r="N23" s="7">
        <f t="shared" si="3"/>
        <v>-0.20137422906577257</v>
      </c>
      <c r="O23" s="12"/>
      <c r="P23" s="8">
        <v>9220.2000000000007</v>
      </c>
      <c r="Q23" s="3"/>
      <c r="R23" s="7">
        <f t="shared" si="4"/>
        <v>2.4626273687584303E-2</v>
      </c>
      <c r="S23" s="3"/>
      <c r="T23" s="8">
        <v>11026.85</v>
      </c>
      <c r="U23" s="3"/>
      <c r="V23" s="7">
        <f t="shared" si="5"/>
        <v>2.484201775709146E-2</v>
      </c>
      <c r="W23" s="3"/>
      <c r="X23" s="8">
        <f t="shared" si="6"/>
        <v>-1806.6499999999996</v>
      </c>
      <c r="Y23" s="3"/>
      <c r="Z23" s="7">
        <f t="shared" si="7"/>
        <v>-0.16384098813351045</v>
      </c>
    </row>
    <row r="24" spans="1:26" s="69" customFormat="1" ht="15" hidden="1" customHeight="1" outlineLevel="2" x14ac:dyDescent="0.3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33.64</v>
      </c>
      <c r="E24" s="3"/>
      <c r="F24" s="7">
        <f t="shared" si="0"/>
        <v>1.2054323288063927E-3</v>
      </c>
      <c r="G24" s="3"/>
      <c r="H24" s="8">
        <v>26.94</v>
      </c>
      <c r="I24" s="3"/>
      <c r="J24" s="7">
        <f t="shared" si="1"/>
        <v>5.2184019370460051E-4</v>
      </c>
      <c r="K24" s="3"/>
      <c r="L24" s="8">
        <f t="shared" si="2"/>
        <v>6.6999999999999993</v>
      </c>
      <c r="M24" s="3"/>
      <c r="N24" s="7">
        <f t="shared" si="3"/>
        <v>0.2487008166295471</v>
      </c>
      <c r="O24" s="12"/>
      <c r="P24" s="8">
        <v>298.2</v>
      </c>
      <c r="Q24" s="3"/>
      <c r="R24" s="7">
        <f t="shared" si="4"/>
        <v>7.9646372243960409E-4</v>
      </c>
      <c r="S24" s="3"/>
      <c r="T24" s="8">
        <v>346.98</v>
      </c>
      <c r="U24" s="3"/>
      <c r="V24" s="7">
        <f t="shared" si="5"/>
        <v>7.8169951721077146E-4</v>
      </c>
      <c r="W24" s="3"/>
      <c r="X24" s="8">
        <f t="shared" si="6"/>
        <v>-48.78000000000003</v>
      </c>
      <c r="Y24" s="3"/>
      <c r="Z24" s="7">
        <f t="shared" si="7"/>
        <v>-0.14058447172747718</v>
      </c>
    </row>
    <row r="25" spans="1:26" s="69" customFormat="1" ht="15" hidden="1" customHeight="1" outlineLevel="2" x14ac:dyDescent="0.3">
      <c r="A25" s="25"/>
      <c r="B25" s="12" t="str">
        <f>CONCATENATE("          ","6115"," - ","P.E.R.S.")</f>
        <v xml:space="preserve">          6115 - P.E.R.S.</v>
      </c>
      <c r="C25" s="12"/>
      <c r="D25" s="8">
        <v>630.69000000000005</v>
      </c>
      <c r="E25" s="3"/>
      <c r="F25" s="7">
        <f t="shared" si="0"/>
        <v>2.259970616691153E-2</v>
      </c>
      <c r="G25" s="3"/>
      <c r="H25" s="8">
        <v>640.35</v>
      </c>
      <c r="I25" s="3"/>
      <c r="J25" s="7">
        <f t="shared" si="1"/>
        <v>1.2403874092009685E-2</v>
      </c>
      <c r="K25" s="3"/>
      <c r="L25" s="8">
        <f t="shared" si="2"/>
        <v>-9.6599999999999682</v>
      </c>
      <c r="M25" s="3"/>
      <c r="N25" s="7">
        <f t="shared" si="3"/>
        <v>-1.5085500117123398E-2</v>
      </c>
      <c r="O25" s="12"/>
      <c r="P25" s="8">
        <v>5731.11</v>
      </c>
      <c r="Q25" s="3"/>
      <c r="R25" s="7">
        <f t="shared" si="4"/>
        <v>1.5307247499365659E-2</v>
      </c>
      <c r="S25" s="3"/>
      <c r="T25" s="8">
        <v>7060.93</v>
      </c>
      <c r="U25" s="3"/>
      <c r="V25" s="7">
        <f t="shared" si="5"/>
        <v>1.5907330601357579E-2</v>
      </c>
      <c r="W25" s="3"/>
      <c r="X25" s="8">
        <f t="shared" si="6"/>
        <v>-1329.8200000000006</v>
      </c>
      <c r="Y25" s="3"/>
      <c r="Z25" s="7">
        <f t="shared" si="7"/>
        <v>-0.18833496437438135</v>
      </c>
    </row>
    <row r="26" spans="1:26" s="69" customFormat="1" ht="15" hidden="1" customHeight="1" outlineLevel="2" x14ac:dyDescent="0.3">
      <c r="A26" s="25"/>
      <c r="B26" s="12" t="str">
        <f>CONCATENATE("          ","6117"," - ","RETIREMENT STAFF HOURLY")</f>
        <v xml:space="preserve">          6117 - RETIREMENT STAFF HOURLY</v>
      </c>
      <c r="C26" s="12"/>
      <c r="D26" s="8"/>
      <c r="E26" s="3"/>
      <c r="F26" s="7">
        <f t="shared" si="0"/>
        <v>0</v>
      </c>
      <c r="G26" s="3"/>
      <c r="H26" s="8">
        <v>116.92</v>
      </c>
      <c r="I26" s="3"/>
      <c r="J26" s="7">
        <f t="shared" si="1"/>
        <v>2.2647941888619856E-3</v>
      </c>
      <c r="K26" s="3"/>
      <c r="L26" s="8">
        <f t="shared" si="2"/>
        <v>-116.92</v>
      </c>
      <c r="M26" s="3"/>
      <c r="N26" s="7">
        <f t="shared" si="3"/>
        <v>-1</v>
      </c>
      <c r="O26" s="12"/>
      <c r="P26" s="8">
        <v>215.15</v>
      </c>
      <c r="Q26" s="3"/>
      <c r="R26" s="7">
        <f t="shared" si="4"/>
        <v>5.7464510356432209E-4</v>
      </c>
      <c r="S26" s="3"/>
      <c r="T26" s="8">
        <v>814.78</v>
      </c>
      <c r="U26" s="3"/>
      <c r="V26" s="7">
        <f t="shared" si="5"/>
        <v>1.8355903297970842E-3</v>
      </c>
      <c r="W26" s="3"/>
      <c r="X26" s="8">
        <f t="shared" si="6"/>
        <v>-599.63</v>
      </c>
      <c r="Y26" s="3"/>
      <c r="Z26" s="7">
        <f t="shared" si="7"/>
        <v>-0.73594099020594517</v>
      </c>
    </row>
    <row r="27" spans="1:26" s="69" customFormat="1" ht="15" hidden="1" customHeight="1" outlineLevel="2" x14ac:dyDescent="0.3">
      <c r="A27" s="25"/>
      <c r="B27" s="12" t="str">
        <f>CONCATENATE("          ","6118"," - ","VACATION")</f>
        <v xml:space="preserve">          6118 - VACATION</v>
      </c>
      <c r="C27" s="12"/>
      <c r="D27" s="8">
        <v>549.65</v>
      </c>
      <c r="E27" s="3"/>
      <c r="F27" s="7">
        <f t="shared" si="0"/>
        <v>1.969577525352062E-2</v>
      </c>
      <c r="G27" s="3"/>
      <c r="H27" s="8">
        <v>520.02</v>
      </c>
      <c r="I27" s="3"/>
      <c r="J27" s="7">
        <f t="shared" si="1"/>
        <v>1.0073026634382566E-2</v>
      </c>
      <c r="K27" s="3"/>
      <c r="L27" s="8">
        <f t="shared" si="2"/>
        <v>29.629999999999995</v>
      </c>
      <c r="M27" s="3"/>
      <c r="N27" s="7">
        <f t="shared" si="3"/>
        <v>5.697857774700972E-2</v>
      </c>
      <c r="O27" s="12"/>
      <c r="P27" s="8">
        <v>5901.04</v>
      </c>
      <c r="Q27" s="3"/>
      <c r="R27" s="7">
        <f t="shared" si="4"/>
        <v>1.5761114301358153E-2</v>
      </c>
      <c r="S27" s="3"/>
      <c r="T27" s="8">
        <v>4940.1899999999996</v>
      </c>
      <c r="U27" s="3"/>
      <c r="V27" s="7">
        <f t="shared" si="5"/>
        <v>1.112958711720987E-2</v>
      </c>
      <c r="W27" s="3"/>
      <c r="X27" s="8">
        <f t="shared" si="6"/>
        <v>960.85000000000036</v>
      </c>
      <c r="Y27" s="3"/>
      <c r="Z27" s="7">
        <f t="shared" si="7"/>
        <v>0.19449656794576736</v>
      </c>
    </row>
    <row r="28" spans="1:26" s="69" customFormat="1" ht="15" hidden="1" customHeight="1" outlineLevel="2" x14ac:dyDescent="0.3">
      <c r="A28" s="25"/>
      <c r="B28" s="12" t="str">
        <f>CONCATENATE("          ","6119"," - ","SICK LEAVE")</f>
        <v xml:space="preserve">          6119 - SICK LEAVE</v>
      </c>
      <c r="C28" s="12"/>
      <c r="D28" s="8">
        <v>290.13</v>
      </c>
      <c r="E28" s="3"/>
      <c r="F28" s="7">
        <f t="shared" si="0"/>
        <v>1.0396316336403052E-2</v>
      </c>
      <c r="G28" s="3"/>
      <c r="H28" s="8">
        <v>299.26</v>
      </c>
      <c r="I28" s="3"/>
      <c r="J28" s="7">
        <f t="shared" si="1"/>
        <v>5.7968038740920094E-3</v>
      </c>
      <c r="K28" s="3"/>
      <c r="L28" s="8">
        <f t="shared" si="2"/>
        <v>-9.1299999999999955</v>
      </c>
      <c r="M28" s="3"/>
      <c r="N28" s="7">
        <f t="shared" si="3"/>
        <v>-3.050858785003006E-2</v>
      </c>
      <c r="O28" s="12"/>
      <c r="P28" s="8">
        <v>4498.68</v>
      </c>
      <c r="Q28" s="3"/>
      <c r="R28" s="7">
        <f t="shared" si="4"/>
        <v>1.2015544664200533E-2</v>
      </c>
      <c r="S28" s="3"/>
      <c r="T28" s="8">
        <v>2842.98</v>
      </c>
      <c r="U28" s="3"/>
      <c r="V28" s="7">
        <f t="shared" si="5"/>
        <v>6.4048535749607442E-3</v>
      </c>
      <c r="W28" s="3"/>
      <c r="X28" s="8">
        <f t="shared" si="6"/>
        <v>1655.7000000000003</v>
      </c>
      <c r="Y28" s="3"/>
      <c r="Z28" s="7">
        <f t="shared" si="7"/>
        <v>0.58238186691429428</v>
      </c>
    </row>
    <row r="29" spans="1:26" s="69" customFormat="1" ht="15" hidden="1" customHeight="1" outlineLevel="2" x14ac:dyDescent="0.3">
      <c r="A29" s="25"/>
      <c r="B29" s="12" t="str">
        <f>CONCATENATE("          ","6156"," - ","EMPLOYEE MEALS")</f>
        <v xml:space="preserve">          6156 - EMPLOYEE MEALS</v>
      </c>
      <c r="C29" s="12"/>
      <c r="D29" s="8">
        <v>73.75</v>
      </c>
      <c r="E29" s="3"/>
      <c r="F29" s="7">
        <f t="shared" si="0"/>
        <v>2.6427061310782241E-3</v>
      </c>
      <c r="G29" s="3"/>
      <c r="H29" s="8">
        <v>932.53</v>
      </c>
      <c r="I29" s="3"/>
      <c r="J29" s="7">
        <f t="shared" si="1"/>
        <v>1.8063535108958837E-2</v>
      </c>
      <c r="K29" s="3"/>
      <c r="L29" s="8">
        <f t="shared" si="2"/>
        <v>-858.78</v>
      </c>
      <c r="M29" s="3"/>
      <c r="N29" s="7">
        <f t="shared" si="3"/>
        <v>-0.9209140724695184</v>
      </c>
      <c r="O29" s="12"/>
      <c r="P29" s="8">
        <v>576.25</v>
      </c>
      <c r="Q29" s="3"/>
      <c r="R29" s="7">
        <f t="shared" si="4"/>
        <v>1.5391087191677462E-3</v>
      </c>
      <c r="S29" s="3"/>
      <c r="T29" s="8">
        <v>1620.53</v>
      </c>
      <c r="U29" s="3"/>
      <c r="V29" s="7">
        <f t="shared" si="5"/>
        <v>3.6508372777265875E-3</v>
      </c>
      <c r="W29" s="3"/>
      <c r="X29" s="8">
        <f t="shared" si="6"/>
        <v>-1044.28</v>
      </c>
      <c r="Y29" s="3"/>
      <c r="Z29" s="7">
        <f t="shared" si="7"/>
        <v>-0.64440645961506415</v>
      </c>
    </row>
    <row r="30" spans="1:26" s="68" customFormat="1" ht="15" customHeight="1" outlineLevel="1" collapsed="1" x14ac:dyDescent="0.3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12205.9</v>
      </c>
      <c r="E30" s="2"/>
      <c r="F30" s="6">
        <f t="shared" si="0"/>
        <v>0.43737771885190097</v>
      </c>
      <c r="G30" s="2"/>
      <c r="H30" s="2">
        <f>SUM(OSRRefH22_1x_0)</f>
        <v>12967.17</v>
      </c>
      <c r="I30" s="2"/>
      <c r="J30" s="6">
        <f t="shared" si="1"/>
        <v>0.2511800484261501</v>
      </c>
      <c r="K30" s="2"/>
      <c r="L30" s="2">
        <f t="shared" si="2"/>
        <v>-761.27000000000044</v>
      </c>
      <c r="M30" s="2"/>
      <c r="N30" s="6">
        <f t="shared" si="3"/>
        <v>-5.8707489760680277E-2</v>
      </c>
      <c r="O30" s="14"/>
      <c r="P30" s="2">
        <f>SUM(OSRRefP22_1x_0)</f>
        <v>129265.06999999999</v>
      </c>
      <c r="Q30" s="2"/>
      <c r="R30" s="6">
        <f t="shared" si="4"/>
        <v>0.34525465738972499</v>
      </c>
      <c r="S30" s="2"/>
      <c r="T30" s="2">
        <f>SUM(OSRRefT22_1x_0)</f>
        <v>128147.72</v>
      </c>
      <c r="U30" s="2"/>
      <c r="V30" s="6">
        <f t="shared" si="5"/>
        <v>0.2886996681528074</v>
      </c>
      <c r="W30" s="2"/>
      <c r="X30" s="2">
        <f t="shared" si="6"/>
        <v>1117.3499999999913</v>
      </c>
      <c r="Y30" s="2"/>
      <c r="Z30" s="6">
        <f t="shared" si="7"/>
        <v>8.71923433362678E-3</v>
      </c>
    </row>
    <row r="31" spans="1:26" s="69" customFormat="1" ht="15" hidden="1" customHeight="1" outlineLevel="2" x14ac:dyDescent="0.3">
      <c r="A31" s="25"/>
      <c r="B31" s="12" t="str">
        <f>CONCATENATE("          ","6001"," - ","ADMINISTRATIVE SALARIES")</f>
        <v xml:space="preserve">          6001 - ADMINISTRATIVE SALARIES</v>
      </c>
      <c r="C31" s="12"/>
      <c r="D31" s="8">
        <v>3959.53</v>
      </c>
      <c r="E31" s="3"/>
      <c r="F31" s="7">
        <f t="shared" si="0"/>
        <v>0.14188304009746661</v>
      </c>
      <c r="G31" s="3"/>
      <c r="H31" s="8">
        <v>4204.72</v>
      </c>
      <c r="I31" s="3"/>
      <c r="J31" s="7">
        <f t="shared" si="1"/>
        <v>8.14473607748184E-2</v>
      </c>
      <c r="K31" s="3"/>
      <c r="L31" s="8">
        <f t="shared" si="2"/>
        <v>-245.19000000000005</v>
      </c>
      <c r="M31" s="3"/>
      <c r="N31" s="7">
        <f t="shared" si="3"/>
        <v>-5.8313038680340198E-2</v>
      </c>
      <c r="O31" s="12"/>
      <c r="P31" s="8">
        <v>42077.1</v>
      </c>
      <c r="Q31" s="3"/>
      <c r="R31" s="7">
        <f t="shared" si="4"/>
        <v>0.1123839158130901</v>
      </c>
      <c r="S31" s="3"/>
      <c r="T31" s="8">
        <v>39323.050000000003</v>
      </c>
      <c r="U31" s="3"/>
      <c r="V31" s="7">
        <f t="shared" si="5"/>
        <v>8.8589570581171909E-2</v>
      </c>
      <c r="W31" s="3"/>
      <c r="X31" s="8">
        <f t="shared" si="6"/>
        <v>2754.0499999999956</v>
      </c>
      <c r="Y31" s="3"/>
      <c r="Z31" s="7">
        <f t="shared" si="7"/>
        <v>7.0036530737061231E-2</v>
      </c>
    </row>
    <row r="32" spans="1:26" s="69" customFormat="1" ht="15" hidden="1" customHeight="1" outlineLevel="2" x14ac:dyDescent="0.3">
      <c r="A32" s="25"/>
      <c r="B32" s="12" t="str">
        <f>CONCATENATE("          ","6002"," - ","STAFF SALARIES")</f>
        <v xml:space="preserve">          6002 - STAFF SALARIES</v>
      </c>
      <c r="C32" s="12"/>
      <c r="D32" s="8">
        <v>1632</v>
      </c>
      <c r="E32" s="3"/>
      <c r="F32" s="7">
        <f t="shared" si="0"/>
        <v>5.8479951266707277E-2</v>
      </c>
      <c r="G32" s="3"/>
      <c r="H32" s="8">
        <v>2282.3000000000002</v>
      </c>
      <c r="I32" s="3"/>
      <c r="J32" s="7">
        <f t="shared" si="1"/>
        <v>4.4209200968523009E-2</v>
      </c>
      <c r="K32" s="3"/>
      <c r="L32" s="8">
        <f t="shared" si="2"/>
        <v>-650.30000000000018</v>
      </c>
      <c r="M32" s="3"/>
      <c r="N32" s="7">
        <f t="shared" si="3"/>
        <v>-0.28493186697629591</v>
      </c>
      <c r="O32" s="12"/>
      <c r="P32" s="8">
        <v>16584.57</v>
      </c>
      <c r="Q32" s="3"/>
      <c r="R32" s="7">
        <f t="shared" si="4"/>
        <v>4.4295802673575406E-2</v>
      </c>
      <c r="S32" s="3"/>
      <c r="T32" s="8">
        <v>21111.69</v>
      </c>
      <c r="U32" s="3"/>
      <c r="V32" s="7">
        <f t="shared" si="5"/>
        <v>4.7561813016610381E-2</v>
      </c>
      <c r="W32" s="3"/>
      <c r="X32" s="8">
        <f t="shared" si="6"/>
        <v>-4527.119999999999</v>
      </c>
      <c r="Y32" s="3"/>
      <c r="Z32" s="7">
        <f t="shared" si="7"/>
        <v>-0.21443664623722683</v>
      </c>
    </row>
    <row r="33" spans="1:26" s="69" customFormat="1" ht="15" hidden="1" customHeight="1" outlineLevel="2" x14ac:dyDescent="0.3">
      <c r="A33" s="25"/>
      <c r="B33" s="12" t="str">
        <f>CONCATENATE("          ","6004"," - ","STAFF HOURLY")</f>
        <v xml:space="preserve">          6004 - STAFF HOURLY</v>
      </c>
      <c r="C33" s="12"/>
      <c r="D33" s="8">
        <v>343.23</v>
      </c>
      <c r="E33" s="3"/>
      <c r="F33" s="7">
        <f t="shared" si="0"/>
        <v>1.2299064750779375E-2</v>
      </c>
      <c r="G33" s="3"/>
      <c r="H33" s="8"/>
      <c r="I33" s="3"/>
      <c r="J33" s="7">
        <f t="shared" si="1"/>
        <v>0</v>
      </c>
      <c r="K33" s="3"/>
      <c r="L33" s="8">
        <f t="shared" si="2"/>
        <v>343.23</v>
      </c>
      <c r="M33" s="3"/>
      <c r="N33" s="7">
        <f t="shared" si="3"/>
        <v>0</v>
      </c>
      <c r="O33" s="12"/>
      <c r="P33" s="8">
        <v>10840.47</v>
      </c>
      <c r="Q33" s="3"/>
      <c r="R33" s="7">
        <f t="shared" si="4"/>
        <v>2.8953860124731237E-2</v>
      </c>
      <c r="S33" s="3"/>
      <c r="T33" s="8"/>
      <c r="U33" s="3"/>
      <c r="V33" s="7">
        <f t="shared" si="5"/>
        <v>0</v>
      </c>
      <c r="W33" s="3"/>
      <c r="X33" s="8">
        <f t="shared" si="6"/>
        <v>10840.47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5"/>
      <c r="B34" s="12" t="str">
        <f>CONCATENATE("          ","6005"," - ","TEMPORARY WAGES-HOURLY")</f>
        <v xml:space="preserve">          6005 - TEMPORARY WAGES-HOURLY</v>
      </c>
      <c r="C34" s="12"/>
      <c r="D34" s="8">
        <v>2736.04</v>
      </c>
      <c r="E34" s="3"/>
      <c r="F34" s="7">
        <f t="shared" si="0"/>
        <v>9.8041351632206966E-2</v>
      </c>
      <c r="G34" s="3"/>
      <c r="H34" s="8">
        <v>6197.15</v>
      </c>
      <c r="I34" s="3"/>
      <c r="J34" s="7">
        <f t="shared" si="1"/>
        <v>0.12004164648910411</v>
      </c>
      <c r="K34" s="3"/>
      <c r="L34" s="8">
        <f t="shared" si="2"/>
        <v>-3461.1099999999997</v>
      </c>
      <c r="M34" s="3"/>
      <c r="N34" s="7">
        <f t="shared" si="3"/>
        <v>-0.55850027835375937</v>
      </c>
      <c r="O34" s="12"/>
      <c r="P34" s="8">
        <v>48371.23</v>
      </c>
      <c r="Q34" s="3"/>
      <c r="R34" s="7">
        <f t="shared" si="4"/>
        <v>0.12919493596506457</v>
      </c>
      <c r="S34" s="3"/>
      <c r="T34" s="8">
        <v>57971.32</v>
      </c>
      <c r="U34" s="3"/>
      <c r="V34" s="7">
        <f t="shared" si="5"/>
        <v>0.13060162792112265</v>
      </c>
      <c r="W34" s="3"/>
      <c r="X34" s="8">
        <f t="shared" si="6"/>
        <v>-9600.0899999999965</v>
      </c>
      <c r="Y34" s="3"/>
      <c r="Z34" s="7">
        <f t="shared" si="7"/>
        <v>-0.16560067978441748</v>
      </c>
    </row>
    <row r="35" spans="1:26" s="69" customFormat="1" ht="15" hidden="1" customHeight="1" outlineLevel="2" x14ac:dyDescent="0.3">
      <c r="A35" s="25"/>
      <c r="B35" s="12" t="str">
        <f>CONCATENATE("          ","6007"," - ","STUDENT HOURLY")</f>
        <v xml:space="preserve">          6007 - STUDENT HOURLY</v>
      </c>
      <c r="C35" s="12"/>
      <c r="D35" s="8">
        <v>3535.1</v>
      </c>
      <c r="E35" s="3"/>
      <c r="F35" s="7">
        <f t="shared" si="0"/>
        <v>0.12667431110474076</v>
      </c>
      <c r="G35" s="3"/>
      <c r="H35" s="8">
        <v>283</v>
      </c>
      <c r="I35" s="3"/>
      <c r="J35" s="7">
        <f t="shared" si="1"/>
        <v>5.4818401937046001E-3</v>
      </c>
      <c r="K35" s="3"/>
      <c r="L35" s="8">
        <f t="shared" si="2"/>
        <v>3252.1</v>
      </c>
      <c r="M35" s="3"/>
      <c r="N35" s="7">
        <f t="shared" si="3"/>
        <v>11.491519434628975</v>
      </c>
      <c r="O35" s="12"/>
      <c r="P35" s="8">
        <v>11227.48</v>
      </c>
      <c r="Q35" s="3"/>
      <c r="R35" s="7">
        <f t="shared" si="4"/>
        <v>2.9987526875976549E-2</v>
      </c>
      <c r="S35" s="3"/>
      <c r="T35" s="8">
        <v>5829.78</v>
      </c>
      <c r="U35" s="3"/>
      <c r="V35" s="7">
        <f t="shared" si="5"/>
        <v>1.313371436810482E-2</v>
      </c>
      <c r="W35" s="3"/>
      <c r="X35" s="8">
        <f t="shared" si="6"/>
        <v>5397.7</v>
      </c>
      <c r="Y35" s="3"/>
      <c r="Z35" s="7">
        <f t="shared" si="7"/>
        <v>0.92588399562247636</v>
      </c>
    </row>
    <row r="36" spans="1:26" s="69" customFormat="1" ht="15" hidden="1" customHeight="1" outlineLevel="2" x14ac:dyDescent="0.3">
      <c r="A36" s="25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164.22</v>
      </c>
      <c r="Q36" s="3"/>
      <c r="R36" s="7">
        <f t="shared" si="4"/>
        <v>4.3861593728716227E-4</v>
      </c>
      <c r="S36" s="3"/>
      <c r="T36" s="8">
        <v>3911.88</v>
      </c>
      <c r="U36" s="3"/>
      <c r="V36" s="7">
        <f t="shared" si="5"/>
        <v>8.8129422657976606E-3</v>
      </c>
      <c r="W36" s="3"/>
      <c r="X36" s="8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6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138.72</v>
      </c>
      <c r="E37" s="2"/>
      <c r="F37" s="6">
        <f t="shared" si="0"/>
        <v>4.9707958576701182E-3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138.72</v>
      </c>
      <c r="M37" s="2"/>
      <c r="N37" s="6">
        <f t="shared" si="3"/>
        <v>0</v>
      </c>
      <c r="O37" s="14"/>
      <c r="P37" s="2">
        <f>SUM(OSRRefP22_2x_0)</f>
        <v>251.18</v>
      </c>
      <c r="Q37" s="2"/>
      <c r="R37" s="6">
        <f t="shared" si="4"/>
        <v>6.7087779276451967E-4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251.18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5"/>
      <c r="B38" s="12" t="str">
        <f>CONCATENATE("          ","6362"," - ","ADVERTISING EXPENSE")</f>
        <v xml:space="preserve">          6362 - ADVERTISING EXPENSE</v>
      </c>
      <c r="C38" s="12"/>
      <c r="D38" s="8">
        <v>138.72</v>
      </c>
      <c r="E38" s="3"/>
      <c r="F38" s="7">
        <f t="shared" si="0"/>
        <v>4.9707958576701182E-3</v>
      </c>
      <c r="G38" s="3"/>
      <c r="H38" s="8"/>
      <c r="I38" s="3"/>
      <c r="J38" s="7">
        <f t="shared" si="1"/>
        <v>0</v>
      </c>
      <c r="K38" s="3"/>
      <c r="L38" s="8">
        <f t="shared" si="2"/>
        <v>138.72</v>
      </c>
      <c r="M38" s="3"/>
      <c r="N38" s="7">
        <f t="shared" si="3"/>
        <v>0</v>
      </c>
      <c r="O38" s="12"/>
      <c r="P38" s="8">
        <v>251.18</v>
      </c>
      <c r="Q38" s="3"/>
      <c r="R38" s="7">
        <f t="shared" si="4"/>
        <v>6.7087779276451967E-4</v>
      </c>
      <c r="S38" s="3"/>
      <c r="T38" s="8"/>
      <c r="U38" s="3"/>
      <c r="V38" s="7">
        <f t="shared" si="5"/>
        <v>0</v>
      </c>
      <c r="W38" s="3"/>
      <c r="X38" s="8">
        <f t="shared" si="6"/>
        <v>251.18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6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662.05</v>
      </c>
      <c r="E39" s="2"/>
      <c r="F39" s="6">
        <f t="shared" si="0"/>
        <v>2.3723438563801196E-2</v>
      </c>
      <c r="G39" s="2"/>
      <c r="H39" s="2">
        <f>SUM(OSRRefH22_3x_0)</f>
        <v>45.38</v>
      </c>
      <c r="I39" s="2"/>
      <c r="J39" s="6">
        <f t="shared" si="1"/>
        <v>8.7903147699757876E-4</v>
      </c>
      <c r="K39" s="2"/>
      <c r="L39" s="2">
        <f t="shared" si="2"/>
        <v>616.66999999999996</v>
      </c>
      <c r="M39" s="2"/>
      <c r="N39" s="6">
        <f t="shared" si="3"/>
        <v>13.589026002644335</v>
      </c>
      <c r="O39" s="14"/>
      <c r="P39" s="2">
        <f>SUM(OSRRefP22_3x_0)</f>
        <v>3434.23</v>
      </c>
      <c r="Q39" s="2"/>
      <c r="R39" s="6">
        <f t="shared" si="4"/>
        <v>9.1725003672493699E-3</v>
      </c>
      <c r="S39" s="2"/>
      <c r="T39" s="2">
        <f>SUM(OSRRefT22_3x_0)</f>
        <v>753.27</v>
      </c>
      <c r="U39" s="2"/>
      <c r="V39" s="6">
        <f t="shared" si="5"/>
        <v>1.6970165292793757E-3</v>
      </c>
      <c r="W39" s="2"/>
      <c r="X39" s="2">
        <f t="shared" si="6"/>
        <v>2680.96</v>
      </c>
      <c r="Y39" s="2"/>
      <c r="Z39" s="6">
        <f t="shared" si="7"/>
        <v>3.5590956761851662</v>
      </c>
    </row>
    <row r="40" spans="1:26" s="69" customFormat="1" ht="15" hidden="1" customHeight="1" outlineLevel="2" x14ac:dyDescent="0.3">
      <c r="A40" s="25"/>
      <c r="B40" s="12" t="str">
        <f>CONCATENATE("          ","6381"," - ","BANK/CREDIT CARD FEES")</f>
        <v xml:space="preserve">          6381 - BANK/CREDIT CARD FEES</v>
      </c>
      <c r="C40" s="12"/>
      <c r="D40" s="8">
        <v>662.05</v>
      </c>
      <c r="E40" s="3"/>
      <c r="F40" s="7">
        <f t="shared" si="0"/>
        <v>2.3723438563801196E-2</v>
      </c>
      <c r="G40" s="3"/>
      <c r="H40" s="8">
        <v>45.38</v>
      </c>
      <c r="I40" s="3"/>
      <c r="J40" s="7">
        <f t="shared" si="1"/>
        <v>8.7903147699757876E-4</v>
      </c>
      <c r="K40" s="3"/>
      <c r="L40" s="8">
        <f t="shared" si="2"/>
        <v>616.66999999999996</v>
      </c>
      <c r="M40" s="3"/>
      <c r="N40" s="7">
        <f t="shared" si="3"/>
        <v>13.589026002644335</v>
      </c>
      <c r="O40" s="12"/>
      <c r="P40" s="8">
        <v>3434.23</v>
      </c>
      <c r="Q40" s="3"/>
      <c r="R40" s="7">
        <f t="shared" si="4"/>
        <v>9.1725003672493699E-3</v>
      </c>
      <c r="S40" s="3"/>
      <c r="T40" s="8">
        <v>753.27</v>
      </c>
      <c r="U40" s="3"/>
      <c r="V40" s="7">
        <f t="shared" si="5"/>
        <v>1.6970165292793757E-3</v>
      </c>
      <c r="W40" s="3"/>
      <c r="X40" s="8">
        <f t="shared" si="6"/>
        <v>2680.96</v>
      </c>
      <c r="Y40" s="3"/>
      <c r="Z40" s="7">
        <f t="shared" si="7"/>
        <v>3.5590956761851662</v>
      </c>
    </row>
    <row r="41" spans="1:26" s="68" customFormat="1" ht="15" customHeight="1" outlineLevel="1" collapsed="1" x14ac:dyDescent="0.3">
      <c r="A41" s="26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1.6559607911219135E-6</v>
      </c>
      <c r="S41" s="2"/>
      <c r="T41" s="2">
        <f>SUM(OSRRefT22_4x_0)</f>
        <v>2.12</v>
      </c>
      <c r="U41" s="2"/>
      <c r="V41" s="6">
        <f t="shared" si="5"/>
        <v>4.7760763631530214E-6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3">
      <c r="A42" s="25"/>
      <c r="B42" s="12" t="str">
        <f>CONCATENATE("          ","6305"," - ","FREIGHT OUT")</f>
        <v xml:space="preserve">          6305 - FREIGHT OUT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0.62</v>
      </c>
      <c r="Q42" s="3"/>
      <c r="R42" s="7">
        <f t="shared" si="4"/>
        <v>1.6559607911219135E-6</v>
      </c>
      <c r="S42" s="3"/>
      <c r="T42" s="8">
        <v>1.62</v>
      </c>
      <c r="U42" s="3"/>
      <c r="V42" s="7">
        <f t="shared" si="5"/>
        <v>3.6496432586357996E-6</v>
      </c>
      <c r="W42" s="3"/>
      <c r="X42" s="8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5"/>
      <c r="B43" s="12" t="str">
        <f>CONCATENATE("          ","6307"," - ","POSTAGE")</f>
        <v xml:space="preserve">          6307 - POSTAGE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0.5</v>
      </c>
      <c r="U43" s="3"/>
      <c r="V43" s="7">
        <f t="shared" si="5"/>
        <v>1.126433104517222E-6</v>
      </c>
      <c r="W43" s="3"/>
      <c r="X43" s="8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6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1.4129071559107033E-3</v>
      </c>
      <c r="G44" s="2"/>
      <c r="H44" s="2">
        <f>SUM(OSRRefH22_5x_0)</f>
        <v>29.01</v>
      </c>
      <c r="I44" s="2"/>
      <c r="J44" s="6">
        <f t="shared" si="1"/>
        <v>5.6193704600484261E-4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354.87</v>
      </c>
      <c r="Q44" s="2"/>
      <c r="R44" s="6">
        <f t="shared" si="4"/>
        <v>9.4782388055715072E-4</v>
      </c>
      <c r="S44" s="2"/>
      <c r="T44" s="2">
        <f>SUM(OSRRefT22_5x_0)</f>
        <v>261.08999999999997</v>
      </c>
      <c r="U44" s="2"/>
      <c r="V44" s="6">
        <f t="shared" si="5"/>
        <v>5.8820083851680296E-4</v>
      </c>
      <c r="W44" s="2"/>
      <c r="X44" s="2">
        <f t="shared" si="6"/>
        <v>93.78000000000003</v>
      </c>
      <c r="Y44" s="2"/>
      <c r="Z44" s="6">
        <f t="shared" si="7"/>
        <v>0.35918648741813181</v>
      </c>
    </row>
    <row r="45" spans="1:26" s="69" customFormat="1" ht="15" hidden="1" customHeight="1" outlineLevel="2" x14ac:dyDescent="0.3">
      <c r="A45" s="25"/>
      <c r="B45" s="12" t="str">
        <f>CONCATENATE("          ","6314"," - ","LIABILITY INSURANCE")</f>
        <v xml:space="preserve">          6314 - LIABILITY INSURANCE</v>
      </c>
      <c r="C45" s="12"/>
      <c r="D45" s="8">
        <v>39.43</v>
      </c>
      <c r="E45" s="3"/>
      <c r="F45" s="7">
        <f t="shared" si="0"/>
        <v>1.4129071559107033E-3</v>
      </c>
      <c r="G45" s="3"/>
      <c r="H45" s="8">
        <v>29.01</v>
      </c>
      <c r="I45" s="3"/>
      <c r="J45" s="7">
        <f t="shared" si="1"/>
        <v>5.6193704600484261E-4</v>
      </c>
      <c r="K45" s="3"/>
      <c r="L45" s="8">
        <f t="shared" si="2"/>
        <v>10.419999999999998</v>
      </c>
      <c r="M45" s="3"/>
      <c r="N45" s="7">
        <f t="shared" si="3"/>
        <v>0.35918648741813158</v>
      </c>
      <c r="O45" s="12"/>
      <c r="P45" s="8">
        <v>354.87</v>
      </c>
      <c r="Q45" s="3"/>
      <c r="R45" s="7">
        <f t="shared" si="4"/>
        <v>9.4782388055715072E-4</v>
      </c>
      <c r="S45" s="3"/>
      <c r="T45" s="8">
        <v>261.08999999999997</v>
      </c>
      <c r="U45" s="3"/>
      <c r="V45" s="7">
        <f t="shared" si="5"/>
        <v>5.8820083851680296E-4</v>
      </c>
      <c r="W45" s="3"/>
      <c r="X45" s="8">
        <f t="shared" si="6"/>
        <v>93.78000000000003</v>
      </c>
      <c r="Y45" s="3"/>
      <c r="Z45" s="7">
        <f t="shared" si="7"/>
        <v>0.35918648741813181</v>
      </c>
    </row>
    <row r="46" spans="1:26" s="68" customFormat="1" ht="15" customHeight="1" outlineLevel="1" collapsed="1" x14ac:dyDescent="0.3">
      <c r="A46" s="26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2.8666642777797686E-2</v>
      </c>
      <c r="G46" s="2"/>
      <c r="H46" s="2">
        <f>SUM(OSRRefH22_6x_0)</f>
        <v>800</v>
      </c>
      <c r="I46" s="2"/>
      <c r="J46" s="6">
        <f t="shared" si="1"/>
        <v>1.549636803874092E-2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7200</v>
      </c>
      <c r="Q46" s="2"/>
      <c r="R46" s="6">
        <f t="shared" si="4"/>
        <v>1.9230512413028672E-2</v>
      </c>
      <c r="S46" s="2"/>
      <c r="T46" s="2">
        <f>SUM(OSRRefT22_6x_0)</f>
        <v>7200</v>
      </c>
      <c r="U46" s="2"/>
      <c r="V46" s="6">
        <f t="shared" si="5"/>
        <v>1.6220636705047996E-2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5"/>
      <c r="B47" s="12" t="str">
        <f>CONCATENATE("          ","6273"," - ","RENT")</f>
        <v xml:space="preserve">          6273 - RENT</v>
      </c>
      <c r="C47" s="12"/>
      <c r="D47" s="8">
        <v>800</v>
      </c>
      <c r="E47" s="3"/>
      <c r="F47" s="7">
        <f t="shared" si="0"/>
        <v>2.8666642777797686E-2</v>
      </c>
      <c r="G47" s="3"/>
      <c r="H47" s="8">
        <v>800</v>
      </c>
      <c r="I47" s="3"/>
      <c r="J47" s="7">
        <f t="shared" si="1"/>
        <v>1.549636803874092E-2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7200</v>
      </c>
      <c r="Q47" s="3"/>
      <c r="R47" s="7">
        <f t="shared" si="4"/>
        <v>1.9230512413028672E-2</v>
      </c>
      <c r="S47" s="3"/>
      <c r="T47" s="8">
        <v>7200</v>
      </c>
      <c r="U47" s="3"/>
      <c r="V47" s="7">
        <f t="shared" si="5"/>
        <v>1.6220636705047996E-2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6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22581.23</v>
      </c>
      <c r="I48" s="2"/>
      <c r="J48" s="6">
        <f t="shared" si="1"/>
        <v>0.43740881355932204</v>
      </c>
      <c r="K48" s="2"/>
      <c r="L48" s="2">
        <f t="shared" si="2"/>
        <v>-22581.23</v>
      </c>
      <c r="M48" s="2"/>
      <c r="N48" s="6">
        <f t="shared" si="3"/>
        <v>-1</v>
      </c>
      <c r="O48" s="14"/>
      <c r="P48" s="2">
        <f>SUM(OSRRefP22_7x_0)</f>
        <v>131139.97</v>
      </c>
      <c r="Q48" s="2"/>
      <c r="R48" s="6">
        <f t="shared" si="4"/>
        <v>0.35026233624016773</v>
      </c>
      <c r="S48" s="2"/>
      <c r="T48" s="2">
        <f>SUM(OSRRefT22_7x_0)</f>
        <v>149496.13</v>
      </c>
      <c r="U48" s="2"/>
      <c r="V48" s="6">
        <f t="shared" si="5"/>
        <v>0.33679477965842042</v>
      </c>
      <c r="W48" s="2"/>
      <c r="X48" s="2">
        <f t="shared" si="6"/>
        <v>-18356.160000000003</v>
      </c>
      <c r="Y48" s="2"/>
      <c r="Z48" s="6">
        <f t="shared" si="7"/>
        <v>-0.12278685742567384</v>
      </c>
    </row>
    <row r="49" spans="1:26" s="69" customFormat="1" ht="15" hidden="1" customHeight="1" outlineLevel="2" x14ac:dyDescent="0.3">
      <c r="A49" s="25"/>
      <c r="B49" s="12" t="str">
        <f>CONCATENATE("          ","6371"," - ","COMPUTER SOFTWARE MAINTENANCE")</f>
        <v xml:space="preserve">          6371 - COMPUTER SOFTWARE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7583.7</v>
      </c>
      <c r="Q49" s="3"/>
      <c r="R49" s="7">
        <f t="shared" si="4"/>
        <v>2.0255338470372992E-2</v>
      </c>
      <c r="S49" s="3"/>
      <c r="T49" s="8"/>
      <c r="U49" s="3"/>
      <c r="V49" s="7">
        <f t="shared" si="5"/>
        <v>0</v>
      </c>
      <c r="W49" s="3"/>
      <c r="X49" s="8">
        <f t="shared" si="6"/>
        <v>7583.7</v>
      </c>
      <c r="Y49" s="3"/>
      <c r="Z49" s="7">
        <f t="shared" si="7"/>
        <v>0</v>
      </c>
    </row>
    <row r="50" spans="1:26" s="69" customFormat="1" ht="15" hidden="1" customHeight="1" outlineLevel="2" x14ac:dyDescent="0.3">
      <c r="A50" s="25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1555.65</v>
      </c>
      <c r="Q50" s="3"/>
      <c r="R50" s="7">
        <f t="shared" si="4"/>
        <v>4.1549925882400076E-3</v>
      </c>
      <c r="S50" s="3"/>
      <c r="T50" s="8"/>
      <c r="U50" s="3"/>
      <c r="V50" s="7">
        <f t="shared" si="5"/>
        <v>0</v>
      </c>
      <c r="W50" s="3"/>
      <c r="X50" s="8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5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>
        <v>22581.23</v>
      </c>
      <c r="I51" s="3"/>
      <c r="J51" s="7">
        <f t="shared" si="1"/>
        <v>0.43740881355932204</v>
      </c>
      <c r="K51" s="3"/>
      <c r="L51" s="8">
        <f t="shared" si="2"/>
        <v>-22581.23</v>
      </c>
      <c r="M51" s="3"/>
      <c r="N51" s="7">
        <f t="shared" si="3"/>
        <v>-1</v>
      </c>
      <c r="O51" s="12"/>
      <c r="P51" s="8">
        <v>122000.62</v>
      </c>
      <c r="Q51" s="3"/>
      <c r="R51" s="7">
        <f t="shared" si="4"/>
        <v>0.32585200518155472</v>
      </c>
      <c r="S51" s="3"/>
      <c r="T51" s="8">
        <v>142934.13</v>
      </c>
      <c r="U51" s="3"/>
      <c r="V51" s="7">
        <f t="shared" si="5"/>
        <v>0.32201147159473642</v>
      </c>
      <c r="W51" s="3"/>
      <c r="X51" s="8">
        <f t="shared" si="6"/>
        <v>-20933.510000000009</v>
      </c>
      <c r="Y51" s="3"/>
      <c r="Z51" s="7">
        <f t="shared" si="7"/>
        <v>-0.14645564358911345</v>
      </c>
    </row>
    <row r="52" spans="1:26" s="69" customFormat="1" ht="15" hidden="1" customHeight="1" outlineLevel="2" x14ac:dyDescent="0.3">
      <c r="A52" s="25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6562</v>
      </c>
      <c r="U52" s="3"/>
      <c r="V52" s="7">
        <f t="shared" si="5"/>
        <v>1.4783308063684022E-2</v>
      </c>
      <c r="W52" s="3"/>
      <c r="X52" s="8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6"/>
      <c r="B53" s="14" t="str">
        <f>CONCATENATE("     ","Supplies                                          ")</f>
        <v xml:space="preserve">     Supplies                                          </v>
      </c>
      <c r="C53" s="14"/>
      <c r="D53" s="2">
        <f>SUM(OSRRefD22_8x_0)</f>
        <v>10001.17</v>
      </c>
      <c r="E53" s="2"/>
      <c r="F53" s="6">
        <f t="shared" si="0"/>
        <v>0.35837495968753358</v>
      </c>
      <c r="G53" s="2"/>
      <c r="H53" s="2">
        <f>SUM(OSRRefH22_8x_0)</f>
        <v>3.72</v>
      </c>
      <c r="I53" s="2"/>
      <c r="J53" s="6">
        <f t="shared" si="1"/>
        <v>7.205811138014528E-5</v>
      </c>
      <c r="K53" s="2"/>
      <c r="L53" s="2">
        <f t="shared" si="2"/>
        <v>9997.4500000000007</v>
      </c>
      <c r="M53" s="2"/>
      <c r="N53" s="6">
        <f t="shared" si="3"/>
        <v>2687.4865591397852</v>
      </c>
      <c r="O53" s="14"/>
      <c r="P53" s="2">
        <f>SUM(OSRRefP22_8x_0)</f>
        <v>29592.449999999997</v>
      </c>
      <c r="Q53" s="2"/>
      <c r="R53" s="6">
        <f t="shared" si="4"/>
        <v>7.9038607924573651E-2</v>
      </c>
      <c r="S53" s="2"/>
      <c r="T53" s="2">
        <f>SUM(OSRRefT22_8x_0)</f>
        <v>42061.89</v>
      </c>
      <c r="U53" s="2"/>
      <c r="V53" s="6">
        <f t="shared" si="5"/>
        <v>9.4759810669123798E-2</v>
      </c>
      <c r="W53" s="2"/>
      <c r="X53" s="2">
        <f t="shared" si="6"/>
        <v>-12469.440000000002</v>
      </c>
      <c r="Y53" s="2"/>
      <c r="Z53" s="6">
        <f t="shared" si="7"/>
        <v>-0.29645458157015775</v>
      </c>
    </row>
    <row r="54" spans="1:26" s="69" customFormat="1" ht="15" hidden="1" customHeight="1" outlineLevel="2" x14ac:dyDescent="0.3">
      <c r="A54" s="25"/>
      <c r="B54" s="12" t="str">
        <f>CONCATENATE("          ","6241"," - ","OFFICE EXPENSE")</f>
        <v xml:space="preserve">          6241 - OFFICE EXPENSE</v>
      </c>
      <c r="C54" s="12"/>
      <c r="D54" s="8">
        <v>9992.36</v>
      </c>
      <c r="E54" s="3"/>
      <c r="F54" s="7">
        <f t="shared" si="0"/>
        <v>0.35805926828394313</v>
      </c>
      <c r="G54" s="3"/>
      <c r="H54" s="8">
        <v>3.72</v>
      </c>
      <c r="I54" s="3"/>
      <c r="J54" s="7">
        <f t="shared" si="1"/>
        <v>7.205811138014528E-5</v>
      </c>
      <c r="K54" s="3"/>
      <c r="L54" s="8">
        <f t="shared" si="2"/>
        <v>9988.6400000000012</v>
      </c>
      <c r="M54" s="3"/>
      <c r="N54" s="7">
        <f t="shared" si="3"/>
        <v>2685.1182795698928</v>
      </c>
      <c r="O54" s="12"/>
      <c r="P54" s="8">
        <v>29567.1</v>
      </c>
      <c r="Q54" s="3"/>
      <c r="R54" s="7">
        <f t="shared" si="4"/>
        <v>7.8970900495452787E-2</v>
      </c>
      <c r="S54" s="3"/>
      <c r="T54" s="8">
        <v>42061.89</v>
      </c>
      <c r="U54" s="3"/>
      <c r="V54" s="7">
        <f t="shared" si="5"/>
        <v>9.4759810669123798E-2</v>
      </c>
      <c r="W54" s="3"/>
      <c r="X54" s="8">
        <f t="shared" si="6"/>
        <v>-12494.79</v>
      </c>
      <c r="Y54" s="3"/>
      <c r="Z54" s="7">
        <f t="shared" si="7"/>
        <v>-0.29705726490179118</v>
      </c>
    </row>
    <row r="55" spans="1:26" s="69" customFormat="1" ht="15" hidden="1" customHeight="1" outlineLevel="2" x14ac:dyDescent="0.3">
      <c r="A55" s="25"/>
      <c r="B55" s="12" t="str">
        <f>CONCATENATE("          ","6247"," - ","STORE SUPPLIES")</f>
        <v xml:space="preserve">          6247 - STORE SUPPLIES</v>
      </c>
      <c r="C55" s="12"/>
      <c r="D55" s="8">
        <v>8.81</v>
      </c>
      <c r="E55" s="3"/>
      <c r="F55" s="7">
        <f t="shared" si="0"/>
        <v>3.1569140359049701E-4</v>
      </c>
      <c r="G55" s="3"/>
      <c r="H55" s="8"/>
      <c r="I55" s="3"/>
      <c r="J55" s="7">
        <f t="shared" si="1"/>
        <v>0</v>
      </c>
      <c r="K55" s="3"/>
      <c r="L55" s="8">
        <f t="shared" si="2"/>
        <v>8.81</v>
      </c>
      <c r="M55" s="3"/>
      <c r="N55" s="7">
        <f t="shared" si="3"/>
        <v>0</v>
      </c>
      <c r="O55" s="12"/>
      <c r="P55" s="8">
        <v>25.35</v>
      </c>
      <c r="Q55" s="3"/>
      <c r="R55" s="7">
        <f t="shared" si="4"/>
        <v>6.7707429120871792E-5</v>
      </c>
      <c r="S55" s="3"/>
      <c r="T55" s="8"/>
      <c r="U55" s="3"/>
      <c r="V55" s="7">
        <f t="shared" si="5"/>
        <v>0</v>
      </c>
      <c r="W55" s="3"/>
      <c r="X55" s="8">
        <f t="shared" si="6"/>
        <v>25.35</v>
      </c>
      <c r="Y55" s="3"/>
      <c r="Z55" s="7">
        <f t="shared" si="7"/>
        <v>0</v>
      </c>
    </row>
    <row r="56" spans="1:26" s="68" customFormat="1" ht="15" customHeight="1" outlineLevel="1" collapsed="1" x14ac:dyDescent="0.3">
      <c r="A56" s="26"/>
      <c r="B56" s="14" t="str">
        <f>CONCATENATE("     ","Telephone/Data Lines                              ")</f>
        <v xml:space="preserve">     Telephone/Data Lines                              </v>
      </c>
      <c r="C56" s="14"/>
      <c r="D56" s="2">
        <f>SUM(OSRRefD22_9x_0)</f>
        <v>87.05</v>
      </c>
      <c r="E56" s="2"/>
      <c r="F56" s="6">
        <f t="shared" si="0"/>
        <v>3.1192890672591105E-3</v>
      </c>
      <c r="G56" s="2"/>
      <c r="H56" s="2">
        <f>SUM(OSRRefH22_9x_0)</f>
        <v>87</v>
      </c>
      <c r="I56" s="2"/>
      <c r="J56" s="6">
        <f t="shared" si="1"/>
        <v>1.6852300242130751E-3</v>
      </c>
      <c r="K56" s="2"/>
      <c r="L56" s="2">
        <f t="shared" si="2"/>
        <v>4.9999999999997158E-2</v>
      </c>
      <c r="M56" s="2"/>
      <c r="N56" s="6">
        <f t="shared" si="3"/>
        <v>5.7471264367812828E-4</v>
      </c>
      <c r="O56" s="14"/>
      <c r="P56" s="2">
        <f>SUM(OSRRefP22_9x_0)</f>
        <v>367.25</v>
      </c>
      <c r="Q56" s="2"/>
      <c r="R56" s="6">
        <f t="shared" si="4"/>
        <v>9.8088967828955276E-4</v>
      </c>
      <c r="S56" s="2"/>
      <c r="T56" s="2">
        <f>SUM(OSRRefT22_9x_0)</f>
        <v>1711.83</v>
      </c>
      <c r="U56" s="2"/>
      <c r="V56" s="6">
        <f t="shared" si="5"/>
        <v>3.8565239626114321E-3</v>
      </c>
      <c r="W56" s="2"/>
      <c r="X56" s="2">
        <f t="shared" si="6"/>
        <v>-1344.58</v>
      </c>
      <c r="Y56" s="2"/>
      <c r="Z56" s="6">
        <f t="shared" si="7"/>
        <v>-0.78546350981113777</v>
      </c>
    </row>
    <row r="57" spans="1:26" s="69" customFormat="1" ht="15" hidden="1" customHeight="1" outlineLevel="2" x14ac:dyDescent="0.3">
      <c r="A57" s="25"/>
      <c r="B57" s="12" t="str">
        <f>CONCATENATE("          ","6309"," - ","TELEPHONE")</f>
        <v xml:space="preserve">          6309 - TELEPHONE</v>
      </c>
      <c r="C57" s="12"/>
      <c r="D57" s="8">
        <v>87.05</v>
      </c>
      <c r="E57" s="3"/>
      <c r="F57" s="7">
        <f t="shared" si="0"/>
        <v>3.1192890672591105E-3</v>
      </c>
      <c r="G57" s="3"/>
      <c r="H57" s="8">
        <v>87</v>
      </c>
      <c r="I57" s="3"/>
      <c r="J57" s="7">
        <f t="shared" si="1"/>
        <v>1.6852300242130751E-3</v>
      </c>
      <c r="K57" s="3"/>
      <c r="L57" s="8">
        <f t="shared" si="2"/>
        <v>4.9999999999997158E-2</v>
      </c>
      <c r="M57" s="3"/>
      <c r="N57" s="7">
        <f t="shared" si="3"/>
        <v>5.7471264367812828E-4</v>
      </c>
      <c r="O57" s="12"/>
      <c r="P57" s="8">
        <v>367.25</v>
      </c>
      <c r="Q57" s="3"/>
      <c r="R57" s="7">
        <f t="shared" si="4"/>
        <v>9.8088967828955276E-4</v>
      </c>
      <c r="S57" s="3"/>
      <c r="T57" s="8">
        <v>1711.83</v>
      </c>
      <c r="U57" s="3"/>
      <c r="V57" s="7">
        <f t="shared" si="5"/>
        <v>3.8565239626114321E-3</v>
      </c>
      <c r="W57" s="3"/>
      <c r="X57" s="8">
        <f t="shared" si="6"/>
        <v>-1344.58</v>
      </c>
      <c r="Y57" s="3"/>
      <c r="Z57" s="7">
        <f t="shared" si="7"/>
        <v>-0.78546350981113777</v>
      </c>
    </row>
    <row r="58" spans="1:26" s="68" customFormat="1" ht="15" customHeight="1" outlineLevel="1" collapsed="1" x14ac:dyDescent="0.3">
      <c r="A58" s="26"/>
      <c r="B58" s="14" t="str">
        <f>CONCATENATE("     ","Training                                          ")</f>
        <v xml:space="preserve">     Training                                          </v>
      </c>
      <c r="C58" s="14"/>
      <c r="D58" s="2">
        <f>SUM(OSRRefD22_10x_0)</f>
        <v>0</v>
      </c>
      <c r="E58" s="2"/>
      <c r="F58" s="6">
        <f t="shared" si="0"/>
        <v>0</v>
      </c>
      <c r="G58" s="2"/>
      <c r="H58" s="2">
        <f>SUM(OSRRefH22_10x_0)</f>
        <v>0</v>
      </c>
      <c r="I58" s="2"/>
      <c r="J58" s="6">
        <f t="shared" si="1"/>
        <v>0</v>
      </c>
      <c r="K58" s="2"/>
      <c r="L58" s="2">
        <f t="shared" si="2"/>
        <v>0</v>
      </c>
      <c r="M58" s="2"/>
      <c r="N58" s="6">
        <f t="shared" si="3"/>
        <v>0</v>
      </c>
      <c r="O58" s="14"/>
      <c r="P58" s="2">
        <f>SUM(OSRRefP22_10x_0)</f>
        <v>2000</v>
      </c>
      <c r="Q58" s="2"/>
      <c r="R58" s="6">
        <f t="shared" si="4"/>
        <v>5.3418090036190758E-3</v>
      </c>
      <c r="S58" s="2"/>
      <c r="T58" s="2">
        <f>SUM(OSRRefT22_10x_0)</f>
        <v>0</v>
      </c>
      <c r="U58" s="2"/>
      <c r="V58" s="6">
        <f t="shared" si="5"/>
        <v>0</v>
      </c>
      <c r="W58" s="2"/>
      <c r="X58" s="2">
        <f t="shared" si="6"/>
        <v>2000</v>
      </c>
      <c r="Y58" s="2"/>
      <c r="Z58" s="6">
        <f t="shared" si="7"/>
        <v>0</v>
      </c>
    </row>
    <row r="59" spans="1:26" s="69" customFormat="1" ht="15" hidden="1" customHeight="1" outlineLevel="2" x14ac:dyDescent="0.3">
      <c r="A59" s="25"/>
      <c r="B59" s="12" t="str">
        <f>CONCATENATE("          ","6376"," - ","TRAINING")</f>
        <v xml:space="preserve">          6376 - TRAINING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2000</v>
      </c>
      <c r="Q59" s="3"/>
      <c r="R59" s="7">
        <f t="shared" si="4"/>
        <v>5.3418090036190758E-3</v>
      </c>
      <c r="S59" s="3"/>
      <c r="T59" s="8"/>
      <c r="U59" s="3"/>
      <c r="V59" s="7">
        <f t="shared" si="5"/>
        <v>0</v>
      </c>
      <c r="W59" s="3"/>
      <c r="X59" s="8">
        <f t="shared" si="6"/>
        <v>2000</v>
      </c>
      <c r="Y59" s="3"/>
      <c r="Z59" s="7">
        <f t="shared" si="7"/>
        <v>0</v>
      </c>
    </row>
    <row r="60" spans="1:26" s="64" customFormat="1" ht="15" customHeight="1" x14ac:dyDescent="0.3">
      <c r="A60" s="36"/>
      <c r="B60" s="36"/>
      <c r="C60" s="36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collapsed="1" x14ac:dyDescent="0.3">
      <c r="A61" s="11"/>
      <c r="B61" s="28" t="s">
        <v>290</v>
      </c>
      <c r="C61" s="11"/>
      <c r="D61" s="5">
        <f>SUM(OSRRefD25x_0)</f>
        <v>1533.83</v>
      </c>
      <c r="E61" s="5"/>
      <c r="F61" s="13">
        <f>IF(D$12=0,0,D61/D$12)</f>
        <v>5.4962195864836777E-2</v>
      </c>
      <c r="G61" s="5"/>
      <c r="H61" s="5">
        <f>SUM(OSRRefH25x_0)</f>
        <v>210</v>
      </c>
      <c r="I61" s="5"/>
      <c r="J61" s="13">
        <f>IF(H$12=0,0,H61/H$12)</f>
        <v>4.0677966101694916E-3</v>
      </c>
      <c r="K61" s="5"/>
      <c r="L61" s="5">
        <f>+D61-H61</f>
        <v>1323.83</v>
      </c>
      <c r="M61" s="5"/>
      <c r="N61" s="13">
        <f>IF(H61=0,0,L61/H61)</f>
        <v>6.3039523809523805</v>
      </c>
      <c r="O61" s="11"/>
      <c r="P61" s="5">
        <f>SUM(OSRRefP25x_0)</f>
        <v>9574.8799999999992</v>
      </c>
      <c r="Q61" s="5"/>
      <c r="R61" s="13">
        <f>IF(P$12=0,0,P61/P$12)</f>
        <v>2.5573590096286104E-2</v>
      </c>
      <c r="S61" s="5"/>
      <c r="T61" s="5">
        <f>SUM(OSRRefT25x_0)</f>
        <v>1938.68</v>
      </c>
      <c r="U61" s="5"/>
      <c r="V61" s="13">
        <f>IF(T$12=0,0,T61/T$12)</f>
        <v>4.3675866621308958E-3</v>
      </c>
      <c r="W61" s="5"/>
      <c r="X61" s="5">
        <f>+P61-T61</f>
        <v>7636.1999999999989</v>
      </c>
      <c r="Y61" s="5"/>
      <c r="Z61" s="13">
        <f>IF(T61=0,0,X61/T61)</f>
        <v>3.9388656199063274</v>
      </c>
    </row>
    <row r="62" spans="1:26" s="69" customFormat="1" ht="15" hidden="1" customHeight="1" outlineLevel="1" x14ac:dyDescent="0.3">
      <c r="A62" s="42"/>
      <c r="B62" s="12" t="str">
        <f>CONCATENATE("          ","9150"," - ","MISC. INCOME")</f>
        <v xml:space="preserve">          9150 - MISC. INCOME</v>
      </c>
      <c r="C62" s="12"/>
      <c r="D62" s="3">
        <f>--1533.83</f>
        <v>1533.83</v>
      </c>
      <c r="E62" s="3"/>
      <c r="F62" s="20">
        <f>IF(D$12=0,0,D62/D$12)</f>
        <v>5.4962195864836777E-2</v>
      </c>
      <c r="G62" s="3"/>
      <c r="H62" s="3">
        <f>--210</f>
        <v>210</v>
      </c>
      <c r="I62" s="3"/>
      <c r="J62" s="20">
        <f>IF(H$12=0,0,H62/H$12)</f>
        <v>4.0677966101694916E-3</v>
      </c>
      <c r="K62" s="3"/>
      <c r="L62" s="3">
        <f>+D62-H62</f>
        <v>1323.83</v>
      </c>
      <c r="M62" s="3"/>
      <c r="N62" s="20">
        <f>IF(H62=0,0,L62/H62)</f>
        <v>6.3039523809523805</v>
      </c>
      <c r="O62" s="12"/>
      <c r="P62" s="3">
        <f>--9574.88</f>
        <v>9574.8799999999992</v>
      </c>
      <c r="Q62" s="3"/>
      <c r="R62" s="20">
        <f>IF(P$12=0,0,P62/P$12)</f>
        <v>2.5573590096286104E-2</v>
      </c>
      <c r="S62" s="3"/>
      <c r="T62" s="3">
        <f>--1938.68</f>
        <v>1938.68</v>
      </c>
      <c r="U62" s="3"/>
      <c r="V62" s="20">
        <f>IF(T$12=0,0,T62/T$12)</f>
        <v>4.3675866621308958E-3</v>
      </c>
      <c r="W62" s="3"/>
      <c r="X62" s="3">
        <f>+P62-T62</f>
        <v>7636.1999999999989</v>
      </c>
      <c r="Y62" s="3"/>
      <c r="Z62" s="20">
        <f>IF(T62=0,0,X62/T62)</f>
        <v>3.9388656199063274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11"/>
      <c r="B64" s="27" t="s">
        <v>291</v>
      </c>
      <c r="C64" s="27"/>
      <c r="D64" s="22">
        <f>+D17-D19+D61</f>
        <v>1998.0300000000007</v>
      </c>
      <c r="E64" s="15"/>
      <c r="F64" s="21">
        <f>IF(D$12=0,0,D64/D$12)</f>
        <v>7.1596015336653912E-2</v>
      </c>
      <c r="G64" s="15"/>
      <c r="H64" s="22">
        <f>+H17-H19+H61</f>
        <v>10578.740000000005</v>
      </c>
      <c r="I64" s="15"/>
      <c r="J64" s="21">
        <f>IF(H$12=0,0,H64/H$12)</f>
        <v>0.20491506053268776</v>
      </c>
      <c r="K64" s="17"/>
      <c r="L64" s="22">
        <f>+D64-H64</f>
        <v>-8580.7100000000046</v>
      </c>
      <c r="M64" s="17"/>
      <c r="N64" s="21">
        <f>IF(H64=0,0,L64/H64)</f>
        <v>-0.81112779026613757</v>
      </c>
      <c r="O64" s="28"/>
      <c r="P64" s="22">
        <f>+P17-P19+P61</f>
        <v>43251.220000000023</v>
      </c>
      <c r="Q64" s="15"/>
      <c r="R64" s="21">
        <f>IF(P$12=0,0,P64/P$12)</f>
        <v>0.11551987820675477</v>
      </c>
      <c r="S64" s="15"/>
      <c r="T64" s="22">
        <f>+T17-T19+T61</f>
        <v>77680.659999999974</v>
      </c>
      <c r="U64" s="15"/>
      <c r="V64" s="21">
        <f>IF(T$12=0,0,T64/T$12)</f>
        <v>0.17500413400949352</v>
      </c>
      <c r="W64" s="17"/>
      <c r="X64" s="22">
        <f>+P64-T64</f>
        <v>-34429.439999999951</v>
      </c>
      <c r="Y64" s="17"/>
      <c r="Z64" s="21">
        <f>IF(T64=0,0,X64/T64)</f>
        <v>-0.44321765546276204</v>
      </c>
    </row>
    <row r="65" spans="1:26" ht="15" customHeight="1" x14ac:dyDescent="0.3">
      <c r="A65" s="10"/>
      <c r="B65" s="11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48"/>
      <c r="B66" s="11" t="s">
        <v>292</v>
      </c>
      <c r="C66" s="11"/>
      <c r="D66" s="5">
        <v>1433.5</v>
      </c>
      <c r="E66" s="5"/>
      <c r="F66" s="13">
        <f>IF(D$12=0,0,D66/D$12)</f>
        <v>5.1367040527466226E-2</v>
      </c>
      <c r="G66" s="5"/>
      <c r="H66" s="5">
        <v>13799.37</v>
      </c>
      <c r="I66" s="5"/>
      <c r="J66" s="13">
        <f>IF(H$12=0,0,H66/H$12)</f>
        <v>0.26730014527845036</v>
      </c>
      <c r="K66" s="5"/>
      <c r="L66" s="5">
        <f>+D66-H66</f>
        <v>-12365.87</v>
      </c>
      <c r="M66" s="5"/>
      <c r="N66" s="13">
        <f>IF(H66=0,0,L66/H66)</f>
        <v>-0.89611844598702695</v>
      </c>
      <c r="O66" s="11"/>
      <c r="P66" s="5">
        <v>44684.32</v>
      </c>
      <c r="Q66" s="5"/>
      <c r="R66" s="13">
        <f>IF(P$12=0,0,P66/P$12)</f>
        <v>0.11934755144829796</v>
      </c>
      <c r="S66" s="5"/>
      <c r="T66" s="5">
        <v>91479.69</v>
      </c>
      <c r="U66" s="5"/>
      <c r="V66" s="13">
        <f>IF(T$12=0,0,T66/T$12)</f>
        <v>0.20609150241394614</v>
      </c>
      <c r="W66" s="5"/>
      <c r="X66" s="5">
        <f>+P66-T66</f>
        <v>-46795.37</v>
      </c>
      <c r="Y66" s="5"/>
      <c r="Z66" s="13">
        <f>IF(T66=0,0,X66/T66)</f>
        <v>-0.51153835348589394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7" t="s">
        <v>293</v>
      </c>
      <c r="C68" s="27"/>
      <c r="D68" s="34">
        <f>+D64-D66</f>
        <v>564.53000000000065</v>
      </c>
      <c r="E68" s="15"/>
      <c r="F68" s="33">
        <f>IF(D$12=0,0,D68/D$12)</f>
        <v>2.0228974809187682E-2</v>
      </c>
      <c r="G68" s="15"/>
      <c r="H68" s="34">
        <f>+H64-H66</f>
        <v>-3220.6299999999956</v>
      </c>
      <c r="I68" s="15"/>
      <c r="J68" s="33">
        <f>IF(H$12=0,0,H68/H$12)</f>
        <v>-6.2385084745762626E-2</v>
      </c>
      <c r="K68" s="17"/>
      <c r="L68" s="34">
        <f>D68-H68</f>
        <v>3785.1599999999962</v>
      </c>
      <c r="M68" s="17"/>
      <c r="N68" s="33">
        <f>IF(H68=0,0,L68/H68)</f>
        <v>-1.1752855807714644</v>
      </c>
      <c r="O68" s="28"/>
      <c r="P68" s="34">
        <f>+P64-P66</f>
        <v>-1433.0999999999767</v>
      </c>
      <c r="Q68" s="15"/>
      <c r="R68" s="33">
        <f>IF(P$12=0,0,P68/P$12)</f>
        <v>-3.8276732415431862E-3</v>
      </c>
      <c r="S68" s="15"/>
      <c r="T68" s="34">
        <f>+T64-T66</f>
        <v>-13799.030000000028</v>
      </c>
      <c r="U68" s="15"/>
      <c r="V68" s="33">
        <f>IF(T$12=0,0,T68/T$12)</f>
        <v>-3.1087368404452628E-2</v>
      </c>
      <c r="W68" s="17"/>
      <c r="X68" s="34">
        <f>P68-T68</f>
        <v>12365.930000000051</v>
      </c>
      <c r="Y68" s="17"/>
      <c r="Z68" s="33">
        <f>IF(T68=0,0,X68/T68)</f>
        <v>-0.89614487395128684</v>
      </c>
    </row>
    <row r="69" spans="1:26" ht="15" customHeight="1" x14ac:dyDescent="0.3">
      <c r="A69" s="10"/>
      <c r="B69" s="10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ht="15" customHeight="1" x14ac:dyDescent="0.3">
      <c r="A70" s="10"/>
      <c r="B70" s="10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7" t="s">
        <v>296</v>
      </c>
      <c r="C71" s="27"/>
      <c r="D71" s="31">
        <f>SUM(D68:D70)</f>
        <v>564.53000000000065</v>
      </c>
      <c r="E71" s="15"/>
      <c r="F71" s="32">
        <f>IF(D$12=0,0,D71/D$12)</f>
        <v>2.0228974809187682E-2</v>
      </c>
      <c r="G71" s="15"/>
      <c r="H71" s="31">
        <f>SUM(H68:H70)</f>
        <v>-3220.6299999999956</v>
      </c>
      <c r="I71" s="15"/>
      <c r="J71" s="32">
        <f>IF(H$12=0,0,H71/H$12)</f>
        <v>-6.2385084745762626E-2</v>
      </c>
      <c r="K71" s="17"/>
      <c r="L71" s="31">
        <f>+D71-H71</f>
        <v>3785.1599999999962</v>
      </c>
      <c r="M71" s="17"/>
      <c r="N71" s="32">
        <f>IF(H71=0,0,L71/H71)</f>
        <v>-1.1752855807714644</v>
      </c>
      <c r="O71" s="28"/>
      <c r="P71" s="31">
        <f>SUM(P68:P70)</f>
        <v>-1433.0999999999767</v>
      </c>
      <c r="Q71" s="15"/>
      <c r="R71" s="32">
        <f>IF(P$12=0,0,P71/P$12)</f>
        <v>-3.8276732415431862E-3</v>
      </c>
      <c r="S71" s="15"/>
      <c r="T71" s="31">
        <f>SUM(T68:T70)</f>
        <v>-13799.030000000028</v>
      </c>
      <c r="U71" s="15"/>
      <c r="V71" s="32">
        <f>IF(T$12=0,0,T71/T$12)</f>
        <v>-3.1087368404452628E-2</v>
      </c>
      <c r="W71" s="17"/>
      <c r="X71" s="31">
        <f>+P71-T71</f>
        <v>12365.930000000051</v>
      </c>
      <c r="Y71" s="17"/>
      <c r="Z71" s="32">
        <f>IF(T71=0,0,X71/T71)</f>
        <v>-0.89614487395128684</v>
      </c>
    </row>
    <row r="72" spans="1:26" ht="15" customHeight="1" x14ac:dyDescent="0.3">
      <c r="A72" s="10"/>
      <c r="C72" s="10"/>
      <c r="D72" s="19"/>
      <c r="E72" s="19"/>
      <c r="G72" s="19"/>
      <c r="H72" s="19"/>
      <c r="I72" s="19"/>
      <c r="J72" s="40"/>
      <c r="K72" s="19"/>
      <c r="L72" s="19"/>
      <c r="M72" s="19"/>
      <c r="P72" s="19"/>
      <c r="Q72" s="19"/>
      <c r="R72" s="40"/>
      <c r="S72" s="19"/>
      <c r="T72" s="19"/>
      <c r="U72" s="19"/>
      <c r="V72" s="40"/>
      <c r="W72" s="19"/>
      <c r="X72" s="19"/>
    </row>
    <row r="73" spans="1:26" ht="15" customHeight="1" x14ac:dyDescent="0.3">
      <c r="A73" s="10"/>
      <c r="B73" s="56">
        <v>44663.03859679398</v>
      </c>
      <c r="D73" s="19"/>
      <c r="E73" s="19"/>
      <c r="G73" s="19"/>
      <c r="H73" s="19"/>
      <c r="I73" s="19"/>
      <c r="J73" s="40"/>
      <c r="K73" s="19"/>
      <c r="L73" s="19"/>
      <c r="M73" s="19"/>
      <c r="P73" s="19"/>
      <c r="Q73" s="19"/>
      <c r="R73" s="40"/>
      <c r="S73" s="19"/>
      <c r="T73" s="19"/>
      <c r="U73" s="19"/>
      <c r="V73" s="40"/>
      <c r="W73" s="19"/>
      <c r="X73" s="19"/>
    </row>
    <row r="74" spans="1:26" ht="15" customHeight="1" x14ac:dyDescent="0.3">
      <c r="A74" s="10"/>
      <c r="B74" s="57" t="s">
        <v>297</v>
      </c>
      <c r="D74" s="19"/>
      <c r="E74" s="19"/>
      <c r="G74" s="19"/>
      <c r="H74" s="19"/>
      <c r="I74" s="19"/>
      <c r="J74" s="40"/>
      <c r="K74" s="19"/>
      <c r="L74" s="19"/>
      <c r="M74" s="19"/>
      <c r="P74" s="19"/>
      <c r="Q74" s="19"/>
      <c r="R74" s="40"/>
      <c r="S74" s="19"/>
      <c r="T74" s="19"/>
      <c r="U74" s="19"/>
      <c r="V74" s="40"/>
      <c r="W74" s="19"/>
      <c r="X74" s="19"/>
    </row>
    <row r="75" spans="1:26" ht="15" customHeight="1" x14ac:dyDescent="0.3">
      <c r="A75" s="10"/>
      <c r="B75" s="58"/>
      <c r="D75" s="19"/>
      <c r="E75" s="19"/>
      <c r="G75" s="19"/>
      <c r="H75" s="19"/>
      <c r="I75" s="19"/>
      <c r="J75" s="40"/>
      <c r="K75" s="19"/>
      <c r="L75" s="19"/>
      <c r="M75" s="19"/>
      <c r="P75" s="19"/>
      <c r="Q75" s="19"/>
      <c r="R75" s="40"/>
      <c r="S75" s="19"/>
      <c r="T75" s="19"/>
      <c r="U75" s="19"/>
      <c r="V75" s="40"/>
      <c r="W75" s="19"/>
      <c r="X75" s="19"/>
    </row>
    <row r="76" spans="1:26" ht="15" customHeight="1" x14ac:dyDescent="0.3"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173B6-3E62-C5C5-C567-DDBC02BFC6FD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FF047-4FB7-04A2-D084-A7BED9FE90EE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08367-0A78-9842-F753-7978FAE46BD3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49" t="s">
        <v>276</v>
      </c>
    </row>
    <row r="3" spans="1:26" ht="15" customHeight="1" x14ac:dyDescent="0.3">
      <c r="D3" s="49" t="s">
        <v>277</v>
      </c>
      <c r="E3" s="18"/>
      <c r="F3" s="43"/>
      <c r="G3" s="18"/>
      <c r="H3" s="18"/>
      <c r="I3" s="18"/>
      <c r="J3" s="37"/>
      <c r="K3" s="18"/>
      <c r="L3" s="18"/>
      <c r="M3" s="18"/>
      <c r="N3" s="43"/>
      <c r="O3" s="51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49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7"/>
      <c r="K4" s="18"/>
      <c r="L4" s="18"/>
      <c r="M4" s="18"/>
      <c r="N4" s="43"/>
      <c r="O4" s="51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8"/>
      <c r="F5" s="43"/>
      <c r="G5" s="18"/>
      <c r="H5" s="18"/>
      <c r="I5" s="18"/>
      <c r="J5" s="37"/>
      <c r="K5" s="18"/>
      <c r="L5" s="18"/>
      <c r="M5" s="18"/>
      <c r="N5" s="43"/>
      <c r="O5" s="51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3"/>
      <c r="G6" s="18"/>
      <c r="H6" s="18"/>
      <c r="I6" s="18"/>
      <c r="J6" s="37"/>
      <c r="K6" s="18"/>
      <c r="L6" s="18"/>
      <c r="M6" s="18"/>
      <c r="N6" s="43"/>
      <c r="O6" s="54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0"/>
    </row>
    <row r="8" spans="1:26" ht="15" customHeight="1" x14ac:dyDescent="0.3">
      <c r="B8" s="50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5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5"/>
      <c r="W9" s="16"/>
      <c r="X9" s="16"/>
      <c r="Y9" s="16"/>
      <c r="Z9" s="38"/>
    </row>
    <row r="10" spans="1:26" ht="15" customHeight="1" x14ac:dyDescent="0.3">
      <c r="A10" s="11"/>
      <c r="B10" s="53"/>
      <c r="C10" s="11"/>
      <c r="D10" s="41" t="s">
        <v>281</v>
      </c>
      <c r="E10" s="29"/>
      <c r="F10" s="30" t="s">
        <v>282</v>
      </c>
      <c r="G10" s="29"/>
      <c r="H10" s="46" t="s">
        <v>283</v>
      </c>
      <c r="I10" s="29"/>
      <c r="J10" s="30" t="s">
        <v>282</v>
      </c>
      <c r="K10" s="11"/>
      <c r="L10" s="41" t="s">
        <v>284</v>
      </c>
      <c r="M10" s="11"/>
      <c r="N10" s="30" t="s">
        <v>285</v>
      </c>
      <c r="O10" s="11"/>
      <c r="P10" s="52" t="s">
        <v>281</v>
      </c>
      <c r="Q10" s="29"/>
      <c r="R10" s="30" t="s">
        <v>282</v>
      </c>
      <c r="S10" s="29"/>
      <c r="T10" s="46" t="s">
        <v>283</v>
      </c>
      <c r="U10" s="29"/>
      <c r="V10" s="30" t="s">
        <v>282</v>
      </c>
      <c r="W10" s="11"/>
      <c r="X10" s="41" t="s">
        <v>284</v>
      </c>
      <c r="Y10" s="11"/>
      <c r="Z10" s="30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7" t="s">
        <v>288</v>
      </c>
      <c r="C18" s="27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7"/>
      <c r="L18" s="22" t="e">
        <f ca="1">+D18-H18</f>
        <v>#NAME?</v>
      </c>
      <c r="M18" s="17"/>
      <c r="N18" s="21" t="e">
        <f ca="1">IF(H18=0,0,L18/H18)</f>
        <v>#NAME?</v>
      </c>
      <c r="O18" s="28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7"/>
      <c r="X18" s="22" t="e">
        <f ca="1">+P18-T18</f>
        <v>#NAME?</v>
      </c>
      <c r="Y18" s="17"/>
      <c r="Z18" s="21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8" t="s">
        <v>289</v>
      </c>
      <c r="C20" s="11"/>
      <c r="D20" s="23" t="e">
        <f ca="1">SUM(_xll.ONESTOP.REPORTPLAYER.OSRFUNCTIONS.OSRREF(D22))</f>
        <v>#NAME?</v>
      </c>
      <c r="E20" s="23"/>
      <c r="F20" s="35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5" t="e">
        <f ca="1">IF(H$12=0,0,H20/H$12)</f>
        <v>#NAME?</v>
      </c>
      <c r="K20" s="5"/>
      <c r="L20" s="23" t="e">
        <f ca="1">+D20-H20</f>
        <v>#NAME?</v>
      </c>
      <c r="M20" s="5"/>
      <c r="N20" s="35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5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5" t="e">
        <f ca="1">IF(T$12=0,0,T20/T$12)</f>
        <v>#NAME?</v>
      </c>
      <c r="W20" s="5"/>
      <c r="X20" s="23" t="e">
        <f ca="1">+P20-T20</f>
        <v>#NAME?</v>
      </c>
      <c r="Y20" s="5"/>
      <c r="Z20" s="35" t="e">
        <f ca="1">IF(T20=0,0,X20/T20)</f>
        <v>#NAME?</v>
      </c>
    </row>
    <row r="21" spans="1:26" s="68" customFormat="1" ht="15" customHeight="1" outlineLevel="1" collapsed="1" x14ac:dyDescent="0.3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7" t="s">
        <v>291</v>
      </c>
      <c r="C27" s="27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7"/>
      <c r="L27" s="22" t="e">
        <f ca="1">+D27-H27</f>
        <v>#NAME?</v>
      </c>
      <c r="M27" s="17"/>
      <c r="N27" s="21" t="e">
        <f ca="1">IF(H27=0,0,L27/H27)</f>
        <v>#NAME?</v>
      </c>
      <c r="O27" s="28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7"/>
      <c r="X27" s="22" t="e">
        <f ca="1">+P27-T27</f>
        <v>#NAME?</v>
      </c>
      <c r="Y27" s="17"/>
      <c r="Z27" s="21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7" t="s">
        <v>293</v>
      </c>
      <c r="C31" s="27"/>
      <c r="D31" s="34" t="e">
        <f ca="1">+D27-D29</f>
        <v>#NAME?</v>
      </c>
      <c r="E31" s="15"/>
      <c r="F31" s="33" t="e">
        <f ca="1">IF(D$12=0,0,D31/D$12)</f>
        <v>#NAME?</v>
      </c>
      <c r="G31" s="15"/>
      <c r="H31" s="34" t="e">
        <f ca="1">+H27-H29</f>
        <v>#NAME?</v>
      </c>
      <c r="I31" s="15"/>
      <c r="J31" s="33" t="e">
        <f ca="1">IF(H$12=0,0,H31/H$12)</f>
        <v>#NAME?</v>
      </c>
      <c r="K31" s="17"/>
      <c r="L31" s="34" t="e">
        <f ca="1">D31-H31</f>
        <v>#NAME?</v>
      </c>
      <c r="M31" s="17"/>
      <c r="N31" s="33" t="e">
        <f ca="1">IF(H31=0,0,L31/H31)</f>
        <v>#NAME?</v>
      </c>
      <c r="O31" s="28"/>
      <c r="P31" s="34" t="e">
        <f ca="1">+P27-P29</f>
        <v>#NAME?</v>
      </c>
      <c r="Q31" s="15"/>
      <c r="R31" s="33" t="e">
        <f ca="1">IF(P$12=0,0,P31/P$12)</f>
        <v>#NAME?</v>
      </c>
      <c r="S31" s="15"/>
      <c r="T31" s="34" t="e">
        <f ca="1">+T27-T29</f>
        <v>#NAME?</v>
      </c>
      <c r="U31" s="15"/>
      <c r="V31" s="33" t="e">
        <f ca="1">IF(T$12=0,0,T31/T$12)</f>
        <v>#NAME?</v>
      </c>
      <c r="W31" s="17"/>
      <c r="X31" s="34" t="e">
        <f ca="1">P31-T31</f>
        <v>#NAME?</v>
      </c>
      <c r="Y31" s="17"/>
      <c r="Z31" s="33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7" t="s">
        <v>296</v>
      </c>
      <c r="C36" s="27"/>
      <c r="D36" s="31" t="e">
        <f ca="1">SUM(D31:D35)</f>
        <v>#NAME?</v>
      </c>
      <c r="E36" s="15"/>
      <c r="F36" s="32" t="e">
        <f ca="1">IF(D$12=0,0,D36/D$12)</f>
        <v>#NAME?</v>
      </c>
      <c r="G36" s="15"/>
      <c r="H36" s="31" t="e">
        <f ca="1">SUM(H31:H35)</f>
        <v>#NAME?</v>
      </c>
      <c r="I36" s="15"/>
      <c r="J36" s="32" t="e">
        <f ca="1">IF(H$12=0,0,H36/H$12)</f>
        <v>#NAME?</v>
      </c>
      <c r="K36" s="17"/>
      <c r="L36" s="31" t="e">
        <f ca="1">+D36-H36</f>
        <v>#NAME?</v>
      </c>
      <c r="M36" s="17"/>
      <c r="N36" s="32" t="e">
        <f ca="1">IF(H36=0,0,L36/H36)</f>
        <v>#NAME?</v>
      </c>
      <c r="O36" s="28"/>
      <c r="P36" s="31" t="e">
        <f ca="1">SUM(P31:P35)</f>
        <v>#NAME?</v>
      </c>
      <c r="Q36" s="15"/>
      <c r="R36" s="32" t="e">
        <f ca="1">IF(P$12=0,0,P36/P$12)</f>
        <v>#NAME?</v>
      </c>
      <c r="S36" s="15"/>
      <c r="T36" s="31" t="e">
        <f ca="1">SUM(T31:T35)</f>
        <v>#NAME?</v>
      </c>
      <c r="U36" s="15"/>
      <c r="V36" s="32" t="e">
        <f ca="1">IF(T$12=0,0,T36/T$12)</f>
        <v>#NAME?</v>
      </c>
      <c r="W36" s="17"/>
      <c r="X36" s="31" t="e">
        <f ca="1">+P36-T36</f>
        <v>#NAME?</v>
      </c>
      <c r="Y36" s="17"/>
      <c r="Z36" s="32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3808</vt:i4>
      </vt:variant>
    </vt:vector>
  </HeadingPairs>
  <TitlesOfParts>
    <vt:vector size="390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'414'!OSRRefD16x_0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'317'!OSRRefD22_11x_0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'321'!OSRRefD22_12x_0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'321'!OSRRefD22_13x_0</vt:lpstr>
      <vt:lpstr>'325'!OSRRefD22_13x_0</vt:lpstr>
      <vt:lpstr>'326'!OSRRefD22_13x_0</vt:lpstr>
      <vt:lpstr>'331'!OSRRefD22_13x_0</vt:lpstr>
      <vt:lpstr>'332'!OSRRefD22_13x_0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'333'!OSRRefD22_16x_0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'413'!OSRRefD22_5x_0</vt:lpstr>
      <vt:lpstr>'414'!OSRRefD22_5x_0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'414'!OSRRefH16x_0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'317'!OSRRefH22_11x_0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'321'!OSRRefH22_12x_0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'321'!OSRRefH22_13x_0</vt:lpstr>
      <vt:lpstr>'325'!OSRRefH22_13x_0</vt:lpstr>
      <vt:lpstr>'326'!OSRRefH22_13x_0</vt:lpstr>
      <vt:lpstr>'331'!OSRRefH22_13x_0</vt:lpstr>
      <vt:lpstr>'332'!OSRRefH22_13x_0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'333'!OSRRefH22_16x_0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'413'!OSRRefH22_5x_0</vt:lpstr>
      <vt:lpstr>'414'!OSRRefH22_5x_0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'414'!OSRRefP16x_0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'317'!OSRRefP22_11x_0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'321'!OSRRefP22_12x_0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'321'!OSRRefP22_13x_0</vt:lpstr>
      <vt:lpstr>'325'!OSRRefP22_13x_0</vt:lpstr>
      <vt:lpstr>'326'!OSRRefP22_13x_0</vt:lpstr>
      <vt:lpstr>'331'!OSRRefP22_13x_0</vt:lpstr>
      <vt:lpstr>'332'!OSRRefP22_13x_0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'333'!OSRRefP22_16x_0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'413'!OSRRefP22_5x_0</vt:lpstr>
      <vt:lpstr>'414'!OSRRefP22_5x_0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'414'!OSRRefT16x_0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'317'!OSRRefT22_11x_0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'321'!OSRRefT22_12x_0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'321'!OSRRefT22_13x_0</vt:lpstr>
      <vt:lpstr>'325'!OSRRefT22_13x_0</vt:lpstr>
      <vt:lpstr>'326'!OSRRefT22_13x_0</vt:lpstr>
      <vt:lpstr>'331'!OSRRefT22_13x_0</vt:lpstr>
      <vt:lpstr>'332'!OSRRefT22_13x_0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'333'!OSRRefT22_16x_0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'413'!OSRRefT22_5x_0</vt:lpstr>
      <vt:lpstr>'414'!OSRRefT22_5x_0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2022-04-12T00:57:24Z</dcterms:created>
  <dcterms:modified xsi:type="dcterms:W3CDTF">2022-04-12T01:22:18Z</dcterms:modified>
</cp:coreProperties>
</file>